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D:\DAMA_Notes\Semester2\IV\project\Questionaire\"/>
    </mc:Choice>
  </mc:AlternateContent>
  <xr:revisionPtr revIDLastSave="0" documentId="13_ncr:1_{5E54D1C2-85D5-43FF-8D91-2F1BDB0E3BF4}" xr6:coauthVersionLast="46" xr6:coauthVersionMax="46" xr10:uidLastSave="{00000000-0000-0000-0000-000000000000}"/>
  <bookViews>
    <workbookView xWindow="-110" yWindow="-110" windowWidth="19420" windowHeight="1056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workbook>
</file>

<file path=xl/calcChain.xml><?xml version="1.0" encoding="utf-8"?>
<calcChain xmlns="http://schemas.openxmlformats.org/spreadsheetml/2006/main">
  <c r="I7" i="14" l="1"/>
  <c r="I6" i="14"/>
  <c r="I7" i="7"/>
  <c r="I6" i="7"/>
  <c r="W9" i="16"/>
  <c r="W8" i="16"/>
  <c r="W7" i="16"/>
  <c r="W6" i="16"/>
  <c r="W5" i="16"/>
  <c r="W4" i="16"/>
  <c r="V9" i="16"/>
  <c r="V8" i="16"/>
  <c r="V7" i="16"/>
  <c r="V6" i="16"/>
  <c r="V5" i="16"/>
  <c r="V4" i="16"/>
  <c r="U9" i="16"/>
  <c r="U8" i="16"/>
  <c r="U7" i="16"/>
  <c r="U6" i="16"/>
  <c r="U5" i="16"/>
  <c r="U4" i="16"/>
  <c r="T9" i="16"/>
  <c r="T8" i="16"/>
  <c r="T7" i="16"/>
  <c r="T6" i="16"/>
  <c r="T5" i="16"/>
  <c r="T4" i="16"/>
  <c r="S9" i="16"/>
  <c r="S8" i="16"/>
  <c r="S7" i="16"/>
  <c r="S6" i="16"/>
  <c r="S5" i="16"/>
  <c r="S4" i="16"/>
  <c r="R9" i="16"/>
  <c r="R8" i="16"/>
  <c r="R7" i="16"/>
  <c r="R6" i="16"/>
  <c r="R5" i="16"/>
  <c r="R4" i="16"/>
  <c r="Q9" i="16"/>
  <c r="N3" i="16"/>
  <c r="Q8" i="16"/>
  <c r="M3" i="16"/>
  <c r="Q7" i="16"/>
  <c r="L3" i="16"/>
  <c r="Q6" i="16"/>
  <c r="K3" i="16"/>
  <c r="Q5" i="16"/>
  <c r="J3" i="16"/>
  <c r="Q4" i="16"/>
  <c r="I3"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H7" i="14"/>
  <c r="G7" i="14"/>
  <c r="F7" i="14"/>
  <c r="E7" i="14"/>
  <c r="D7" i="14"/>
  <c r="C7" i="14"/>
  <c r="B7" i="14"/>
  <c r="A7" i="14"/>
  <c r="Z6" i="14"/>
  <c r="Y6" i="14"/>
  <c r="X6" i="14"/>
  <c r="W6" i="14"/>
  <c r="V6" i="14"/>
  <c r="U6" i="14"/>
  <c r="T6" i="14"/>
  <c r="S6" i="14"/>
  <c r="R6" i="14"/>
  <c r="Q6" i="14"/>
  <c r="P6" i="14"/>
  <c r="O6" i="14"/>
  <c r="N6" i="14"/>
  <c r="M6" i="14"/>
  <c r="L6" i="14"/>
  <c r="K6" i="14"/>
  <c r="J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8" i="14" l="1"/>
  <c r="AG102" i="14"/>
  <c r="AG106" i="14"/>
  <c r="AG110" i="14"/>
  <c r="AG114" i="14"/>
  <c r="AG118" i="14"/>
  <c r="AG122" i="14"/>
  <c r="AG126" i="14"/>
  <c r="AG130" i="14"/>
  <c r="AG134" i="14"/>
  <c r="AG138" i="14"/>
  <c r="AG142" i="14"/>
  <c r="AG146" i="14"/>
  <c r="AG150" i="14"/>
  <c r="AG154" i="14"/>
  <c r="AG158" i="14"/>
  <c r="AG162" i="14"/>
  <c r="AG166" i="14"/>
  <c r="AG170" i="14"/>
  <c r="AG174" i="14"/>
  <c r="AH776" i="14"/>
  <c r="AH780" i="14"/>
  <c r="AH784" i="14"/>
  <c r="AH788" i="14"/>
  <c r="AH792" i="14"/>
  <c r="AH796" i="14"/>
  <c r="AH800" i="14"/>
  <c r="AH804" i="14"/>
  <c r="AH808" i="14"/>
  <c r="AH812" i="14"/>
  <c r="AH816" i="14"/>
  <c r="AH820" i="14"/>
  <c r="AH824" i="14"/>
  <c r="AG827" i="14"/>
  <c r="AH828" i="14"/>
  <c r="AG831" i="14"/>
  <c r="AH832" i="14"/>
  <c r="AG835" i="14"/>
  <c r="AH836" i="14"/>
  <c r="AH840" i="14"/>
  <c r="AG843" i="14"/>
  <c r="AH844" i="14"/>
  <c r="AH872" i="14"/>
  <c r="AH876" i="14"/>
  <c r="AH880" i="14"/>
  <c r="AH884" i="14"/>
  <c r="AH888" i="14"/>
  <c r="AH892" i="14"/>
  <c r="AH896" i="14"/>
  <c r="AG899" i="14"/>
  <c r="AH900" i="14"/>
  <c r="AG903" i="14"/>
  <c r="AH904" i="14"/>
  <c r="AG907" i="14"/>
  <c r="AH908" i="14"/>
  <c r="AG911" i="14"/>
  <c r="AH912" i="14"/>
  <c r="AG915" i="14"/>
  <c r="AG919" i="14"/>
  <c r="AG923" i="14"/>
  <c r="AG927" i="14"/>
  <c r="AG931" i="14"/>
  <c r="AG935" i="14"/>
  <c r="AG939" i="14"/>
  <c r="AG943" i="14"/>
  <c r="AG947" i="14"/>
  <c r="AG951" i="14"/>
  <c r="AG967" i="14"/>
  <c r="AG971" i="14"/>
  <c r="AG975" i="14"/>
  <c r="AH988" i="14"/>
  <c r="AH992" i="14"/>
  <c r="AH996" i="14"/>
  <c r="AH1000" i="14"/>
  <c r="AH100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G418" i="14"/>
  <c r="AG422" i="14"/>
  <c r="AG426" i="14"/>
  <c r="AG482" i="14"/>
  <c r="AG486" i="14"/>
  <c r="AG490" i="14"/>
  <c r="AG494" i="14"/>
  <c r="AG498" i="14"/>
  <c r="AG502" i="14"/>
  <c r="AG506" i="14"/>
  <c r="AG510" i="14"/>
  <c r="AG514" i="14"/>
  <c r="AG518" i="14"/>
  <c r="AG522" i="14"/>
  <c r="AG526" i="14"/>
  <c r="AG530" i="14"/>
  <c r="AG534" i="14"/>
  <c r="AG538" i="14"/>
  <c r="AG542" i="14"/>
  <c r="AG546" i="14"/>
  <c r="AG606" i="14"/>
  <c r="AG610" i="14"/>
  <c r="AG614" i="14"/>
  <c r="AG618" i="14"/>
  <c r="AH871"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I212" i="14" s="1"/>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59" i="14" l="1"/>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H7" i="7"/>
  <c r="G7" i="7"/>
  <c r="F7" i="7"/>
  <c r="E7" i="7"/>
  <c r="D7" i="7"/>
  <c r="C7" i="7"/>
  <c r="B7" i="7"/>
  <c r="A7" i="7"/>
  <c r="Z6" i="7"/>
  <c r="Y6" i="7"/>
  <c r="X6" i="7"/>
  <c r="W6" i="7"/>
  <c r="V6" i="7"/>
  <c r="U6" i="7"/>
  <c r="T6" i="7"/>
  <c r="S6" i="7"/>
  <c r="R6" i="7"/>
  <c r="Q6" i="7"/>
  <c r="P6" i="7"/>
  <c r="O6" i="7"/>
  <c r="N6" i="7"/>
  <c r="M6" i="7"/>
  <c r="L6" i="7"/>
  <c r="K6" i="7"/>
  <c r="J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AF4" i="7" s="1"/>
  <c r="L4" i="7"/>
  <c r="J4" i="7"/>
  <c r="I4" i="7"/>
  <c r="Z4" i="7"/>
  <c r="P4" i="7"/>
  <c r="O4" i="7"/>
  <c r="M4" i="7"/>
  <c r="K4" i="7"/>
  <c r="H4" i="7"/>
  <c r="G4" i="7"/>
  <c r="F4" i="7"/>
  <c r="E4" i="7"/>
  <c r="D4" i="7"/>
  <c r="C4" i="7"/>
  <c r="B4" i="7"/>
  <c r="A4" i="7"/>
  <c r="AE257" i="7" l="1"/>
  <c r="AC261" i="7"/>
  <c r="AE261" i="7"/>
  <c r="AC265" i="7"/>
  <c r="AE265" i="7"/>
  <c r="AH836" i="7"/>
  <c r="AH840" i="7"/>
  <c r="AH864" i="7"/>
  <c r="AH868" i="7"/>
  <c r="AH872" i="7"/>
  <c r="AH876" i="7"/>
  <c r="AH880" i="7"/>
  <c r="AH884" i="7"/>
  <c r="AH888" i="7"/>
  <c r="AH892" i="7"/>
  <c r="AH896" i="7"/>
  <c r="AH900" i="7"/>
  <c r="AH904" i="7"/>
  <c r="AH908" i="7"/>
  <c r="AH912" i="7"/>
  <c r="AH916" i="7"/>
  <c r="AH920" i="7"/>
  <c r="AH924" i="7"/>
  <c r="AH928" i="7"/>
  <c r="AH932" i="7"/>
  <c r="AH936" i="7"/>
  <c r="AH940" i="7"/>
  <c r="AH944" i="7"/>
  <c r="AH948" i="7"/>
  <c r="AH952" i="7"/>
  <c r="AH956" i="7"/>
  <c r="AH960" i="7"/>
  <c r="AH964" i="7"/>
  <c r="AH968" i="7"/>
  <c r="AH972"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12"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3" i="11"/>
  <c r="C3" i="11"/>
  <c r="D5" i="11"/>
  <c r="C5" i="11"/>
  <c r="H16" i="4"/>
  <c r="H15" i="4"/>
  <c r="N16" i="4"/>
  <c r="N15" i="4"/>
  <c r="D8" i="11"/>
  <c r="C8" i="11"/>
  <c r="D6" i="11"/>
  <c r="C6" i="11"/>
  <c r="D4" i="11"/>
  <c r="C4" i="11"/>
  <c r="D7" i="11"/>
  <c r="C7" i="11"/>
  <c r="K16" i="4"/>
  <c r="K15" i="4"/>
  <c r="Q16" i="4"/>
  <c r="Q15"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<sst xmlns="http://schemas.openxmlformats.org/spreadsheetml/2006/main" count="2500" uniqueCount="2202">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</sst>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Mean value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096-4730-A698-5B86DE4DE33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096-4730-A698-5B86DE4DE336}"/>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096-4730-A698-5B86DE4DE336}"/>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096-4730-A698-5B86DE4DE336}"/>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096-4730-A698-5B86DE4DE336}"/>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096-4730-A698-5B86DE4DE336}"/>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096-4730-A698-5B86DE4DE336}"/>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096-4730-A698-5B86DE4DE336}"/>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096-4730-A698-5B86DE4DE336}"/>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096-4730-A698-5B86DE4DE336}"/>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F096-4730-A698-5B86DE4DE336}"/>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F096-4730-A698-5B86DE4DE336}"/>
              </c:ext>
            </c:extLst>
          </c:dPt>
          <c:dPt>
            <c:idx val="12"/>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19-F096-4730-A698-5B86DE4DE336}"/>
              </c:ext>
            </c:extLst>
          </c:dPt>
          <c:dPt>
            <c:idx val="13"/>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1B-F096-4730-A698-5B86DE4DE336}"/>
              </c:ext>
            </c:extLst>
          </c:dPt>
          <c:dPt>
            <c:idx val="14"/>
            <c:invertIfNegative val="0"/>
            <c:bubble3D val="0"/>
            <c:spPr>
              <a:solidFill>
                <a:schemeClr val="accent3">
                  <a:lumMod val="80000"/>
                  <a:lumOff val="20000"/>
                </a:schemeClr>
              </a:solidFill>
              <a:ln>
                <a:noFill/>
              </a:ln>
              <a:effectLst/>
            </c:spPr>
            <c:extLst>
              <c:ext xmlns:c16="http://schemas.microsoft.com/office/drawing/2014/chart" uri="{C3380CC4-5D6E-409C-BE32-E72D297353CC}">
                <c16:uniqueId val="{0000001D-F096-4730-A698-5B86DE4DE336}"/>
              </c:ext>
            </c:extLst>
          </c:dPt>
          <c:dPt>
            <c:idx val="15"/>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1F-F096-4730-A698-5B86DE4DE336}"/>
              </c:ext>
            </c:extLst>
          </c:dPt>
          <c:dPt>
            <c:idx val="16"/>
            <c:invertIfNegative val="0"/>
            <c:bubble3D val="0"/>
            <c:spPr>
              <a:solidFill>
                <a:schemeClr val="accent5">
                  <a:lumMod val="80000"/>
                  <a:lumOff val="20000"/>
                </a:schemeClr>
              </a:solidFill>
              <a:ln>
                <a:noFill/>
              </a:ln>
              <a:effectLst/>
            </c:spPr>
            <c:extLst>
              <c:ext xmlns:c16="http://schemas.microsoft.com/office/drawing/2014/chart" uri="{C3380CC4-5D6E-409C-BE32-E72D297353CC}">
                <c16:uniqueId val="{00000021-F096-4730-A698-5B86DE4DE336}"/>
              </c:ext>
            </c:extLst>
          </c:dPt>
          <c:dPt>
            <c:idx val="17"/>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23-F096-4730-A698-5B86DE4DE336}"/>
              </c:ext>
            </c:extLst>
          </c:dPt>
          <c:dPt>
            <c:idx val="18"/>
            <c:invertIfNegative val="0"/>
            <c:bubble3D val="0"/>
            <c:spPr>
              <a:solidFill>
                <a:schemeClr val="accent1">
                  <a:lumMod val="80000"/>
                </a:schemeClr>
              </a:solidFill>
              <a:ln>
                <a:noFill/>
              </a:ln>
              <a:effectLst/>
            </c:spPr>
            <c:extLst>
              <c:ext xmlns:c16="http://schemas.microsoft.com/office/drawing/2014/chart" uri="{C3380CC4-5D6E-409C-BE32-E72D297353CC}">
                <c16:uniqueId val="{00000025-F096-4730-A698-5B86DE4DE336}"/>
              </c:ext>
            </c:extLst>
          </c:dPt>
          <c:dPt>
            <c:idx val="19"/>
            <c:invertIfNegative val="0"/>
            <c:bubble3D val="0"/>
            <c:spPr>
              <a:solidFill>
                <a:schemeClr val="accent2">
                  <a:lumMod val="80000"/>
                </a:schemeClr>
              </a:solidFill>
              <a:ln>
                <a:noFill/>
              </a:ln>
              <a:effectLst/>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80000"/>
                </a:schemeClr>
              </a:solidFill>
              <a:ln>
                <a:noFill/>
              </a:ln>
              <a:effectLst/>
            </c:spPr>
            <c:extLst>
              <c:ext xmlns:c16="http://schemas.microsoft.com/office/drawing/2014/chart" uri="{C3380CC4-5D6E-409C-BE32-E72D297353CC}">
                <c16:uniqueId val="{00000029-F096-4730-A698-5B86DE4DE336}"/>
              </c:ext>
            </c:extLst>
          </c:dPt>
          <c:dPt>
            <c:idx val="21"/>
            <c:invertIfNegative val="0"/>
            <c:bubble3D val="0"/>
            <c:spPr>
              <a:solidFill>
                <a:schemeClr val="accent4">
                  <a:lumMod val="80000"/>
                </a:schemeClr>
              </a:solidFill>
              <a:ln>
                <a:noFill/>
              </a:ln>
              <a:effectLst/>
            </c:spPr>
            <c:extLst>
              <c:ext xmlns:c16="http://schemas.microsoft.com/office/drawing/2014/chart" uri="{C3380CC4-5D6E-409C-BE32-E72D297353CC}">
                <c16:uniqueId val="{0000002B-F096-4730-A698-5B86DE4DE336}"/>
              </c:ext>
            </c:extLst>
          </c:dPt>
          <c:dPt>
            <c:idx val="22"/>
            <c:invertIfNegative val="0"/>
            <c:bubble3D val="0"/>
            <c:spPr>
              <a:solidFill>
                <a:schemeClr val="accent5">
                  <a:lumMod val="80000"/>
                </a:schemeClr>
              </a:solidFill>
              <a:ln>
                <a:noFill/>
              </a:ln>
              <a:effectLst/>
            </c:spPr>
            <c:extLst>
              <c:ext xmlns:c16="http://schemas.microsoft.com/office/drawing/2014/chart" uri="{C3380CC4-5D6E-409C-BE32-E72D297353CC}">
                <c16:uniqueId val="{0000002D-F096-4730-A698-5B86DE4DE336}"/>
              </c:ext>
            </c:extLst>
          </c:dPt>
          <c:dPt>
            <c:idx val="23"/>
            <c:invertIfNegative val="0"/>
            <c:bubble3D val="0"/>
            <c:spPr>
              <a:solidFill>
                <a:schemeClr val="accent6">
                  <a:lumMod val="80000"/>
                </a:schemeClr>
              </a:solidFill>
              <a:ln>
                <a:noFill/>
              </a:ln>
              <a:effectLst/>
            </c:spPr>
            <c:extLst>
              <c:ext xmlns:c16="http://schemas.microsoft.com/office/drawing/2014/chart" uri="{C3380CC4-5D6E-409C-BE32-E72D297353CC}">
                <c16:uniqueId val="{0000002F-F096-4730-A698-5B86DE4DE336}"/>
              </c:ext>
            </c:extLst>
          </c:dPt>
          <c:dPt>
            <c:idx val="2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31-F096-4730-A698-5B86DE4DE336}"/>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c:v>
                </c:pt>
                <c:pt idx="1">
                  <c:v>2.1818181818181817</c:v>
                </c:pt>
                <c:pt idx="2">
                  <c:v>1.9090909090909092</c:v>
                </c:pt>
                <c:pt idx="3">
                  <c:v>1.6363636363636365</c:v>
                </c:pt>
                <c:pt idx="4">
                  <c:v>2.5454545454545454</c:v>
                </c:pt>
                <c:pt idx="5">
                  <c:v>2.0909090909090908</c:v>
                </c:pt>
                <c:pt idx="6">
                  <c:v>2.2727272727272729</c:v>
                </c:pt>
                <c:pt idx="7">
                  <c:v>2.3636363636363638</c:v>
                </c:pt>
                <c:pt idx="8">
                  <c:v>2.0909090909090908</c:v>
                </c:pt>
                <c:pt idx="9">
                  <c:v>1.2727272727272727</c:v>
                </c:pt>
                <c:pt idx="10">
                  <c:v>2.0909090909090908</c:v>
                </c:pt>
                <c:pt idx="11">
                  <c:v>2.0909090909090908</c:v>
                </c:pt>
                <c:pt idx="12">
                  <c:v>1.7272727272727273</c:v>
                </c:pt>
                <c:pt idx="13">
                  <c:v>2.1818181818181817</c:v>
                </c:pt>
                <c:pt idx="14">
                  <c:v>1.6363636363636365</c:v>
                </c:pt>
                <c:pt idx="15">
                  <c:v>1.7272727272727273</c:v>
                </c:pt>
                <c:pt idx="16">
                  <c:v>0.18181818181818182</c:v>
                </c:pt>
                <c:pt idx="17">
                  <c:v>2.2727272727272729</c:v>
                </c:pt>
                <c:pt idx="18">
                  <c:v>2.4545454545454546</c:v>
                </c:pt>
                <c:pt idx="19">
                  <c:v>2.4545454545454546</c:v>
                </c:pt>
                <c:pt idx="20">
                  <c:v>2.3636363636363638</c:v>
                </c:pt>
                <c:pt idx="21">
                  <c:v>2.4545454545454546</c:v>
                </c:pt>
                <c:pt idx="22">
                  <c:v>2.4545454545454546</c:v>
                </c:pt>
                <c:pt idx="23">
                  <c:v>2.2727272727272729</c:v>
                </c:pt>
                <c:pt idx="24">
                  <c:v>2.3636363636363638</c:v>
                </c:pt>
                <c:pt idx="25">
                  <c:v>1.7272727272727273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82"/>
        <c:axId val="405719392"/>
        <c:axId val="405718216"/>
      </c:barChart>
      <c:catAx>
        <c:axId val="405719392"/>
        <c:scaling>
          <c:orientation val="maxMin"/>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8216"/>
        <c:crosses val="autoZero"/>
        <c:auto val="1"/>
        <c:lblAlgn val="ctr"/>
        <c:lblOffset val="100"/>
        <c:noMultiLvlLbl val="0"/>
      </c:catAx>
      <c:valAx>
        <c:axId val="405718216"/>
        <c:scaling>
          <c:orientation val="minMax"/>
          <c:max val="3"/>
          <c:min val="-3"/>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9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0.71469119573959017</c:v>
                  </c:pt>
                  <c:pt idx="1">
                    <c:v>0.84985749009914258</c:v>
                  </c:pt>
                  <c:pt idx="2">
                    <c:v>0.61044031600485704</c:v>
                  </c:pt>
                  <c:pt idx="3">
                    <c:v>0.58893332359194273</c:v>
                  </c:pt>
                  <c:pt idx="4">
                    <c:v>0.51947525952192597</c:v>
                  </c:pt>
                  <c:pt idx="5">
                    <c:v>0.83144684120943357</c:v>
                  </c:pt>
                </c:numCache>
              </c:numRef>
            </c:plus>
            <c:minus>
              <c:numRef>
                <c:f>Confidence_Intervals!$M$5:$M$10</c:f>
                <c:numCache>
                  <c:formatCode>General</c:formatCode>
                  <c:ptCount val="6"/>
                  <c:pt idx="0">
                    <c:v>0.71469119573959017</c:v>
                  </c:pt>
                  <c:pt idx="1">
                    <c:v>0.84985749009914258</c:v>
                  </c:pt>
                  <c:pt idx="2">
                    <c:v>0.61044031600485704</c:v>
                  </c:pt>
                  <c:pt idx="3">
                    <c:v>0.58893332359194273</c:v>
                  </c:pt>
                  <c:pt idx="4">
                    <c:v>0.51947525952192597</c:v>
                  </c:pt>
                  <c:pt idx="5">
                    <c:v>0.83144684120943357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2.106060606060606</c:v>
                </c:pt>
                <c:pt idx="1">
                  <c:v>1.9772727272727273</c:v>
                </c:pt>
                <c:pt idx="2">
                  <c:v>2.3636363636363638</c:v>
                </c:pt>
                <c:pt idx="3">
                  <c:v>1.7727272727272727</c:v>
                </c:pt>
                <c:pt idx="4">
                  <c:v>2.2954545454545454</c:v>
                </c:pt>
                <c:pt idx="5">
                  <c:v>1.6363636363636365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2.106060606060606</c:v>
                </c:pt>
                <c:pt idx="1">
                  <c:v>1.9772727272727273</c:v>
                </c:pt>
                <c:pt idx="2">
                  <c:v>2.3636363636363638</c:v>
                </c:pt>
                <c:pt idx="3">
                  <c:v>1.7727272727272727</c:v>
                </c:pt>
                <c:pt idx="4">
                  <c:v>2.2954545454545454</c:v>
                </c:pt>
                <c:pt idx="5">
                  <c:v>1.6363636363636365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2.106060606060606</c:v>
                </c:pt>
                <c:pt idx="1">
                  <c:v>2.0378787878787876</c:v>
                </c:pt>
                <c:pt idx="2">
                  <c:v>1.9659090909090908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1</c:v>
                </c:pt>
                <c:pt idx="15">
                  <c:v>1</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1</c:v>
                </c:pt>
                <c:pt idx="4">
                  <c:v>0</c:v>
                </c:pt>
                <c:pt idx="5">
                  <c:v>0</c:v>
                </c:pt>
                <c:pt idx="6">
                  <c:v>0</c:v>
                </c:pt>
                <c:pt idx="7">
                  <c:v>0</c:v>
                </c:pt>
                <c:pt idx="8">
                  <c:v>1</c:v>
                </c:pt>
                <c:pt idx="9">
                  <c:v>1</c:v>
                </c:pt>
                <c:pt idx="10">
                  <c:v>1</c:v>
                </c:pt>
                <c:pt idx="11">
                  <c:v>1</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c:v>
                </c:pt>
                <c:pt idx="1">
                  <c:v>1</c:v>
                </c:pt>
                <c:pt idx="2">
                  <c:v>1</c:v>
                </c:pt>
                <c:pt idx="3">
                  <c:v>2</c:v>
                </c:pt>
                <c:pt idx="4">
                  <c:v>0</c:v>
                </c:pt>
                <c:pt idx="5">
                  <c:v>0</c:v>
                </c:pt>
                <c:pt idx="6">
                  <c:v>0</c:v>
                </c:pt>
                <c:pt idx="7">
                  <c:v>1</c:v>
                </c:pt>
                <c:pt idx="8">
                  <c:v>1</c:v>
                </c:pt>
                <c:pt idx="9">
                  <c:v>0</c:v>
                </c:pt>
                <c:pt idx="10">
                  <c:v>0</c:v>
                </c:pt>
                <c:pt idx="11">
                  <c:v>0</c:v>
                </c:pt>
                <c:pt idx="12">
                  <c:v>0</c:v>
                </c:pt>
                <c:pt idx="13">
                  <c:v>1</c:v>
                </c:pt>
                <c:pt idx="14">
                  <c:v>1</c:v>
                </c:pt>
                <c:pt idx="15">
                  <c:v>1</c:v>
                </c:pt>
                <c:pt idx="16">
                  <c:v>1</c:v>
                </c:pt>
                <c:pt idx="17">
                  <c:v>0</c:v>
                </c:pt>
                <c:pt idx="18">
                  <c:v>0</c:v>
                </c:pt>
                <c:pt idx="19">
                  <c:v>0</c:v>
                </c:pt>
                <c:pt idx="20">
                  <c:v>1</c:v>
                </c:pt>
                <c:pt idx="21">
                  <c:v>1</c:v>
                </c:pt>
                <c:pt idx="22">
                  <c:v>0</c:v>
                </c:pt>
                <c:pt idx="23">
                  <c:v>1</c:v>
                </c:pt>
                <c:pt idx="24">
                  <c:v>1</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2</c:v>
                </c:pt>
                <c:pt idx="6">
                  <c:v>0</c:v>
                </c:pt>
                <c:pt idx="7">
                  <c:v>0</c:v>
                </c:pt>
                <c:pt idx="8">
                  <c:v>0</c:v>
                </c:pt>
                <c:pt idx="9">
                  <c:v>2</c:v>
                </c:pt>
                <c:pt idx="10">
                  <c:v>1</c:v>
                </c:pt>
                <c:pt idx="11">
                  <c:v>1</c:v>
                </c:pt>
                <c:pt idx="12">
                  <c:v>1</c:v>
                </c:pt>
                <c:pt idx="13">
                  <c:v>0</c:v>
                </c:pt>
                <c:pt idx="14">
                  <c:v>0</c:v>
                </c:pt>
                <c:pt idx="15">
                  <c:v>0</c:v>
                </c:pt>
                <c:pt idx="16">
                  <c:v>8</c:v>
                </c:pt>
                <c:pt idx="17">
                  <c:v>2</c:v>
                </c:pt>
                <c:pt idx="18">
                  <c:v>1</c:v>
                </c:pt>
                <c:pt idx="19">
                  <c:v>0</c:v>
                </c:pt>
                <c:pt idx="20">
                  <c:v>0</c:v>
                </c:pt>
                <c:pt idx="21">
                  <c:v>0</c:v>
                </c:pt>
                <c:pt idx="22">
                  <c:v>1</c:v>
                </c:pt>
                <c:pt idx="23">
                  <c:v>1</c:v>
                </c:pt>
                <c:pt idx="24">
                  <c:v>0</c:v>
                </c:pt>
                <c:pt idx="25">
                  <c:v>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1</c:v>
                </c:pt>
                <c:pt idx="2">
                  <c:v>2</c:v>
                </c:pt>
                <c:pt idx="3">
                  <c:v>0</c:v>
                </c:pt>
                <c:pt idx="4">
                  <c:v>2</c:v>
                </c:pt>
                <c:pt idx="5">
                  <c:v>0</c:v>
                </c:pt>
                <c:pt idx="6">
                  <c:v>2</c:v>
                </c:pt>
                <c:pt idx="7">
                  <c:v>0</c:v>
                </c:pt>
                <c:pt idx="8">
                  <c:v>0</c:v>
                </c:pt>
                <c:pt idx="9">
                  <c:v>0</c:v>
                </c:pt>
                <c:pt idx="10">
                  <c:v>0</c:v>
                </c:pt>
                <c:pt idx="11">
                  <c:v>0</c:v>
                </c:pt>
                <c:pt idx="12">
                  <c:v>0</c:v>
                </c:pt>
                <c:pt idx="13">
                  <c:v>1</c:v>
                </c:pt>
                <c:pt idx="14">
                  <c:v>2</c:v>
                </c:pt>
                <c:pt idx="15">
                  <c:v>1</c:v>
                </c:pt>
                <c:pt idx="16">
                  <c:v>1</c:v>
                </c:pt>
                <c:pt idx="17">
                  <c:v>0</c:v>
                </c:pt>
                <c:pt idx="18">
                  <c:v>0</c:v>
                </c:pt>
                <c:pt idx="19">
                  <c:v>1</c:v>
                </c:pt>
                <c:pt idx="20">
                  <c:v>1</c:v>
                </c:pt>
                <c:pt idx="21">
                  <c:v>0</c:v>
                </c:pt>
                <c:pt idx="22">
                  <c:v>0</c:v>
                </c:pt>
                <c:pt idx="23">
                  <c:v>0</c:v>
                </c:pt>
                <c:pt idx="24">
                  <c:v>1</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3</c:v>
                </c:pt>
                <c:pt idx="2">
                  <c:v>4</c:v>
                </c:pt>
                <c:pt idx="3">
                  <c:v>2</c:v>
                </c:pt>
                <c:pt idx="4">
                  <c:v>1</c:v>
                </c:pt>
                <c:pt idx="5">
                  <c:v>4</c:v>
                </c:pt>
                <c:pt idx="6">
                  <c:v>4</c:v>
                </c:pt>
                <c:pt idx="7">
                  <c:v>3</c:v>
                </c:pt>
                <c:pt idx="8">
                  <c:v>1</c:v>
                </c:pt>
                <c:pt idx="9">
                  <c:v>2</c:v>
                </c:pt>
                <c:pt idx="10">
                  <c:v>2</c:v>
                </c:pt>
                <c:pt idx="11">
                  <c:v>2</c:v>
                </c:pt>
                <c:pt idx="12">
                  <c:v>1</c:v>
                </c:pt>
                <c:pt idx="13">
                  <c:v>3</c:v>
                </c:pt>
                <c:pt idx="14">
                  <c:v>1</c:v>
                </c:pt>
                <c:pt idx="15">
                  <c:v>2</c:v>
                </c:pt>
                <c:pt idx="16">
                  <c:v>1</c:v>
                </c:pt>
                <c:pt idx="17">
                  <c:v>2</c:v>
                </c:pt>
                <c:pt idx="18">
                  <c:v>3</c:v>
                </c:pt>
                <c:pt idx="19">
                  <c:v>4</c:v>
                </c:pt>
                <c:pt idx="20">
                  <c:v>1</c:v>
                </c:pt>
                <c:pt idx="21">
                  <c:v>2</c:v>
                </c:pt>
                <c:pt idx="22">
                  <c:v>3</c:v>
                </c:pt>
                <c:pt idx="23">
                  <c:v>1</c:v>
                </c:pt>
                <c:pt idx="24">
                  <c:v>1</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5</c:v>
                </c:pt>
                <c:pt idx="1">
                  <c:v>6</c:v>
                </c:pt>
                <c:pt idx="2">
                  <c:v>4</c:v>
                </c:pt>
                <c:pt idx="3">
                  <c:v>6</c:v>
                </c:pt>
                <c:pt idx="4">
                  <c:v>8</c:v>
                </c:pt>
                <c:pt idx="5">
                  <c:v>5</c:v>
                </c:pt>
                <c:pt idx="6">
                  <c:v>5</c:v>
                </c:pt>
                <c:pt idx="7">
                  <c:v>7</c:v>
                </c:pt>
                <c:pt idx="8">
                  <c:v>8</c:v>
                </c:pt>
                <c:pt idx="9">
                  <c:v>5</c:v>
                </c:pt>
                <c:pt idx="10">
                  <c:v>7</c:v>
                </c:pt>
                <c:pt idx="11">
                  <c:v>7</c:v>
                </c:pt>
                <c:pt idx="12">
                  <c:v>7</c:v>
                </c:pt>
                <c:pt idx="13">
                  <c:v>6</c:v>
                </c:pt>
                <c:pt idx="14">
                  <c:v>6</c:v>
                </c:pt>
                <c:pt idx="15">
                  <c:v>6</c:v>
                </c:pt>
                <c:pt idx="16">
                  <c:v>0</c:v>
                </c:pt>
                <c:pt idx="17">
                  <c:v>7</c:v>
                </c:pt>
                <c:pt idx="18">
                  <c:v>7</c:v>
                </c:pt>
                <c:pt idx="19">
                  <c:v>6</c:v>
                </c:pt>
                <c:pt idx="20">
                  <c:v>8</c:v>
                </c:pt>
                <c:pt idx="21">
                  <c:v>8</c:v>
                </c:pt>
                <c:pt idx="22">
                  <c:v>7</c:v>
                </c:pt>
                <c:pt idx="23">
                  <c:v>8</c:v>
                </c:pt>
                <c:pt idx="24">
                  <c:v>8</c:v>
                </c:pt>
                <c:pt idx="25">
                  <c:v>5</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2.106060606060606</c:v>
                </c:pt>
                <c:pt idx="1">
                  <c:v>1.9772727272727273</c:v>
                </c:pt>
                <c:pt idx="2">
                  <c:v>2.3636363636363638</c:v>
                </c:pt>
                <c:pt idx="3">
                  <c:v>1.7727272727272727</c:v>
                </c:pt>
                <c:pt idx="4">
                  <c:v>2.2954545454545454</c:v>
                </c:pt>
                <c:pt idx="5">
                  <c:v>1.6363636363636365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10" workbookViewId="0">
      <selection activeCell="B5" sqref="B5"/>
    </sheetView>
  </sheetViews>
  <sheetFormatPr defaultColWidth="9.08984375" defaultRowHeight="14.5"/>
  <cols>
    <col min="1" max="1" width="35.08984375" customWidth="1"/>
    <col min="2" max="2" width="22" customWidth="1"/>
    <col min="3" max="3" width="43" customWidth="1"/>
  </cols>
  <sheetData>
    <row r="1" spans="1:3" s="46" customFormat="1" ht="57" customHeight="1">
      <c r="A1" s="155"/>
      <c r="B1" s="155"/>
      <c r="C1" s="155"/>
    </row>
    <row r="2" spans="1:3" ht="58.75" customHeight="1">
      <c r="A2" s="151" t="s">
        <v>1298</v>
      </c>
      <c r="B2" s="151"/>
      <c r="C2" s="151"/>
    </row>
    <row r="3" spans="1:3" ht="107.25" customHeight="1">
      <c r="A3" s="152" t="s">
        <v>1286</v>
      </c>
      <c r="B3" s="152"/>
      <c r="C3" s="152"/>
    </row>
    <row r="5" spans="1:3" ht="18.5">
      <c r="A5" s="34" t="s">
        <v>820</v>
      </c>
      <c r="B5" s="65" t="s">
        <v>128</v>
      </c>
    </row>
    <row r="7" spans="1:3" ht="30.75" customHeight="1">
      <c r="A7" s="153" t="s">
        <v>1297</v>
      </c>
      <c r="B7" s="153"/>
      <c r="C7" s="153"/>
    </row>
    <row r="9" spans="1:3" ht="406.2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2" zoomScaleNormal="100" workbookViewId="0">
      <selection activeCell="Q14" sqref="Q14"/>
    </sheetView>
  </sheetViews>
  <sheetFormatPr defaultColWidth="9.08984375" defaultRowHeight="14.5"/>
  <cols>
    <col min="1" max="26" width="3.632812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6</v>
      </c>
      <c r="B4" s="66">
        <v>7</v>
      </c>
      <c r="C4" s="66">
        <v>3</v>
      </c>
      <c r="D4" s="66">
        <v>1</v>
      </c>
      <c r="E4" s="66">
        <v>1</v>
      </c>
      <c r="F4" s="66">
        <v>7</v>
      </c>
      <c r="G4" s="66">
        <v>7</v>
      </c>
      <c r="H4" s="66">
        <v>7</v>
      </c>
      <c r="I4" s="66">
        <v>1</v>
      </c>
      <c r="J4" s="66">
        <v>7</v>
      </c>
      <c r="K4" s="66">
        <v>7</v>
      </c>
      <c r="L4" s="66">
        <v>1</v>
      </c>
      <c r="M4" s="66">
        <v>7</v>
      </c>
      <c r="N4" s="66">
        <v>7</v>
      </c>
      <c r="O4" s="66">
        <v>6</v>
      </c>
      <c r="P4" s="66">
        <v>7</v>
      </c>
      <c r="Q4" s="66">
        <v>4</v>
      </c>
      <c r="R4" s="66">
        <v>1</v>
      </c>
      <c r="S4" s="66">
        <v>1</v>
      </c>
      <c r="T4" s="66">
        <v>7</v>
      </c>
      <c r="U4" s="66">
        <v>1</v>
      </c>
      <c r="V4" s="66">
        <v>7</v>
      </c>
      <c r="W4" s="66">
        <v>1</v>
      </c>
      <c r="X4" s="66">
        <v>1</v>
      </c>
      <c r="Y4" s="66">
        <v>1</v>
      </c>
      <c r="Z4" s="66">
        <v>7</v>
      </c>
    </row>
    <row r="5" spans="1:27">
      <c r="A5" s="61">
        <v>7</v>
      </c>
      <c r="B5" s="61">
        <v>6</v>
      </c>
      <c r="C5" s="61">
        <v>2</v>
      </c>
      <c r="D5" s="61">
        <v>1</v>
      </c>
      <c r="E5" s="61">
        <v>1</v>
      </c>
      <c r="F5" s="61">
        <v>7</v>
      </c>
      <c r="G5" s="61">
        <v>6</v>
      </c>
      <c r="H5" s="61">
        <v>7</v>
      </c>
      <c r="I5" s="61">
        <v>1</v>
      </c>
      <c r="J5" s="61">
        <v>6</v>
      </c>
      <c r="K5" s="61">
        <v>7</v>
      </c>
      <c r="L5" s="61">
        <v>1</v>
      </c>
      <c r="M5" s="61">
        <v>7</v>
      </c>
      <c r="N5" s="61">
        <v>6</v>
      </c>
      <c r="O5" s="61">
        <v>1</v>
      </c>
      <c r="P5" s="61">
        <v>6</v>
      </c>
      <c r="Q5" s="66">
        <v>4</v>
      </c>
      <c r="R5" s="61">
        <v>1</v>
      </c>
      <c r="S5" s="61">
        <v>1</v>
      </c>
      <c r="T5" s="61">
        <v>7</v>
      </c>
      <c r="U5" s="61">
        <v>1</v>
      </c>
      <c r="V5" s="61">
        <v>7</v>
      </c>
      <c r="W5" s="61">
        <v>1</v>
      </c>
      <c r="X5" s="61">
        <v>1</v>
      </c>
      <c r="Y5" s="61">
        <v>1</v>
      </c>
      <c r="Z5" s="61">
        <v>4</v>
      </c>
    </row>
    <row r="6" spans="1:27">
      <c r="A6" s="61">
        <v>7</v>
      </c>
      <c r="B6" s="61">
        <v>7</v>
      </c>
      <c r="C6" s="61">
        <v>1</v>
      </c>
      <c r="D6" s="61">
        <v>5</v>
      </c>
      <c r="E6" s="61">
        <v>1</v>
      </c>
      <c r="F6" s="61">
        <v>7</v>
      </c>
      <c r="G6" s="61">
        <v>7</v>
      </c>
      <c r="H6" s="61">
        <v>7</v>
      </c>
      <c r="I6" s="61">
        <v>5</v>
      </c>
      <c r="J6" s="61">
        <v>1</v>
      </c>
      <c r="K6" s="61">
        <v>7</v>
      </c>
      <c r="L6" s="61">
        <v>1</v>
      </c>
      <c r="M6" s="61">
        <v>7</v>
      </c>
      <c r="N6" s="61">
        <v>7</v>
      </c>
      <c r="O6" s="61">
        <v>7</v>
      </c>
      <c r="P6" s="61">
        <v>7</v>
      </c>
      <c r="Q6" s="66">
        <v>4</v>
      </c>
      <c r="R6" s="61">
        <v>1</v>
      </c>
      <c r="S6" s="61">
        <v>1</v>
      </c>
      <c r="T6" s="61">
        <v>7</v>
      </c>
      <c r="U6" s="61">
        <v>1</v>
      </c>
      <c r="V6" s="61">
        <v>7</v>
      </c>
      <c r="W6" s="61">
        <v>1</v>
      </c>
      <c r="X6" s="61">
        <v>1</v>
      </c>
      <c r="Y6" s="61">
        <v>1</v>
      </c>
      <c r="Z6" s="61">
        <v>7</v>
      </c>
    </row>
    <row r="7" spans="1:27">
      <c r="A7" s="61">
        <v>7</v>
      </c>
      <c r="B7" s="61">
        <v>7</v>
      </c>
      <c r="C7" s="61">
        <v>2</v>
      </c>
      <c r="D7" s="61">
        <v>2</v>
      </c>
      <c r="E7" s="61">
        <v>3</v>
      </c>
      <c r="F7" s="61">
        <v>6</v>
      </c>
      <c r="G7" s="61">
        <v>6</v>
      </c>
      <c r="H7" s="61">
        <v>6</v>
      </c>
      <c r="I7" s="61">
        <v>1</v>
      </c>
      <c r="J7" s="61">
        <v>4</v>
      </c>
      <c r="K7" s="61">
        <v>6</v>
      </c>
      <c r="L7" s="61">
        <v>2</v>
      </c>
      <c r="M7" s="61">
        <v>7</v>
      </c>
      <c r="N7" s="61">
        <v>7</v>
      </c>
      <c r="O7" s="61">
        <v>1</v>
      </c>
      <c r="P7" s="1">
        <v>7</v>
      </c>
      <c r="Q7" s="66">
        <v>4</v>
      </c>
      <c r="R7" s="61">
        <v>2</v>
      </c>
      <c r="S7" s="61">
        <v>2</v>
      </c>
      <c r="T7" s="61">
        <v>6</v>
      </c>
      <c r="U7" s="61">
        <v>1</v>
      </c>
      <c r="V7" s="61">
        <v>7</v>
      </c>
      <c r="W7" s="61">
        <v>1</v>
      </c>
      <c r="X7" s="61">
        <v>1</v>
      </c>
      <c r="Y7" s="61">
        <v>1</v>
      </c>
      <c r="Z7" s="61">
        <v>7</v>
      </c>
    </row>
    <row r="8" spans="1:27">
      <c r="A8" s="61">
        <v>7</v>
      </c>
      <c r="B8" s="61">
        <v>7</v>
      </c>
      <c r="C8" s="61">
        <v>1</v>
      </c>
      <c r="D8" s="61">
        <v>1</v>
      </c>
      <c r="E8" s="61">
        <v>1</v>
      </c>
      <c r="F8" s="61">
        <v>7</v>
      </c>
      <c r="G8" s="61">
        <v>7</v>
      </c>
      <c r="H8" s="61">
        <v>7</v>
      </c>
      <c r="I8" s="61">
        <v>1</v>
      </c>
      <c r="J8" s="61">
        <v>1</v>
      </c>
      <c r="K8" s="61">
        <v>7</v>
      </c>
      <c r="L8" s="61">
        <v>1</v>
      </c>
      <c r="M8" s="61">
        <v>7</v>
      </c>
      <c r="N8" s="61">
        <v>7</v>
      </c>
      <c r="O8" s="61">
        <v>7</v>
      </c>
      <c r="P8" s="61">
        <v>7</v>
      </c>
      <c r="Q8" s="66">
        <v>4</v>
      </c>
      <c r="R8" s="61">
        <v>1</v>
      </c>
      <c r="S8" s="61">
        <v>1</v>
      </c>
      <c r="T8" s="61">
        <v>7</v>
      </c>
      <c r="U8" s="61">
        <v>1</v>
      </c>
      <c r="V8" s="61">
        <v>7</v>
      </c>
      <c r="W8" s="61">
        <v>1</v>
      </c>
      <c r="X8" s="61">
        <v>1</v>
      </c>
      <c r="Y8" s="61">
        <v>1</v>
      </c>
      <c r="Z8" s="61">
        <v>7</v>
      </c>
    </row>
    <row r="9" spans="1:27">
      <c r="A9" s="61">
        <v>5</v>
      </c>
      <c r="B9" s="61">
        <v>7</v>
      </c>
      <c r="C9" s="61">
        <v>1</v>
      </c>
      <c r="D9" s="61">
        <v>1</v>
      </c>
      <c r="E9" s="61">
        <v>1</v>
      </c>
      <c r="F9" s="61">
        <v>6</v>
      </c>
      <c r="G9" s="61">
        <v>6</v>
      </c>
      <c r="H9" s="61">
        <v>7</v>
      </c>
      <c r="I9" s="61">
        <v>1</v>
      </c>
      <c r="J9" s="61">
        <v>4</v>
      </c>
      <c r="K9" s="61">
        <v>7</v>
      </c>
      <c r="L9" s="61">
        <v>1</v>
      </c>
      <c r="M9" s="61">
        <v>7</v>
      </c>
      <c r="N9" s="61">
        <v>7</v>
      </c>
      <c r="O9" s="61">
        <v>7</v>
      </c>
      <c r="P9" s="61">
        <v>7</v>
      </c>
      <c r="Q9" s="66">
        <v>4</v>
      </c>
      <c r="R9" s="61">
        <v>1</v>
      </c>
      <c r="S9" s="61">
        <v>1</v>
      </c>
      <c r="T9" s="61">
        <v>7</v>
      </c>
      <c r="U9" s="61">
        <v>1</v>
      </c>
      <c r="V9" s="61">
        <v>7</v>
      </c>
      <c r="W9" s="61">
        <v>1</v>
      </c>
      <c r="X9" s="61">
        <v>1</v>
      </c>
      <c r="Y9" s="61">
        <v>1</v>
      </c>
      <c r="Z9" s="61">
        <v>4</v>
      </c>
    </row>
    <row r="10" spans="1:27">
      <c r="A10" s="61">
        <v>7</v>
      </c>
      <c r="B10" s="61">
        <v>7</v>
      </c>
      <c r="C10" s="61">
        <v>1</v>
      </c>
      <c r="D10" s="61">
        <v>1</v>
      </c>
      <c r="E10" s="61">
        <v>1</v>
      </c>
      <c r="F10" s="61">
        <v>7</v>
      </c>
      <c r="G10" s="61">
        <v>7</v>
      </c>
      <c r="H10" s="61">
        <v>7</v>
      </c>
      <c r="I10" s="61">
        <v>1</v>
      </c>
      <c r="J10" s="61">
        <v>1</v>
      </c>
      <c r="K10" s="61">
        <v>7</v>
      </c>
      <c r="L10" s="61">
        <v>1</v>
      </c>
      <c r="M10" s="61">
        <v>7</v>
      </c>
      <c r="N10" s="61">
        <v>7</v>
      </c>
      <c r="O10" s="61">
        <v>7</v>
      </c>
      <c r="P10" s="61">
        <v>7</v>
      </c>
      <c r="Q10" s="61">
        <v>4</v>
      </c>
      <c r="R10" s="61">
        <v>1</v>
      </c>
      <c r="S10" s="61">
        <v>1</v>
      </c>
      <c r="T10" s="61">
        <v>7</v>
      </c>
      <c r="U10" s="61">
        <v>1</v>
      </c>
      <c r="V10" s="61">
        <v>7</v>
      </c>
      <c r="W10" s="61">
        <v>1</v>
      </c>
      <c r="X10" s="61">
        <v>1</v>
      </c>
      <c r="Y10" s="61">
        <v>1</v>
      </c>
      <c r="Z10" s="61">
        <v>7</v>
      </c>
    </row>
    <row r="11" spans="1:27">
      <c r="A11" s="61">
        <v>6</v>
      </c>
      <c r="B11" s="61">
        <v>6</v>
      </c>
      <c r="C11" s="61">
        <v>2</v>
      </c>
      <c r="D11" s="61">
        <v>1</v>
      </c>
      <c r="E11" s="61">
        <v>1</v>
      </c>
      <c r="F11" s="61">
        <v>6</v>
      </c>
      <c r="G11" s="61">
        <v>7</v>
      </c>
      <c r="H11" s="61">
        <v>7</v>
      </c>
      <c r="I11" s="61">
        <v>1</v>
      </c>
      <c r="J11" s="61">
        <v>1</v>
      </c>
      <c r="K11" s="61">
        <v>7</v>
      </c>
      <c r="L11" s="61">
        <v>1</v>
      </c>
      <c r="M11" s="61">
        <v>7</v>
      </c>
      <c r="N11" s="61">
        <v>6</v>
      </c>
      <c r="O11" s="61">
        <v>7</v>
      </c>
      <c r="P11" s="61">
        <v>7</v>
      </c>
      <c r="Q11" s="61">
        <v>4</v>
      </c>
      <c r="R11" s="61">
        <v>1</v>
      </c>
      <c r="S11" s="61">
        <v>1</v>
      </c>
      <c r="T11" s="61">
        <v>6</v>
      </c>
      <c r="U11" s="61">
        <v>1</v>
      </c>
      <c r="V11" s="61">
        <v>7</v>
      </c>
      <c r="W11" s="61">
        <v>2</v>
      </c>
      <c r="X11" s="61">
        <v>1</v>
      </c>
      <c r="Y11" s="61">
        <v>1</v>
      </c>
      <c r="Z11" s="61">
        <v>6</v>
      </c>
    </row>
    <row r="12" spans="1:27">
      <c r="A12" s="61">
        <v>5</v>
      </c>
      <c r="B12" s="61">
        <v>5</v>
      </c>
      <c r="C12" s="61">
        <v>5</v>
      </c>
      <c r="D12" s="61">
        <v>5</v>
      </c>
      <c r="E12" s="61">
        <v>1</v>
      </c>
      <c r="F12" s="61">
        <v>4</v>
      </c>
      <c r="G12" s="61">
        <v>5</v>
      </c>
      <c r="H12" s="61">
        <v>6</v>
      </c>
      <c r="I12" s="61">
        <v>1</v>
      </c>
      <c r="J12" s="61">
        <v>4</v>
      </c>
      <c r="K12" s="61">
        <v>6</v>
      </c>
      <c r="L12" s="61">
        <v>2</v>
      </c>
      <c r="M12" s="61">
        <v>4</v>
      </c>
      <c r="N12" s="61">
        <v>5</v>
      </c>
      <c r="O12" s="61">
        <v>3</v>
      </c>
      <c r="P12" s="61">
        <v>5</v>
      </c>
      <c r="Q12" s="61">
        <v>3</v>
      </c>
      <c r="R12" s="61">
        <v>4</v>
      </c>
      <c r="S12" s="61">
        <v>2</v>
      </c>
      <c r="T12" s="61">
        <v>6</v>
      </c>
      <c r="U12" s="61">
        <v>3</v>
      </c>
      <c r="V12" s="61">
        <v>6</v>
      </c>
      <c r="W12" s="61">
        <v>2</v>
      </c>
      <c r="X12" s="61">
        <v>4</v>
      </c>
      <c r="Y12" s="61">
        <v>3</v>
      </c>
      <c r="Z12" s="61">
        <v>3</v>
      </c>
    </row>
    <row r="13" spans="1:27">
      <c r="A13" s="61">
        <v>6</v>
      </c>
      <c r="B13" s="61">
        <v>6</v>
      </c>
      <c r="C13" s="61">
        <v>3</v>
      </c>
      <c r="D13" s="61">
        <v>2</v>
      </c>
      <c r="E13" s="61">
        <v>2</v>
      </c>
      <c r="F13" s="61">
        <v>6</v>
      </c>
      <c r="G13" s="61">
        <v>6</v>
      </c>
      <c r="H13" s="61">
        <v>6</v>
      </c>
      <c r="I13" s="61">
        <v>2</v>
      </c>
      <c r="J13" s="61">
        <v>2</v>
      </c>
      <c r="K13" s="61">
        <v>6</v>
      </c>
      <c r="L13" s="61">
        <v>2</v>
      </c>
      <c r="M13" s="61">
        <v>6</v>
      </c>
      <c r="N13" s="61">
        <v>6</v>
      </c>
      <c r="O13" s="61">
        <v>5</v>
      </c>
      <c r="P13" s="61">
        <v>6</v>
      </c>
      <c r="Q13" s="61">
        <v>2</v>
      </c>
      <c r="R13" s="61">
        <v>2</v>
      </c>
      <c r="S13" s="61">
        <v>2</v>
      </c>
      <c r="T13" s="61">
        <v>6</v>
      </c>
      <c r="U13" s="61">
        <v>2</v>
      </c>
      <c r="V13" s="61">
        <v>6</v>
      </c>
      <c r="W13" s="61">
        <v>2</v>
      </c>
      <c r="X13" s="61">
        <v>2</v>
      </c>
      <c r="Y13" s="61">
        <v>2</v>
      </c>
      <c r="Z13" s="61">
        <v>6</v>
      </c>
    </row>
    <row r="14" spans="1:27">
      <c r="A14" s="61">
        <v>3</v>
      </c>
      <c r="B14" s="61">
        <v>3</v>
      </c>
      <c r="C14" s="61">
        <v>2</v>
      </c>
      <c r="D14" s="61">
        <v>6</v>
      </c>
      <c r="E14" s="61">
        <v>3</v>
      </c>
      <c r="F14" s="61">
        <v>4</v>
      </c>
      <c r="G14" s="61">
        <v>5</v>
      </c>
      <c r="H14" s="61">
        <v>3</v>
      </c>
      <c r="I14" s="61">
        <v>6</v>
      </c>
      <c r="J14" s="61">
        <v>2</v>
      </c>
      <c r="K14" s="61">
        <v>2</v>
      </c>
      <c r="L14" s="61">
        <v>4</v>
      </c>
      <c r="M14" s="61">
        <v>2</v>
      </c>
      <c r="N14" s="61">
        <v>3</v>
      </c>
      <c r="O14" s="61">
        <v>5</v>
      </c>
      <c r="P14" s="61">
        <v>3</v>
      </c>
      <c r="Q14" s="61">
        <v>5</v>
      </c>
      <c r="R14" s="61">
        <v>4</v>
      </c>
      <c r="S14" s="61">
        <v>4</v>
      </c>
      <c r="T14" s="61">
        <v>5</v>
      </c>
      <c r="U14" s="61">
        <v>5</v>
      </c>
      <c r="V14" s="61">
        <v>3</v>
      </c>
      <c r="W14" s="61">
        <v>4</v>
      </c>
      <c r="X14" s="61">
        <v>5</v>
      </c>
      <c r="Y14" s="61">
        <v>5</v>
      </c>
      <c r="Z14" s="61">
        <v>5</v>
      </c>
    </row>
    <row r="15" spans="1:27">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N1" workbookViewId="0">
      <selection activeCell="I8" sqref="I8"/>
    </sheetView>
  </sheetViews>
  <sheetFormatPr defaultColWidth="9.08984375" defaultRowHeight="14.5"/>
  <cols>
    <col min="1" max="26" width="3.6328125" style="1" customWidth="1"/>
    <col min="27" max="28" width="4.453125" customWidth="1"/>
    <col min="29" max="34" width="13.8164062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1</v>
      </c>
      <c r="D4" s="68">
        <f>IF(Data!D4&gt;0,4-Data!D4,"")</f>
        <v>3</v>
      </c>
      <c r="E4" s="68">
        <f>IF(Data!E4&gt;0,4-Data!E4,"")</f>
        <v>3</v>
      </c>
      <c r="F4" s="68">
        <f>IF(Data!F4&gt;0,Data!F4-4,"")</f>
        <v>3</v>
      </c>
      <c r="G4" s="68">
        <f>IF(Data!G4&gt;0,Data!G4-4,"")</f>
        <v>3</v>
      </c>
      <c r="H4" s="68">
        <f>IF(Data!H4&gt;0,Data!H4-4,"")</f>
        <v>3</v>
      </c>
      <c r="I4" s="68">
        <f>IF(Data!I4&gt;0,4-Data!I4,"")</f>
        <v>3</v>
      </c>
      <c r="J4" s="68">
        <f>IF(Data!J4&gt;0,4-Data!J4,"")</f>
        <v>-3</v>
      </c>
      <c r="K4" s="68">
        <f>IF(Data!K4&gt;0,Data!K4-4,"")</f>
        <v>3</v>
      </c>
      <c r="L4" s="68">
        <f>IF(Data!L4&gt;0,4-Data!L4,"")</f>
        <v>3</v>
      </c>
      <c r="M4" s="68">
        <f>IF(Data!M4&gt;0,Data!M4-4,"")</f>
        <v>3</v>
      </c>
      <c r="N4" s="68">
        <f>IF(Data!N4&gt;0,Data!N4-4,"")</f>
        <v>3</v>
      </c>
      <c r="O4" s="68">
        <f>IF(Data!O4&gt;0,Data!O4-4,"")</f>
        <v>2</v>
      </c>
      <c r="P4" s="68">
        <f>IF(Data!P4&gt;0,Data!P4-4,"")</f>
        <v>3</v>
      </c>
      <c r="Q4" s="68">
        <f>IF(Data!Q4&gt;0,4-Data!Q4,"")</f>
        <v>0</v>
      </c>
      <c r="R4" s="68">
        <f>IF(Data!R4&gt;0,4-Data!R4,"")</f>
        <v>3</v>
      </c>
      <c r="S4" s="68">
        <f>IF(Data!S4&gt;0,4-Data!S4,"")</f>
        <v>3</v>
      </c>
      <c r="T4" s="68">
        <f>IF(Data!T4&gt;0,Data!T4-4,"")</f>
        <v>3</v>
      </c>
      <c r="U4" s="68">
        <f>IF(Data!U4&gt;0,4-Data!U4,"")</f>
        <v>3</v>
      </c>
      <c r="V4" s="68">
        <f>IF(Data!V4&gt;0,Data!V4-4,"")</f>
        <v>3</v>
      </c>
      <c r="W4" s="68">
        <f>IF(Data!W4&gt;0,4-Data!W4,"")</f>
        <v>3</v>
      </c>
      <c r="X4" s="68">
        <f>IF(Data!X4&gt;0,4-Data!X4,"")</f>
        <v>3</v>
      </c>
      <c r="Y4" s="68">
        <f>IF(Data!Y4&gt;0,4-Data!Y4,"")</f>
        <v>3</v>
      </c>
      <c r="Z4" s="68">
        <f>IF(Data!Z4&gt;0,Data!Z4-4,"")</f>
        <v>3</v>
      </c>
      <c r="AC4" s="69">
        <f t="shared" ref="AC4:AC68" si="0">IF(COUNT(A4,L4,N4,P4,X4,Y4)&gt;0,AVERAGE(A4,L4,N4,P4,X4,Y4),"")</f>
        <v>2.8333333333333335</v>
      </c>
      <c r="AD4" s="69">
        <f>IF(COUNT(B4,D4,M4,U4)&gt;0,AVERAGE(B4,D4,M4,U4),"")</f>
        <v>3</v>
      </c>
      <c r="AE4" s="69">
        <f>IF(COUNT(I4,T4,V4,W4)&gt;0,AVERAGE(I4,T4,V4,W4),"")</f>
        <v>3</v>
      </c>
      <c r="AF4" s="69">
        <f>IF(COUNT(H4,K4,Q4,S4)&gt;0,AVERAGE(H4,K4,Q4,S4),"")</f>
        <v>2.25</v>
      </c>
      <c r="AG4" s="69">
        <f>IF(COUNT(E4,F4,G4,R4)&gt;0,AVERAGE(E4,F4,G4,R4),"")</f>
        <v>3</v>
      </c>
      <c r="AH4" s="69">
        <f>IF(COUNT(C4,J4,O4,Z4)&gt;0,AVERAGE(C4,J4,O4,Z4),"")</f>
        <v>0.75</v>
      </c>
    </row>
    <row r="5" spans="1:34">
      <c r="A5" s="1">
        <f>IF(Data!A5&gt;0,Data!A5-4,"")</f>
        <v>3</v>
      </c>
      <c r="B5" s="1">
        <f>IF(Data!B5&gt;0,Data!B5-4,"")</f>
        <v>2</v>
      </c>
      <c r="C5" s="1">
        <f>IF(Data!C5&gt;0,4-Data!C5,"")</f>
        <v>2</v>
      </c>
      <c r="D5" s="1">
        <f>IF(Data!D5&gt;0,4-Data!D5,"")</f>
        <v>3</v>
      </c>
      <c r="E5" s="1">
        <f>IF(Data!E5&gt;0,4-Data!E5,"")</f>
        <v>3</v>
      </c>
      <c r="F5" s="1">
        <f>IF(Data!F5&gt;0,Data!F5-4,"")</f>
        <v>3</v>
      </c>
      <c r="G5" s="1">
        <f>IF(Data!G5&gt;0,Data!G5-4,"")</f>
        <v>2</v>
      </c>
      <c r="H5" s="1">
        <f>IF(Data!H5&gt;0,Data!H5-4,"")</f>
        <v>3</v>
      </c>
      <c r="I5" s="1">
        <f>IF(Data!I5&gt;0,4-Data!I5,"")</f>
        <v>3</v>
      </c>
      <c r="J5" s="1">
        <f>IF(Data!J5&gt;0,4-Data!J5,"")</f>
        <v>-2</v>
      </c>
      <c r="K5" s="1">
        <f>IF(Data!K5&gt;0,Data!K5-4,"")</f>
        <v>3</v>
      </c>
      <c r="L5" s="1">
        <f>IF(Data!L5&gt;0,4-Data!L5,"")</f>
        <v>3</v>
      </c>
      <c r="M5" s="1">
        <f>IF(Data!M5&gt;0,Data!M5-4,"")</f>
        <v>3</v>
      </c>
      <c r="N5" s="1">
        <f>IF(Data!N5&gt;0,Data!N5-4,"")</f>
        <v>2</v>
      </c>
      <c r="O5" s="1">
        <f>IF(Data!O5&gt;0,Data!O5-4,"")</f>
        <v>-3</v>
      </c>
      <c r="P5" s="1">
        <f>IF(Data!P5&gt;0,Data!P5-4,"")</f>
        <v>2</v>
      </c>
      <c r="Q5" s="1">
        <f>IF(Data!Q5&gt;0,4-Data!Q5,"")</f>
        <v>0</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0</v>
      </c>
      <c r="AC5" s="7">
        <f t="shared" si="0"/>
        <v>2.6666666666666665</v>
      </c>
      <c r="AD5" s="7">
        <f t="shared" ref="AD5:AD68" si="1">IF(COUNT(B5,D5,M5,U5)&gt;0,AVERAGE(B5,D5,M5,U5),"")</f>
        <v>2.75</v>
      </c>
      <c r="AE5" s="7">
        <f t="shared" ref="AE5:AE68" si="2">IF(COUNT(I5,T5,V5,W5)&gt;0,AVERAGE(I5,T5,V5,W5),"")</f>
        <v>3</v>
      </c>
      <c r="AF5" s="7">
        <f t="shared" ref="AF5:AF68" si="3">IF(COUNT(H5,K5,Q5,S5)&gt;0,AVERAGE(H5,K5,Q5,S5),"")</f>
        <v>2.25</v>
      </c>
      <c r="AG5" s="7">
        <f t="shared" ref="AG5:AG68" si="4">IF(COUNT(E5,F5,G5,R5)&gt;0,AVERAGE(E5,F5,G5,R5),"")</f>
        <v>2.75</v>
      </c>
      <c r="AH5" s="7">
        <f t="shared" ref="AH5:AH68" si="5">IF(COUNT(C5,J5,O5,Z5)&gt;0,AVERAGE(C5,J5,O5,Z5),"")</f>
        <v>-0.75</v>
      </c>
    </row>
    <row r="6" spans="1:34">
      <c r="A6" s="1">
        <f>IF(Data!A6&gt;0,Data!A6-4,"")</f>
        <v>3</v>
      </c>
      <c r="B6" s="1">
        <f>IF(Data!B6&gt;0,Data!B6-4,"")</f>
        <v>3</v>
      </c>
      <c r="C6" s="1">
        <f>IF(Data!C6&gt;0,4-Data!C6,"")</f>
        <v>3</v>
      </c>
      <c r="D6" s="1">
        <f>IF(Data!D6&gt;0,4-Data!D6,"")</f>
        <v>-1</v>
      </c>
      <c r="E6" s="1">
        <f>IF(Data!E6&gt;0,4-Data!E6,"")</f>
        <v>3</v>
      </c>
      <c r="F6" s="1">
        <f>IF(Data!F6&gt;0,Data!F6-4,"")</f>
        <v>3</v>
      </c>
      <c r="G6" s="1">
        <f>IF(Data!G6&gt;0,Data!G6-4,"")</f>
        <v>3</v>
      </c>
      <c r="H6" s="1">
        <f>IF(Data!H6&gt;0,Data!H6-4,"")</f>
        <v>3</v>
      </c>
      <c r="I6" s="1">
        <f>IF(Data!I6&gt;0,4-Data!I6,"")</f>
        <v>-1</v>
      </c>
      <c r="J6" s="1">
        <f>IF(Data!J6&gt;0,4-Data!J6,"")</f>
        <v>3</v>
      </c>
      <c r="K6" s="1">
        <f>IF(Data!K6&gt;0,Data!K6-4,"")</f>
        <v>3</v>
      </c>
      <c r="L6" s="1">
        <f>IF(Data!L6&gt;0,4-Data!L6,"")</f>
        <v>3</v>
      </c>
      <c r="M6" s="1">
        <f>IF(Data!M6&gt;0,Data!M6-4,"")</f>
        <v>3</v>
      </c>
      <c r="N6" s="1">
        <f>IF(Data!N6&gt;0,Data!N6-4,"")</f>
        <v>3</v>
      </c>
      <c r="O6" s="1">
        <f>IF(Data!O6&gt;0,Data!O6-4,"")</f>
        <v>3</v>
      </c>
      <c r="P6" s="1">
        <f>IF(Data!P6&gt;0,Data!P6-4,"")</f>
        <v>3</v>
      </c>
      <c r="Q6" s="1">
        <f>IF(Data!Q6&gt;0,4-Data!Q6,"")</f>
        <v>0</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7">
        <f t="shared" si="0"/>
        <v>3</v>
      </c>
      <c r="AD6" s="7">
        <f t="shared" si="1"/>
        <v>2</v>
      </c>
      <c r="AE6" s="7">
        <f t="shared" si="2"/>
        <v>2</v>
      </c>
      <c r="AF6" s="7">
        <f t="shared" si="3"/>
        <v>2.25</v>
      </c>
      <c r="AG6" s="7">
        <f t="shared" si="4"/>
        <v>3</v>
      </c>
      <c r="AH6" s="7">
        <f t="shared" si="5"/>
        <v>3</v>
      </c>
    </row>
    <row r="7" spans="1:34">
      <c r="A7" s="1">
        <f>IF(Data!A7&gt;0,Data!A7-4,"")</f>
        <v>3</v>
      </c>
      <c r="B7" s="1">
        <f>IF(Data!B7&gt;0,Data!B7-4,"")</f>
        <v>3</v>
      </c>
      <c r="C7" s="1">
        <f>IF(Data!C7&gt;0,4-Data!C7,"")</f>
        <v>2</v>
      </c>
      <c r="D7" s="1">
        <f>IF(Data!D7&gt;0,4-Data!D7,"")</f>
        <v>2</v>
      </c>
      <c r="E7" s="1">
        <f>IF(Data!E7&gt;0,4-Data!E7,"")</f>
        <v>1</v>
      </c>
      <c r="F7" s="1">
        <f>IF(Data!F7&gt;0,Data!F7-4,"")</f>
        <v>2</v>
      </c>
      <c r="G7" s="1">
        <f>IF(Data!G7&gt;0,Data!G7-4,"")</f>
        <v>2</v>
      </c>
      <c r="H7" s="1">
        <f>IF(Data!H7&gt;0,Data!H7-4,"")</f>
        <v>2</v>
      </c>
      <c r="I7" s="1">
        <f>IF(Data!I6&gt;0,4-Data!I7,"")</f>
        <v>3</v>
      </c>
      <c r="J7" s="1">
        <f>IF(Data!I7&gt;0,4-Data!I7,"")</f>
        <v>3</v>
      </c>
      <c r="K7" s="1">
        <f>IF(Data!J7&gt;0,Data!J7-4,"")</f>
        <v>0</v>
      </c>
      <c r="L7" s="1">
        <f>IF(Data!K7&gt;0,4-Data!K7,"")</f>
        <v>-2</v>
      </c>
      <c r="M7" s="1">
        <f>IF(Data!L7&gt;0,Data!L7-4,"")</f>
        <v>-2</v>
      </c>
      <c r="N7" s="1">
        <f>IF(Data!M7&gt;0,Data!M7-4,"")</f>
        <v>3</v>
      </c>
      <c r="O7" s="1">
        <f>IF(Data!N7&gt;0,Data!N7-4,"")</f>
        <v>3</v>
      </c>
      <c r="P7" s="1">
        <f>IF(Data!O7&gt;0,Data!O7-4,"")</f>
        <v>-3</v>
      </c>
      <c r="Q7" s="1">
        <f>IF(Data!Q7&gt;0,4-Data!Q7,"")</f>
        <v>0</v>
      </c>
      <c r="R7" s="1">
        <f>IF(Data!R7&gt;0,4-Data!R7,"")</f>
        <v>2</v>
      </c>
      <c r="S7" s="1">
        <f>IF(Data!S7&gt;0,4-Data!S7,"")</f>
        <v>2</v>
      </c>
      <c r="T7" s="1">
        <f>IF(Data!T7&gt;0,Data!T7-4,"")</f>
        <v>2</v>
      </c>
      <c r="U7" s="1">
        <f>IF(Data!U7&gt;0,4-Data!U7,"")</f>
        <v>3</v>
      </c>
      <c r="V7" s="1">
        <f>IF(Data!V7&gt;0,Data!V7-4,"")</f>
        <v>3</v>
      </c>
      <c r="W7" s="1">
        <f>IF(Data!W7&gt;0,4-Data!W7,"")</f>
        <v>3</v>
      </c>
      <c r="X7" s="1">
        <f>IF(Data!X7&gt;0,4-Data!X7,"")</f>
        <v>3</v>
      </c>
      <c r="Y7" s="1">
        <f>IF(Data!Y7&gt;0,4-Data!Y7,"")</f>
        <v>3</v>
      </c>
      <c r="Z7" s="1">
        <f>IF(Data!Z7&gt;0,Data!Z7-4,"")</f>
        <v>3</v>
      </c>
      <c r="AC7" s="7">
        <f t="shared" si="0"/>
        <v>1.1666666666666667</v>
      </c>
      <c r="AD7" s="7">
        <f t="shared" si="1"/>
        <v>1.5</v>
      </c>
      <c r="AE7" s="7">
        <f t="shared" si="2"/>
        <v>2.75</v>
      </c>
      <c r="AF7" s="7">
        <f t="shared" si="3"/>
        <v>1</v>
      </c>
      <c r="AG7" s="7">
        <f t="shared" si="4"/>
        <v>1.75</v>
      </c>
      <c r="AH7" s="7">
        <f t="shared" si="5"/>
        <v>2.75</v>
      </c>
    </row>
    <row r="8" spans="1:34">
      <c r="A8" s="1">
        <f>IF(Data!A8&gt;0,Data!A8-4,"")</f>
        <v>3</v>
      </c>
      <c r="B8" s="1">
        <f>IF(Data!B8&gt;0,Data!B8-4,"")</f>
        <v>3</v>
      </c>
      <c r="C8" s="1">
        <f>IF(Data!C8&gt;0,4-Data!C8,"")</f>
        <v>3</v>
      </c>
      <c r="D8" s="1">
        <f>IF(Data!D8&gt;0,4-Data!D8,"")</f>
        <v>3</v>
      </c>
      <c r="E8" s="1">
        <f>IF(Data!E8&gt;0,4-Data!E8,"")</f>
        <v>3</v>
      </c>
      <c r="F8" s="1">
        <f>IF(Data!F8&gt;0,Data!F8-4,"")</f>
        <v>3</v>
      </c>
      <c r="G8" s="1">
        <f>IF(Data!G8&gt;0,Data!G8-4,"")</f>
        <v>3</v>
      </c>
      <c r="H8" s="1">
        <f>IF(Data!H8&gt;0,Data!H8-4,"")</f>
        <v>3</v>
      </c>
      <c r="I8" s="1">
        <f>IF(Data!I8&gt;0,4-Data!I8,"")</f>
        <v>3</v>
      </c>
      <c r="J8" s="1">
        <f>IF(Data!J8&gt;0,4-Data!J8,"")</f>
        <v>3</v>
      </c>
      <c r="K8" s="1">
        <f>IF(Data!K8&gt;0,Data!K8-4,"")</f>
        <v>3</v>
      </c>
      <c r="L8" s="1">
        <f>IF(Data!L8&gt;0,4-Data!L8,"")</f>
        <v>3</v>
      </c>
      <c r="M8" s="1">
        <f>IF(Data!M8&gt;0,Data!M8-4,"")</f>
        <v>3</v>
      </c>
      <c r="N8" s="1">
        <f>IF(Data!N8&gt;0,Data!N8-4,"")</f>
        <v>3</v>
      </c>
      <c r="O8" s="1">
        <f>IF(Data!O8&gt;0,Data!O8-4,"")</f>
        <v>3</v>
      </c>
      <c r="P8" s="1">
        <f>IF(Data!P8&gt;0,Data!P8-4,"")</f>
        <v>3</v>
      </c>
      <c r="Q8" s="1">
        <f>IF(Data!Q8&gt;0,4-Data!Q8,"")</f>
        <v>0</v>
      </c>
      <c r="R8" s="1">
        <f>IF(Data!R8&gt;0,4-Data!R8,"")</f>
        <v>3</v>
      </c>
      <c r="S8" s="1">
        <f>IF(Data!S8&gt;0,4-Data!S8,"")</f>
        <v>3</v>
      </c>
      <c r="T8" s="1">
        <f>IF(Data!T8&gt;0,Data!T8-4,"")</f>
        <v>3</v>
      </c>
      <c r="U8" s="1">
        <f>IF(Data!U8&gt;0,4-Data!U8,"")</f>
        <v>3</v>
      </c>
      <c r="V8" s="1">
        <f>IF(Data!V8&gt;0,Data!V8-4,"")</f>
        <v>3</v>
      </c>
      <c r="W8" s="1">
        <f>IF(Data!W8&gt;0,4-Data!W8,"")</f>
        <v>3</v>
      </c>
      <c r="X8" s="1">
        <f>IF(Data!X8&gt;0,4-Data!X8,"")</f>
        <v>3</v>
      </c>
      <c r="Y8" s="1">
        <f>IF(Data!Y8&gt;0,4-Data!Y8,"")</f>
        <v>3</v>
      </c>
      <c r="Z8" s="1">
        <f>IF(Data!Z8&gt;0,Data!Z8-4,"")</f>
        <v>3</v>
      </c>
      <c r="AC8" s="7">
        <f t="shared" si="0"/>
        <v>3</v>
      </c>
      <c r="AD8" s="7">
        <f t="shared" si="1"/>
        <v>3</v>
      </c>
      <c r="AE8" s="7">
        <f t="shared" si="2"/>
        <v>3</v>
      </c>
      <c r="AF8" s="7">
        <f t="shared" si="3"/>
        <v>2.25</v>
      </c>
      <c r="AG8" s="7">
        <f t="shared" si="4"/>
        <v>3</v>
      </c>
      <c r="AH8" s="7">
        <f t="shared" si="5"/>
        <v>3</v>
      </c>
    </row>
    <row r="9" spans="1:34">
      <c r="A9" s="1">
        <f>IF(Data!A9&gt;0,Data!A9-4,"")</f>
        <v>1</v>
      </c>
      <c r="B9" s="1">
        <f>IF(Data!B9&gt;0,Data!B9-4,"")</f>
        <v>3</v>
      </c>
      <c r="C9" s="1">
        <f>IF(Data!C9&gt;0,4-Data!C9,"")</f>
        <v>3</v>
      </c>
      <c r="D9" s="1">
        <f>IF(Data!D9&gt;0,4-Data!D9,"")</f>
        <v>3</v>
      </c>
      <c r="E9" s="1">
        <f>IF(Data!E9&gt;0,4-Data!E9,"")</f>
        <v>3</v>
      </c>
      <c r="F9" s="1">
        <f>IF(Data!F9&gt;0,Data!F9-4,"")</f>
        <v>2</v>
      </c>
      <c r="G9" s="1">
        <f>IF(Data!G9&gt;0,Data!G9-4,"")</f>
        <v>2</v>
      </c>
      <c r="H9" s="1">
        <f>IF(Data!H9&gt;0,Data!H9-4,"")</f>
        <v>3</v>
      </c>
      <c r="I9" s="1">
        <f>IF(Data!I9&gt;0,4-Data!I9,"")</f>
        <v>3</v>
      </c>
      <c r="J9" s="1">
        <f>IF(Data!J9&gt;0,4-Data!J9,"")</f>
        <v>0</v>
      </c>
      <c r="K9" s="1">
        <f>IF(Data!K9&gt;0,Data!K9-4,"")</f>
        <v>3</v>
      </c>
      <c r="L9" s="1">
        <f>IF(Data!L9&gt;0,4-Data!L9,"")</f>
        <v>3</v>
      </c>
      <c r="M9" s="1">
        <f>IF(Data!M9&gt;0,Data!M9-4,"")</f>
        <v>3</v>
      </c>
      <c r="N9" s="1">
        <f>IF(Data!N9&gt;0,Data!N9-4,"")</f>
        <v>3</v>
      </c>
      <c r="O9" s="1">
        <f>IF(Data!O9&gt;0,Data!O9-4,"")</f>
        <v>3</v>
      </c>
      <c r="P9" s="1">
        <f>IF(Data!P9&gt;0,Data!P9-4,"")</f>
        <v>3</v>
      </c>
      <c r="Q9" s="1">
        <f>IF(Data!Q9&gt;0,4-Data!Q9,"")</f>
        <v>0</v>
      </c>
      <c r="R9" s="1">
        <f>IF(Data!R9&gt;0,4-Data!R9,"")</f>
        <v>3</v>
      </c>
      <c r="S9" s="1">
        <f>IF(Data!S9&gt;0,4-Data!S9,"")</f>
        <v>3</v>
      </c>
      <c r="T9" s="1">
        <f>IF(Data!T9&gt;0,Data!T9-4,"")</f>
        <v>3</v>
      </c>
      <c r="U9" s="1">
        <f>IF(Data!U9&gt;0,4-Data!U9,"")</f>
        <v>3</v>
      </c>
      <c r="V9" s="1">
        <f>IF(Data!V9&gt;0,Data!V9-4,"")</f>
        <v>3</v>
      </c>
      <c r="W9" s="1">
        <f>IF(Data!W9&gt;0,4-Data!W9,"")</f>
        <v>3</v>
      </c>
      <c r="X9" s="1">
        <f>IF(Data!X9&gt;0,4-Data!X9,"")</f>
        <v>3</v>
      </c>
      <c r="Y9" s="1">
        <f>IF(Data!Y9&gt;0,4-Data!Y9,"")</f>
        <v>3</v>
      </c>
      <c r="Z9" s="1">
        <f>IF(Data!Z9&gt;0,Data!Z9-4,"")</f>
        <v>0</v>
      </c>
      <c r="AC9" s="7">
        <f t="shared" si="0"/>
        <v>2.6666666666666665</v>
      </c>
      <c r="AD9" s="7">
        <f t="shared" si="1"/>
        <v>3</v>
      </c>
      <c r="AE9" s="7">
        <f t="shared" si="2"/>
        <v>3</v>
      </c>
      <c r="AF9" s="7">
        <f t="shared" si="3"/>
        <v>2.25</v>
      </c>
      <c r="AG9" s="7">
        <f t="shared" si="4"/>
        <v>2.5</v>
      </c>
      <c r="AH9" s="7">
        <f t="shared" si="5"/>
        <v>1.5</v>
      </c>
    </row>
    <row r="10" spans="1:34">
      <c r="A10" s="1">
        <f>IF(Data!A10&gt;0,Data!A10-4,"")</f>
        <v>3</v>
      </c>
      <c r="B10" s="1">
        <f>IF(Data!B10&gt;0,Data!B10-4,"")</f>
        <v>3</v>
      </c>
      <c r="C10" s="1">
        <f>IF(Data!C10&gt;0,4-Data!C10,"")</f>
        <v>3</v>
      </c>
      <c r="D10" s="1">
        <f>IF(Data!D10&gt;0,4-Data!D10,"")</f>
        <v>3</v>
      </c>
      <c r="E10" s="1">
        <f>IF(Data!E10&gt;0,4-Data!E10,"")</f>
        <v>3</v>
      </c>
      <c r="F10" s="1">
        <f>IF(Data!F10&gt;0,Data!F10-4,"")</f>
        <v>3</v>
      </c>
      <c r="G10" s="1">
        <f>IF(Data!G10&gt;0,Data!G10-4,"")</f>
        <v>3</v>
      </c>
      <c r="H10" s="1">
        <f>IF(Data!H10&gt;0,Data!H10-4,"")</f>
        <v>3</v>
      </c>
      <c r="I10" s="1">
        <f>IF(Data!I10&gt;0,4-Data!I10,"")</f>
        <v>3</v>
      </c>
      <c r="J10" s="1">
        <f>IF(Data!J10&gt;0,4-Data!J10,"")</f>
        <v>3</v>
      </c>
      <c r="K10" s="1">
        <f>IF(Data!K10&gt;0,Data!K10-4,"")</f>
        <v>3</v>
      </c>
      <c r="L10" s="1">
        <f>IF(Data!L10&gt;0,4-Data!L10,"")</f>
        <v>3</v>
      </c>
      <c r="M10" s="1">
        <f>IF(Data!M10&gt;0,Data!M10-4,"")</f>
        <v>3</v>
      </c>
      <c r="N10" s="1">
        <f>IF(Data!N10&gt;0,Data!N10-4,"")</f>
        <v>3</v>
      </c>
      <c r="O10" s="1">
        <f>IF(Data!O10&gt;0,Data!O10-4,"")</f>
        <v>3</v>
      </c>
      <c r="P10" s="1">
        <f>IF(Data!P10&gt;0,Data!P10-4,"")</f>
        <v>3</v>
      </c>
      <c r="Q10" s="1">
        <f>IF(Data!Q10&gt;0,4-Data!Q10,"")</f>
        <v>0</v>
      </c>
      <c r="R10" s="1">
        <f>IF(Data!R10&gt;0,4-Data!R10,"")</f>
        <v>3</v>
      </c>
      <c r="S10" s="1">
        <f>IF(Data!S10&gt;0,4-Data!S10,"")</f>
        <v>3</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7">
        <f t="shared" si="0"/>
        <v>3</v>
      </c>
      <c r="AD10" s="7">
        <f t="shared" si="1"/>
        <v>3</v>
      </c>
      <c r="AE10" s="7">
        <f t="shared" si="2"/>
        <v>3</v>
      </c>
      <c r="AF10" s="7">
        <f t="shared" si="3"/>
        <v>2.25</v>
      </c>
      <c r="AG10" s="7">
        <f t="shared" si="4"/>
        <v>3</v>
      </c>
      <c r="AH10" s="7">
        <f t="shared" si="5"/>
        <v>3</v>
      </c>
    </row>
    <row r="11" spans="1:34">
      <c r="A11" s="1">
        <f>IF(Data!A11&gt;0,Data!A11-4,"")</f>
        <v>2</v>
      </c>
      <c r="B11" s="1">
        <f>IF(Data!B11&gt;0,Data!B11-4,"")</f>
        <v>2</v>
      </c>
      <c r="C11" s="1">
        <f>IF(Data!C11&gt;0,4-Data!C11,"")</f>
        <v>2</v>
      </c>
      <c r="D11" s="1">
        <f>IF(Data!D11&gt;0,4-Data!D11,"")</f>
        <v>3</v>
      </c>
      <c r="E11" s="1">
        <f>IF(Data!E11&gt;0,4-Data!E11,"")</f>
        <v>3</v>
      </c>
      <c r="F11" s="1">
        <f>IF(Data!F11&gt;0,Data!F11-4,"")</f>
        <v>2</v>
      </c>
      <c r="G11" s="1">
        <f>IF(Data!G11&gt;0,Data!G11-4,"")</f>
        <v>3</v>
      </c>
      <c r="H11" s="1">
        <f>IF(Data!H11&gt;0,Data!H11-4,"")</f>
        <v>3</v>
      </c>
      <c r="I11" s="1">
        <f>IF(Data!I11&gt;0,4-Data!I11,"")</f>
        <v>3</v>
      </c>
      <c r="J11" s="1">
        <f>IF(Data!J11&gt;0,4-Data!J11,"")</f>
        <v>3</v>
      </c>
      <c r="K11" s="1">
        <f>IF(Data!K11&gt;0,Data!K11-4,"")</f>
        <v>3</v>
      </c>
      <c r="L11" s="1">
        <f>IF(Data!L11&gt;0,4-Data!L11,"")</f>
        <v>3</v>
      </c>
      <c r="M11" s="1">
        <f>IF(Data!M11&gt;0,Data!M11-4,"")</f>
        <v>3</v>
      </c>
      <c r="N11" s="1">
        <f>IF(Data!N11&gt;0,Data!N11-4,"")</f>
        <v>2</v>
      </c>
      <c r="O11" s="1">
        <f>IF(Data!O11&gt;0,Data!O11-4,"")</f>
        <v>3</v>
      </c>
      <c r="P11" s="1">
        <f>IF(Data!P11&gt;0,Data!P11-4,"")</f>
        <v>3</v>
      </c>
      <c r="Q11" s="1">
        <f>IF(Data!Q11&gt;0,4-Data!Q11,"")</f>
        <v>0</v>
      </c>
      <c r="R11" s="1">
        <f>IF(Data!R11&gt;0,4-Data!R11,"")</f>
        <v>3</v>
      </c>
      <c r="S11" s="1">
        <f>IF(Data!S11&gt;0,4-Data!S11,"")</f>
        <v>3</v>
      </c>
      <c r="T11" s="1">
        <f>IF(Data!T11&gt;0,Data!T11-4,"")</f>
        <v>2</v>
      </c>
      <c r="U11" s="1">
        <f>IF(Data!U11&gt;0,4-Data!U11,"")</f>
        <v>3</v>
      </c>
      <c r="V11" s="1">
        <f>IF(Data!V11&gt;0,Data!V11-4,"")</f>
        <v>3</v>
      </c>
      <c r="W11" s="1">
        <f>IF(Data!W11&gt;0,4-Data!W11,"")</f>
        <v>2</v>
      </c>
      <c r="X11" s="1">
        <f>IF(Data!X11&gt;0,4-Data!X11,"")</f>
        <v>3</v>
      </c>
      <c r="Y11" s="1">
        <f>IF(Data!Y11&gt;0,4-Data!Y11,"")</f>
        <v>3</v>
      </c>
      <c r="Z11" s="1">
        <f>IF(Data!Z11&gt;0,Data!Z11-4,"")</f>
        <v>2</v>
      </c>
      <c r="AC11" s="7">
        <f t="shared" si="0"/>
        <v>2.6666666666666665</v>
      </c>
      <c r="AD11" s="7">
        <f t="shared" si="1"/>
        <v>2.75</v>
      </c>
      <c r="AE11" s="7">
        <f t="shared" si="2"/>
        <v>2.5</v>
      </c>
      <c r="AF11" s="7">
        <f t="shared" si="3"/>
        <v>2.25</v>
      </c>
      <c r="AG11" s="7">
        <f t="shared" si="4"/>
        <v>2.75</v>
      </c>
      <c r="AH11" s="7">
        <f t="shared" si="5"/>
        <v>2.5</v>
      </c>
    </row>
    <row r="12" spans="1:34">
      <c r="A12" s="1">
        <f>IF(Data!A12&gt;0,Data!A12-4,"")</f>
        <v>1</v>
      </c>
      <c r="B12" s="1">
        <f>IF(Data!B12&gt;0,Data!B12-4,"")</f>
        <v>1</v>
      </c>
      <c r="C12" s="1">
        <f>IF(Data!C12&gt;0,4-Data!C12,"")</f>
        <v>-1</v>
      </c>
      <c r="D12" s="1">
        <f>IF(Data!D12&gt;0,4-Data!D12,"")</f>
        <v>-1</v>
      </c>
      <c r="E12" s="1">
        <f>IF(Data!E12&gt;0,4-Data!E12,"")</f>
        <v>3</v>
      </c>
      <c r="F12" s="1">
        <f>IF(Data!F12&gt;0,Data!F12-4,"")</f>
        <v>0</v>
      </c>
      <c r="G12" s="1">
        <f>IF(Data!G12&gt;0,Data!G12-4,"")</f>
        <v>1</v>
      </c>
      <c r="H12" s="1">
        <f>IF(Data!H12&gt;0,Data!H12-4,"")</f>
        <v>2</v>
      </c>
      <c r="I12" s="1">
        <f>IF(Data!I12&gt;0,4-Data!I12,"")</f>
        <v>3</v>
      </c>
      <c r="J12" s="1">
        <f>IF(Data!J12&gt;0,4-Data!J12,"")</f>
        <v>0</v>
      </c>
      <c r="K12" s="1">
        <f>IF(Data!K12&gt;0,Data!K12-4,"")</f>
        <v>2</v>
      </c>
      <c r="L12" s="1">
        <f>IF(Data!L12&gt;0,4-Data!L12,"")</f>
        <v>2</v>
      </c>
      <c r="M12" s="1">
        <f>IF(Data!M12&gt;0,Data!M12-4,"")</f>
        <v>0</v>
      </c>
      <c r="N12" s="1">
        <f>IF(Data!N12&gt;0,Data!N12-4,"")</f>
        <v>1</v>
      </c>
      <c r="O12" s="1">
        <f>IF(Data!O12&gt;0,Data!O12-4,"")</f>
        <v>-1</v>
      </c>
      <c r="P12" s="1">
        <f>IF(Data!P12&gt;0,Data!P12-4,"")</f>
        <v>1</v>
      </c>
      <c r="Q12" s="1">
        <f>IF(Data!Q12&gt;0,4-Data!Q12,"")</f>
        <v>1</v>
      </c>
      <c r="R12" s="1">
        <f>IF(Data!R12&gt;0,4-Data!R12,"")</f>
        <v>0</v>
      </c>
      <c r="S12" s="1">
        <f>IF(Data!S12&gt;0,4-Data!S12,"")</f>
        <v>2</v>
      </c>
      <c r="T12" s="1">
        <f>IF(Data!T12&gt;0,Data!T12-4,"")</f>
        <v>2</v>
      </c>
      <c r="U12" s="1">
        <f>IF(Data!U12&gt;0,4-Data!U12,"")</f>
        <v>1</v>
      </c>
      <c r="V12" s="1">
        <f>IF(Data!V12&gt;0,Data!V12-4,"")</f>
        <v>2</v>
      </c>
      <c r="W12" s="1">
        <f>IF(Data!W12&gt;0,4-Data!W12,"")</f>
        <v>2</v>
      </c>
      <c r="X12" s="1">
        <f>IF(Data!X12&gt;0,4-Data!X12,"")</f>
        <v>0</v>
      </c>
      <c r="Y12" s="1">
        <f>IF(Data!Y12&gt;0,4-Data!Y12,"")</f>
        <v>1</v>
      </c>
      <c r="Z12" s="1">
        <f>IF(Data!Z12&gt;0,Data!Z12-4,"")</f>
        <v>-1</v>
      </c>
      <c r="AC12" s="7">
        <f t="shared" si="0"/>
        <v>1</v>
      </c>
      <c r="AD12" s="7">
        <f t="shared" si="1"/>
        <v>0.25</v>
      </c>
      <c r="AE12" s="7">
        <f t="shared" si="2"/>
        <v>2.25</v>
      </c>
      <c r="AF12" s="7">
        <f t="shared" si="3"/>
        <v>1.75</v>
      </c>
      <c r="AG12" s="7">
        <f t="shared" si="4"/>
        <v>1</v>
      </c>
      <c r="AH12" s="7">
        <f t="shared" si="5"/>
        <v>-0.75</v>
      </c>
    </row>
    <row r="13" spans="1:34">
      <c r="A13" s="1">
        <f>IF(Data!A13&gt;0,Data!A13-4,"")</f>
        <v>2</v>
      </c>
      <c r="B13" s="1">
        <f>IF(Data!B13&gt;0,Data!B13-4,"")</f>
        <v>2</v>
      </c>
      <c r="C13" s="1">
        <f>IF(Data!C13&gt;0,4-Data!C13,"")</f>
        <v>1</v>
      </c>
      <c r="D13" s="1">
        <f>IF(Data!D13&gt;0,4-Data!D13,"")</f>
        <v>2</v>
      </c>
      <c r="E13" s="1">
        <f>IF(Data!E13&gt;0,4-Data!E13,"")</f>
        <v>2</v>
      </c>
      <c r="F13" s="1">
        <f>IF(Data!F13&gt;0,Data!F13-4,"")</f>
        <v>2</v>
      </c>
      <c r="G13" s="1">
        <f>IF(Data!G13&gt;0,Data!G13-4,"")</f>
        <v>2</v>
      </c>
      <c r="H13" s="1">
        <f>IF(Data!H13&gt;0,Data!H13-4,"")</f>
        <v>2</v>
      </c>
      <c r="I13" s="1">
        <f>IF(Data!I13&gt;0,4-Data!I13,"")</f>
        <v>2</v>
      </c>
      <c r="J13" s="1">
        <f>IF(Data!J13&gt;0,4-Data!J13,"")</f>
        <v>2</v>
      </c>
      <c r="K13" s="1">
        <f>IF(Data!K13&gt;0,Data!K13-4,"")</f>
        <v>2</v>
      </c>
      <c r="L13" s="1">
        <f>IF(Data!L13&gt;0,4-Data!L13,"")</f>
        <v>2</v>
      </c>
      <c r="M13" s="1">
        <f>IF(Data!M13&gt;0,Data!M13-4,"")</f>
        <v>2</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2</v>
      </c>
      <c r="AC13" s="7">
        <f t="shared" si="0"/>
        <v>2</v>
      </c>
      <c r="AD13" s="7">
        <f t="shared" si="1"/>
        <v>2</v>
      </c>
      <c r="AE13" s="7">
        <f t="shared" si="2"/>
        <v>2</v>
      </c>
      <c r="AF13" s="7">
        <f t="shared" si="3"/>
        <v>2</v>
      </c>
      <c r="AG13" s="7">
        <f t="shared" si="4"/>
        <v>2</v>
      </c>
      <c r="AH13" s="7">
        <f t="shared" si="5"/>
        <v>1.5</v>
      </c>
    </row>
    <row r="14" spans="1:34">
      <c r="A14" s="1">
        <f>IF(Data!A14&gt;0,Data!A14-4,"")</f>
        <v>-1</v>
      </c>
      <c r="B14" s="1">
        <f>IF(Data!B14&gt;0,Data!B14-4,"")</f>
        <v>-1</v>
      </c>
      <c r="C14" s="1">
        <f>IF(Data!C14&gt;0,4-Data!C14,"")</f>
        <v>2</v>
      </c>
      <c r="D14" s="1">
        <f>IF(Data!D14&gt;0,4-Data!D14,"")</f>
        <v>-2</v>
      </c>
      <c r="E14" s="1">
        <f>IF(Data!E14&gt;0,4-Data!E14,"")</f>
        <v>1</v>
      </c>
      <c r="F14" s="1">
        <f>IF(Data!F14&gt;0,Data!F14-4,"")</f>
        <v>0</v>
      </c>
      <c r="G14" s="1">
        <f>IF(Data!G14&gt;0,Data!G14-4,"")</f>
        <v>1</v>
      </c>
      <c r="H14" s="1">
        <f>IF(Data!H14&gt;0,Data!H14-4,"")</f>
        <v>-1</v>
      </c>
      <c r="I14" s="1">
        <f>IF(Data!I14&gt;0,4-Data!I14,"")</f>
        <v>-2</v>
      </c>
      <c r="J14" s="1">
        <f>IF(Data!J14&gt;0,4-Data!J14,"")</f>
        <v>2</v>
      </c>
      <c r="K14" s="1">
        <f>IF(Data!K14&gt;0,Data!K14-4,"")</f>
        <v>-2</v>
      </c>
      <c r="L14" s="1">
        <f>IF(Data!L14&gt;0,4-Data!L14,"")</f>
        <v>0</v>
      </c>
      <c r="M14" s="1">
        <f>IF(Data!M14&gt;0,Data!M14-4,"")</f>
        <v>-2</v>
      </c>
      <c r="N14" s="1">
        <f>IF(Data!N14&gt;0,Data!N14-4,"")</f>
        <v>-1</v>
      </c>
      <c r="O14" s="1">
        <f>IF(Data!O14&gt;0,Data!O14-4,"")</f>
        <v>1</v>
      </c>
      <c r="P14" s="1">
        <f>IF(Data!P14&gt;0,Data!P14-4,"")</f>
        <v>-1</v>
      </c>
      <c r="Q14" s="1">
        <f>IF(Data!Q14&gt;0,4-Data!Q14,"")</f>
        <v>-1</v>
      </c>
      <c r="R14" s="1">
        <f>IF(Data!R14&gt;0,4-Data!R14,"")</f>
        <v>0</v>
      </c>
      <c r="S14" s="1">
        <f>IF(Data!S14&gt;0,4-Data!S14,"")</f>
        <v>0</v>
      </c>
      <c r="T14" s="1">
        <f>IF(Data!T14&gt;0,Data!T14-4,"")</f>
        <v>1</v>
      </c>
      <c r="U14" s="1">
        <f>IF(Data!U14&gt;0,4-Data!U14,"")</f>
        <v>-1</v>
      </c>
      <c r="V14" s="1">
        <f>IF(Data!V14&gt;0,Data!V14-4,"")</f>
        <v>-1</v>
      </c>
      <c r="W14" s="1">
        <f>IF(Data!W14&gt;0,4-Data!W14,"")</f>
        <v>0</v>
      </c>
      <c r="X14" s="1">
        <f>IF(Data!X14&gt;0,4-Data!X14,"")</f>
        <v>-1</v>
      </c>
      <c r="Y14" s="1">
        <f>IF(Data!Y14&gt;0,4-Data!Y14,"")</f>
        <v>-1</v>
      </c>
      <c r="Z14" s="1">
        <f>IF(Data!Z14&gt;0,Data!Z14-4,"")</f>
        <v>1</v>
      </c>
      <c r="AC14" s="7">
        <f t="shared" si="0"/>
        <v>-0.83333333333333337</v>
      </c>
      <c r="AD14" s="7">
        <f t="shared" si="1"/>
        <v>-1.5</v>
      </c>
      <c r="AE14" s="7">
        <f t="shared" si="2"/>
        <v>-0.5</v>
      </c>
      <c r="AF14" s="7">
        <f t="shared" si="3"/>
        <v>-1</v>
      </c>
      <c r="AG14" s="7">
        <f t="shared" si="4"/>
        <v>0.5</v>
      </c>
      <c r="AH14" s="7">
        <f t="shared" si="5"/>
        <v>1.5</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2" zoomScale="83" zoomScaleNormal="69" workbookViewId="0">
      <selection activeCell="V65" sqref="V65"/>
    </sheetView>
  </sheetViews>
  <sheetFormatPr defaultColWidth="9.08984375" defaultRowHeight="14.5"/>
  <cols>
    <col min="1" max="1" width="5.453125" customWidth="1"/>
    <col min="2" max="2" width="8.08984375" customWidth="1"/>
    <col min="3" max="3" width="8.26953125" bestFit="1" customWidth="1"/>
    <col min="4" max="4" width="8.6328125" bestFit="1"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c r="A1" s="166" t="s">
        <v>1537</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AVERAGE(DT!A4:A1004)</f>
        <v>2</v>
      </c>
      <c r="C3" s="72">
        <f>VAR(DT!A4:A1004)</f>
        <v>1.6</v>
      </c>
      <c r="D3" s="72">
        <f>SQRT(C3)</f>
        <v>1.2649110640673518</v>
      </c>
      <c r="E3" s="73">
        <f>COUNTA(Data!A4:A1000)</f>
        <v>11</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2.106060606060606</v>
      </c>
      <c r="M3" s="7">
        <f>VAR(DT!AC4:AC1004)</f>
        <v>1.4626262626262629</v>
      </c>
      <c r="R3" s="5"/>
    </row>
    <row r="4" spans="1:18">
      <c r="A4" s="2">
        <v>2</v>
      </c>
      <c r="B4" s="3">
        <f>AVERAGE(DT!B4:B1004)</f>
        <v>2.1818181818181817</v>
      </c>
      <c r="C4" s="3">
        <f>VAR(DT!B4:B1004)</f>
        <v>1.5636363636363633</v>
      </c>
      <c r="D4" s="3">
        <f t="shared" ref="D4:D28" si="0">SQRT(C4)</f>
        <v>1.2504544628399561</v>
      </c>
      <c r="E4" s="4">
        <f>COUNTA(Data!B4:B1000)</f>
        <v>11</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1.9772727272727273</v>
      </c>
      <c r="M4" s="7">
        <f>VAR(DT!AD4:AD1004)</f>
        <v>2.0681818181818179</v>
      </c>
    </row>
    <row r="5" spans="1:18">
      <c r="A5" s="2">
        <v>3</v>
      </c>
      <c r="B5" s="3">
        <f>AVERAGE(DT!C4:C1004)</f>
        <v>1.9090909090909092</v>
      </c>
      <c r="C5" s="3">
        <f>VAR(DT!C4:C1004)</f>
        <v>1.4909090909090907</v>
      </c>
      <c r="D5" s="3">
        <f t="shared" si="0"/>
        <v>1.2210278829367864</v>
      </c>
      <c r="E5" s="4">
        <f>COUNTA(Data!C4:C1000)</f>
        <v>11</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2.3636363636363638</v>
      </c>
      <c r="M5" s="7">
        <f>VAR(DT!AE4:AE1004)</f>
        <v>1.0670454545454546</v>
      </c>
    </row>
    <row r="6" spans="1:18">
      <c r="A6" s="2">
        <v>4</v>
      </c>
      <c r="B6" s="3">
        <f>AVERAGE(DT!D4:D1004)</f>
        <v>1.6363636363636365</v>
      </c>
      <c r="C6" s="3">
        <f>VAR(DT!D4:D1004)</f>
        <v>3.8545454545454545</v>
      </c>
      <c r="D6" s="3">
        <f t="shared" si="0"/>
        <v>1.9632996344280855</v>
      </c>
      <c r="E6" s="4">
        <f>COUNTA(Data!D4:D1000)</f>
        <v>11</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1.7727272727272727</v>
      </c>
      <c r="M6" s="7">
        <f>VAR(DT!AF4:AF1004)</f>
        <v>0.99318181818181794</v>
      </c>
    </row>
    <row r="7" spans="1:18">
      <c r="A7" s="2">
        <v>5</v>
      </c>
      <c r="B7" s="3">
        <f>AVERAGE(DT!E4:E1004)</f>
        <v>2.5454545454545454</v>
      </c>
      <c r="C7" s="3">
        <f>VAR(DT!E4:E1004)</f>
        <v>0.6727272727272734</v>
      </c>
      <c r="D7" s="3">
        <f t="shared" si="0"/>
        <v>0.82019953226472486</v>
      </c>
      <c r="E7" s="4">
        <f>COUNTA(Data!E4:E1000)</f>
        <v>11</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2.2954545454545454</v>
      </c>
      <c r="M7" s="7">
        <f>VAR(DT!AG4:AG1004)</f>
        <v>0.77272727272727271</v>
      </c>
    </row>
    <row r="8" spans="1:18">
      <c r="A8" s="2">
        <v>6</v>
      </c>
      <c r="B8" s="3">
        <f>AVERAGE(DT!F4:F1004)</f>
        <v>2.0909090909090908</v>
      </c>
      <c r="C8" s="3">
        <f>VAR(DT!F4:F1004)</f>
        <v>1.2909090909090906</v>
      </c>
      <c r="D8" s="3">
        <f t="shared" si="0"/>
        <v>1.1361818036340356</v>
      </c>
      <c r="E8" s="4">
        <f>COUNTA(Data!F4:F1000)</f>
        <v>11</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1.6363636363636365</v>
      </c>
      <c r="M8" s="7">
        <f>VAR(DT!AH4:AH1004)</f>
        <v>1.9795454545454547</v>
      </c>
    </row>
    <row r="9" spans="1:18">
      <c r="A9" s="2">
        <v>7</v>
      </c>
      <c r="B9" s="3">
        <f>AVERAGE(DT!G4:G1004)</f>
        <v>2.2727272727272729</v>
      </c>
      <c r="C9" s="3">
        <f>VAR(DT!G4:G1004)</f>
        <v>0.61818181818181794</v>
      </c>
      <c r="D9" s="3">
        <f t="shared" si="0"/>
        <v>0.78624539310689634</v>
      </c>
      <c r="E9" s="4">
        <f>COUNTA(Data!G4:G1000)</f>
        <v>11</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2.3636363636363638</v>
      </c>
      <c r="C10" s="3">
        <f>VAR(DT!H4:H1004)</f>
        <v>1.4545454545454546</v>
      </c>
      <c r="D10" s="3">
        <f t="shared" si="0"/>
        <v>1.2060453783110545</v>
      </c>
      <c r="E10" s="4">
        <f>COUNTA(Data!H4:H1000)</f>
        <v>11</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2.0909090909090908</v>
      </c>
      <c r="C11" s="3">
        <f>VAR(DT!I4:I1004)</f>
        <v>3.2909090909090906</v>
      </c>
      <c r="D11" s="3">
        <f t="shared" si="0"/>
        <v>1.8140862964338522</v>
      </c>
      <c r="E11" s="4">
        <f>COUNTA(Data!I4:I1000)</f>
        <v>11</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1.2727272727272727</v>
      </c>
      <c r="C12" s="3">
        <f>VAR(DT!J4:J1004)</f>
        <v>4.8181818181818183</v>
      </c>
      <c r="D12" s="3">
        <f t="shared" si="0"/>
        <v>2.1950357213908429</v>
      </c>
      <c r="E12" s="4">
        <f>COUNTA(Data!J4:J1000)</f>
        <v>11</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2.0909090909090908</v>
      </c>
      <c r="C13" s="3">
        <f>VAR(DT!K4:K1004)</f>
        <v>2.6909090909090905</v>
      </c>
      <c r="D13" s="3">
        <f t="shared" si="0"/>
        <v>1.6403990645294486</v>
      </c>
      <c r="E13" s="4">
        <f>COUNTA(Data!K4:K1000)</f>
        <v>11</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2.0909090909090908</v>
      </c>
      <c r="C14" s="3">
        <f>VAR(DT!L4:L1004)</f>
        <v>2.6909090909090905</v>
      </c>
      <c r="D14" s="3">
        <f t="shared" si="0"/>
        <v>1.6403990645294486</v>
      </c>
      <c r="E14" s="4">
        <f>COUNTA(Data!L4:L1000)</f>
        <v>11</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1.7272727272727273</v>
      </c>
      <c r="C15" s="3">
        <f>VAR(DT!M4:M1004)</f>
        <v>4.2181818181818178</v>
      </c>
      <c r="D15" s="3">
        <f t="shared" si="0"/>
        <v>2.0538212722098819</v>
      </c>
      <c r="E15" s="4">
        <f>COUNTA(Data!M4:M1000)</f>
        <v>11</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2.1818181818181817</v>
      </c>
      <c r="C16" s="3">
        <f>VAR(DT!N4:N1004)</f>
        <v>1.5636363636363633</v>
      </c>
      <c r="D16" s="3">
        <f t="shared" si="0"/>
        <v>1.2504544628399561</v>
      </c>
      <c r="E16" s="4">
        <f>COUNTA(Data!N4:N1000)</f>
        <v>11</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1.6363636363636365</v>
      </c>
      <c r="C17" s="3">
        <f>VAR(DT!O4:O1004)</f>
        <v>4.0545454545454547</v>
      </c>
      <c r="D17" s="3">
        <f t="shared" si="0"/>
        <v>2.0135901903181428</v>
      </c>
      <c r="E17" s="4">
        <f>COUNTA(Data!O4:O1000)</f>
        <v>11</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1.7272727272727273</v>
      </c>
      <c r="C18" s="3">
        <f>VAR(DT!P4:P1004)</f>
        <v>4.0181818181818176</v>
      </c>
      <c r="D18" s="3">
        <f t="shared" si="0"/>
        <v>2.0045403009622476</v>
      </c>
      <c r="E18" s="4">
        <f>COUNTA(Data!P4:P1000)</f>
        <v>11</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0.18181818181818182</v>
      </c>
      <c r="C19" s="3">
        <f>VAR(DT!Q4:Q1004)</f>
        <v>0.56363636363636371</v>
      </c>
      <c r="D19" s="3">
        <f t="shared" si="0"/>
        <v>0.75075719352954839</v>
      </c>
      <c r="E19" s="4">
        <f>COUNTA(Data!Q4:Q1000)</f>
        <v>11</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2.2727272727272729</v>
      </c>
      <c r="C20" s="3">
        <f>VAR(DT!R4:R1004)</f>
        <v>1.418181818181818</v>
      </c>
      <c r="D20" s="3">
        <f t="shared" si="0"/>
        <v>1.1908743922772955</v>
      </c>
      <c r="E20" s="4">
        <f>COUNTA(Data!R4:R1000)</f>
        <v>11</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2.4545454545454546</v>
      </c>
      <c r="C21" s="3">
        <f>VAR(DT!S4:S1004)</f>
        <v>0.87272727272727335</v>
      </c>
      <c r="D21" s="3">
        <f t="shared" si="0"/>
        <v>0.93419873299382794</v>
      </c>
      <c r="E21" s="4">
        <f>COUNTA(Data!S4:S1000)</f>
        <v>11</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2.4545454545454546</v>
      </c>
      <c r="C22" s="3">
        <f>VAR(DT!T4:T1004)</f>
        <v>0.47272727272727338</v>
      </c>
      <c r="D22" s="3">
        <f t="shared" si="0"/>
        <v>0.68755165095232906</v>
      </c>
      <c r="E22" s="4">
        <f>COUNTA(Data!T4:T1000)</f>
        <v>11</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2.3636363636363638</v>
      </c>
      <c r="C23" s="3">
        <f>VAR(DT!U4:U1004)</f>
        <v>1.6545454545454548</v>
      </c>
      <c r="D23" s="3">
        <f t="shared" si="0"/>
        <v>1.2862913567871996</v>
      </c>
      <c r="E23" s="4">
        <f>COUNTA(Data!U4:U1000)</f>
        <v>11</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2.4545454545454546</v>
      </c>
      <c r="C24" s="3">
        <f>VAR(DT!V4:V1004)</f>
        <v>1.4727272727272733</v>
      </c>
      <c r="D24" s="3">
        <f t="shared" si="0"/>
        <v>1.213559752433836</v>
      </c>
      <c r="E24" s="4">
        <f>COUNTA(Data!V4:V1000)</f>
        <v>11</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2.4545454545454546</v>
      </c>
      <c r="C25" s="3">
        <f>VAR(DT!W4:W1004)</f>
        <v>0.87272727272727335</v>
      </c>
      <c r="D25" s="3">
        <f t="shared" si="0"/>
        <v>0.93419873299382794</v>
      </c>
      <c r="E25" s="4">
        <f>COUNTA(Data!W4:W1000)</f>
        <v>11</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2.2727272727272729</v>
      </c>
      <c r="C26" s="3">
        <f>VAR(DT!X4:X1004)</f>
        <v>2.0181818181818181</v>
      </c>
      <c r="D26" s="3">
        <f t="shared" si="0"/>
        <v>1.4206272622267313</v>
      </c>
      <c r="E26" s="4">
        <f>COUNTA(Data!X4:X1000)</f>
        <v>11</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2.3636363636363638</v>
      </c>
      <c r="C27" s="3">
        <f>VAR(DT!Y4:Y1004)</f>
        <v>1.6545454545454548</v>
      </c>
      <c r="D27" s="3">
        <f t="shared" si="0"/>
        <v>1.2862913567871996</v>
      </c>
      <c r="E27" s="4">
        <f>COUNTA(Data!Y4:Y1000)</f>
        <v>11</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1.7272727272727273</v>
      </c>
      <c r="C28" s="3">
        <f>VAR(DT!Z4:Z1004)</f>
        <v>2.2181818181818178</v>
      </c>
      <c r="D28" s="3">
        <f t="shared" si="0"/>
        <v>1.4893561757289013</v>
      </c>
      <c r="E28" s="4">
        <f>COUNTA(Data!Z4:Z1000)</f>
        <v>11</v>
      </c>
      <c r="F28" s="22" t="str">
        <f>VLOOKUP(Read_First!B5,Items!A1:BA50,52,FALSE)</f>
        <v>conservative</v>
      </c>
      <c r="G28" s="23" t="str">
        <f>VLOOKUP(Read_First!B5,Items!A1:BA50,53,FALSE)</f>
        <v>innovative</v>
      </c>
      <c r="H28" s="28" t="str">
        <f>VLOOKUP(Read_First!B5,Items!A1:BI50,59,FALSE)</f>
        <v>Novelty</v>
      </c>
      <c r="I28" s="138"/>
    </row>
    <row r="39" spans="11:15">
      <c r="K39" s="165" t="s">
        <v>822</v>
      </c>
      <c r="L39" s="165"/>
    </row>
    <row r="40" spans="11:15">
      <c r="K40" s="43" t="str">
        <f>VLOOKUP(Read_First!B5,Items!A1:BI50,54,FALSE)</f>
        <v>Attractiveness</v>
      </c>
      <c r="L40" s="44">
        <f>AVERAGE(DT!AC4:AC1004)</f>
        <v>2.106060606060606</v>
      </c>
    </row>
    <row r="41" spans="11:15">
      <c r="K41" s="1" t="str">
        <f>VLOOKUP(Read_First!B5,Items!A1:BI50,60,FALSE)</f>
        <v>Pragmatic Quality</v>
      </c>
      <c r="L41" s="45">
        <f>(L4+L5+L6)/3</f>
        <v>2.0378787878787876</v>
      </c>
    </row>
    <row r="42" spans="11:15">
      <c r="K42" s="1" t="str">
        <f>VLOOKUP(Read_First!B5,Items!A1:BI50,61,FALSE)</f>
        <v>Hedonic Quality</v>
      </c>
      <c r="L42" s="45">
        <f>(L7+L8)/2</f>
        <v>1.9659090909090908</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11" workbookViewId="0">
      <selection activeCell="E25" sqref="E25"/>
    </sheetView>
  </sheetViews>
  <sheetFormatPr defaultColWidth="9.08984375" defaultRowHeight="14.5"/>
  <cols>
    <col min="5" max="5" width="12.6328125" customWidth="1"/>
    <col min="9" max="9" width="18.6328125" customWidth="1"/>
    <col min="13" max="13" width="11.90625" customWidth="1"/>
    <col min="15" max="15" width="9.54296875" customWidth="1"/>
  </cols>
  <sheetData>
    <row r="1" spans="1:15" ht="100.75"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2</v>
      </c>
      <c r="C5" s="85">
        <f>Results!D3</f>
        <v>1.2649110640673518</v>
      </c>
      <c r="D5" s="73">
        <f>Results!E3</f>
        <v>11</v>
      </c>
      <c r="E5" s="85">
        <f t="shared" ref="E5:E24" si="0">CONFIDENCE(0.05, C5, D5)</f>
        <v>0.74750093421106711</v>
      </c>
      <c r="F5" s="85">
        <f t="shared" ref="F5:F24" si="1">B5-E5</f>
        <v>1.2524990657889328</v>
      </c>
      <c r="G5" s="85">
        <f t="shared" ref="G5:G24" si="2">B5+E5</f>
        <v>2.7475009342110672</v>
      </c>
      <c r="I5" s="87" t="str">
        <f>VLOOKUP(Read_First!B5,Items!A1:BI50,54,FALSE)</f>
        <v>Attractiveness</v>
      </c>
      <c r="J5" s="85">
        <f>AVERAGE(DT!AC4:AC1004)</f>
        <v>2.106060606060606</v>
      </c>
      <c r="K5" s="85">
        <f>STDEV(DT!AC4:AC1004)</f>
        <v>1.209390864289235</v>
      </c>
      <c r="L5" s="73">
        <f>MAX(D5:D24)</f>
        <v>11</v>
      </c>
      <c r="M5" s="85">
        <f>CONFIDENCE(0.05, K5, L5)</f>
        <v>0.71469119573959017</v>
      </c>
      <c r="N5" s="85">
        <f t="shared" ref="N5:N10" si="3">J5-M5</f>
        <v>1.3913694103210159</v>
      </c>
      <c r="O5" s="85">
        <f t="shared" ref="O5:O10" si="4">J5+M5</f>
        <v>2.820751801800196</v>
      </c>
    </row>
    <row r="6" spans="1:15">
      <c r="A6" s="13">
        <v>2</v>
      </c>
      <c r="B6" s="11">
        <f>Results!B4</f>
        <v>2.1818181818181817</v>
      </c>
      <c r="C6" s="11">
        <f>Results!D4</f>
        <v>1.2504544628399561</v>
      </c>
      <c r="D6" s="4">
        <f>Results!E4</f>
        <v>11</v>
      </c>
      <c r="E6" s="11">
        <f t="shared" si="0"/>
        <v>0.73895778581907878</v>
      </c>
      <c r="F6" s="11">
        <f t="shared" si="1"/>
        <v>1.4428603959991029</v>
      </c>
      <c r="G6" s="11">
        <f t="shared" si="2"/>
        <v>2.9207759676372604</v>
      </c>
      <c r="I6" s="10" t="str">
        <f>VLOOKUP(Read_First!B5,Items!A1:BI50,55,FALSE)</f>
        <v>Perspicuity</v>
      </c>
      <c r="J6" s="11">
        <f>AVERAGE(DT!AD4:AD1004)</f>
        <v>1.9772727272727273</v>
      </c>
      <c r="K6" s="11">
        <f>STDEV(DT!AD4:AD1004)</f>
        <v>1.4381174563233068</v>
      </c>
      <c r="L6" s="4">
        <f>L5</f>
        <v>11</v>
      </c>
      <c r="M6" s="11">
        <f t="shared" ref="M6:M10" si="5">CONFIDENCE(0.05, K6, L6)</f>
        <v>0.84985749009914258</v>
      </c>
      <c r="N6" s="11">
        <f t="shared" si="3"/>
        <v>1.1274152371735848</v>
      </c>
      <c r="O6" s="11">
        <f t="shared" si="4"/>
        <v>2.8271302173718698</v>
      </c>
    </row>
    <row r="7" spans="1:15">
      <c r="A7" s="13">
        <v>3</v>
      </c>
      <c r="B7" s="11">
        <f>Results!B5</f>
        <v>1.9090909090909092</v>
      </c>
      <c r="C7" s="11">
        <f>Results!D5</f>
        <v>1.2210278829367864</v>
      </c>
      <c r="D7" s="4">
        <f>Results!E5</f>
        <v>11</v>
      </c>
      <c r="E7" s="11">
        <f t="shared" si="0"/>
        <v>0.72156810792542048</v>
      </c>
      <c r="F7" s="11">
        <f t="shared" si="1"/>
        <v>1.1875228011654886</v>
      </c>
      <c r="G7" s="11">
        <f t="shared" si="2"/>
        <v>2.6306590170163298</v>
      </c>
      <c r="I7" s="10" t="str">
        <f>VLOOKUP(Read_First!B5,Items!A1:BI50,56,FALSE)</f>
        <v>Efficiency</v>
      </c>
      <c r="J7" s="11">
        <f>AVERAGE(DT!AE4:AE1004)</f>
        <v>2.3636363636363638</v>
      </c>
      <c r="K7" s="11">
        <f>STDEV(DT!AE4:AE1004)</f>
        <v>1.0329789226046457</v>
      </c>
      <c r="L7" s="4">
        <f>L6</f>
        <v>11</v>
      </c>
      <c r="M7" s="11">
        <f t="shared" si="5"/>
        <v>0.61044031600485704</v>
      </c>
      <c r="N7" s="11">
        <f t="shared" si="3"/>
        <v>1.7531960476315067</v>
      </c>
      <c r="O7" s="11">
        <f t="shared" si="4"/>
        <v>2.9740766796412208</v>
      </c>
    </row>
    <row r="8" spans="1:15">
      <c r="A8" s="13">
        <v>4</v>
      </c>
      <c r="B8" s="11">
        <f>Results!B6</f>
        <v>1.6363636363636365</v>
      </c>
      <c r="C8" s="11">
        <f>Results!D6</f>
        <v>1.9632996344280855</v>
      </c>
      <c r="D8" s="4">
        <f>Results!E6</f>
        <v>11</v>
      </c>
      <c r="E8" s="11">
        <f t="shared" si="0"/>
        <v>1.1602146210597917</v>
      </c>
      <c r="F8" s="11">
        <f t="shared" si="1"/>
        <v>0.47614901530384479</v>
      </c>
      <c r="G8" s="11">
        <f t="shared" si="2"/>
        <v>2.7965782574234281</v>
      </c>
      <c r="I8" s="12" t="str">
        <f>VLOOKUP(Read_First!B5,Items!A1:BI50,57,FALSE)</f>
        <v>Dependability</v>
      </c>
      <c r="J8" s="11">
        <f>AVERAGE(DT!AF4:AF1004)</f>
        <v>1.7727272727272727</v>
      </c>
      <c r="K8" s="11">
        <f>STDEV(DT!AF4:AF1004)</f>
        <v>0.99658507824561471</v>
      </c>
      <c r="L8" s="4">
        <f>L7</f>
        <v>11</v>
      </c>
      <c r="M8" s="11">
        <f t="shared" si="5"/>
        <v>0.58893332359194273</v>
      </c>
      <c r="N8" s="11">
        <f t="shared" si="3"/>
        <v>1.18379394913533</v>
      </c>
      <c r="O8" s="11">
        <f t="shared" si="4"/>
        <v>2.3616605963192154</v>
      </c>
    </row>
    <row r="9" spans="1:15">
      <c r="A9" s="13">
        <v>5</v>
      </c>
      <c r="B9" s="11">
        <f>Results!B7</f>
        <v>2.5454545454545454</v>
      </c>
      <c r="C9" s="11">
        <f>Results!D7</f>
        <v>0.82019953226472486</v>
      </c>
      <c r="D9" s="4">
        <f>Results!E7</f>
        <v>11</v>
      </c>
      <c r="E9" s="11">
        <f t="shared" si="0"/>
        <v>0.48469804243463938</v>
      </c>
      <c r="F9" s="11">
        <f t="shared" si="1"/>
        <v>2.0607565030199062</v>
      </c>
      <c r="G9" s="11">
        <f t="shared" si="2"/>
        <v>3.0301525878891846</v>
      </c>
      <c r="I9" s="12" t="str">
        <f>VLOOKUP(Read_First!B5,Items!A1:BI50,58,FALSE)</f>
        <v>Stimulation</v>
      </c>
      <c r="J9" s="11">
        <f>AVERAGE(DT!AG4:AG1004)</f>
        <v>2.2954545454545454</v>
      </c>
      <c r="K9" s="11">
        <f>STDEV(DT!AG4:AG1004)</f>
        <v>0.87904907299153257</v>
      </c>
      <c r="L9" s="4">
        <f>L8</f>
        <v>11</v>
      </c>
      <c r="M9" s="11">
        <f t="shared" si="5"/>
        <v>0.51947525952192597</v>
      </c>
      <c r="N9" s="11">
        <f t="shared" si="3"/>
        <v>1.7759792859326193</v>
      </c>
      <c r="O9" s="11">
        <f t="shared" si="4"/>
        <v>2.8149298049764715</v>
      </c>
    </row>
    <row r="10" spans="1:15">
      <c r="A10" s="13">
        <v>6</v>
      </c>
      <c r="B10" s="11">
        <f>Results!B8</f>
        <v>2.0909090909090908</v>
      </c>
      <c r="C10" s="11">
        <f>Results!D8</f>
        <v>1.1361818036340356</v>
      </c>
      <c r="D10" s="4">
        <f>Results!E8</f>
        <v>11</v>
      </c>
      <c r="E10" s="11">
        <f t="shared" si="0"/>
        <v>0.67142820058757502</v>
      </c>
      <c r="F10" s="11">
        <f t="shared" si="1"/>
        <v>1.4194808903215157</v>
      </c>
      <c r="G10" s="11">
        <f t="shared" si="2"/>
        <v>2.762337291496666</v>
      </c>
      <c r="I10" s="10" t="str">
        <f>VLOOKUP(Read_First!B5,Items!A1:BI50,59,FALSE)</f>
        <v>Novelty</v>
      </c>
      <c r="J10" s="11">
        <f>AVERAGE(DT!AH4:AH1004)</f>
        <v>1.6363636363636365</v>
      </c>
      <c r="K10" s="11">
        <f>STDEV(DT!AH4:AH1004)</f>
        <v>1.4069632029820307</v>
      </c>
      <c r="L10" s="4">
        <f>L9</f>
        <v>11</v>
      </c>
      <c r="M10" s="11">
        <f t="shared" si="5"/>
        <v>0.83144684120943357</v>
      </c>
      <c r="N10" s="11">
        <f t="shared" si="3"/>
        <v>0.80491679515420289</v>
      </c>
      <c r="O10" s="11">
        <f t="shared" si="4"/>
        <v>2.46781047757307</v>
      </c>
    </row>
    <row r="11" spans="1:15">
      <c r="A11" s="13">
        <v>7</v>
      </c>
      <c r="B11" s="11">
        <f>Results!B9</f>
        <v>2.2727272727272729</v>
      </c>
      <c r="C11" s="11">
        <f>Results!D9</f>
        <v>0.78624539310689634</v>
      </c>
      <c r="D11" s="4">
        <f>Results!E9</f>
        <v>11</v>
      </c>
      <c r="E11" s="11">
        <f t="shared" si="0"/>
        <v>0.46463279716814843</v>
      </c>
      <c r="F11" s="11">
        <f t="shared" si="1"/>
        <v>1.8080944755591246</v>
      </c>
      <c r="G11" s="11">
        <f t="shared" si="2"/>
        <v>2.7373600698954212</v>
      </c>
    </row>
    <row r="12" spans="1:15">
      <c r="A12" s="13">
        <v>8</v>
      </c>
      <c r="B12" s="11">
        <f>Results!B10</f>
        <v>2.3636363636363638</v>
      </c>
      <c r="C12" s="11">
        <f>Results!D10</f>
        <v>1.2060453783110545</v>
      </c>
      <c r="D12" s="4">
        <f>Results!E10</f>
        <v>11</v>
      </c>
      <c r="E12" s="11">
        <f t="shared" si="0"/>
        <v>0.71271417619638311</v>
      </c>
      <c r="F12" s="11">
        <f t="shared" si="1"/>
        <v>1.6509221874399806</v>
      </c>
      <c r="G12" s="11">
        <f t="shared" si="2"/>
        <v>3.0763505398327471</v>
      </c>
    </row>
    <row r="13" spans="1:15">
      <c r="A13" s="13">
        <v>9</v>
      </c>
      <c r="B13" s="11">
        <f>Results!B11</f>
        <v>2.0909090909090908</v>
      </c>
      <c r="C13" s="11">
        <f>Results!D11</f>
        <v>1.8140862964338522</v>
      </c>
      <c r="D13" s="4">
        <f>Results!E11</f>
        <v>11</v>
      </c>
      <c r="E13" s="11">
        <f t="shared" si="0"/>
        <v>1.0720367936093851</v>
      </c>
      <c r="F13" s="11">
        <f t="shared" si="1"/>
        <v>1.0188722972997057</v>
      </c>
      <c r="G13" s="11">
        <f t="shared" si="2"/>
        <v>3.1629458845184759</v>
      </c>
      <c r="I13" s="15"/>
    </row>
    <row r="14" spans="1:15">
      <c r="A14" s="13">
        <v>10</v>
      </c>
      <c r="B14" s="11">
        <f>Results!B12</f>
        <v>1.2727272727272727</v>
      </c>
      <c r="C14" s="11">
        <f>Results!D12</f>
        <v>2.1950357213908429</v>
      </c>
      <c r="D14" s="4">
        <f>Results!E12</f>
        <v>11</v>
      </c>
      <c r="E14" s="11">
        <f t="shared" si="0"/>
        <v>1.2971593805894268</v>
      </c>
      <c r="F14" s="11">
        <f t="shared" si="1"/>
        <v>-2.4432107862154107E-2</v>
      </c>
      <c r="G14" s="11">
        <f t="shared" si="2"/>
        <v>2.5698866533166997</v>
      </c>
    </row>
    <row r="15" spans="1:15">
      <c r="A15" s="13">
        <v>11</v>
      </c>
      <c r="B15" s="11">
        <f>Results!B13</f>
        <v>2.0909090909090908</v>
      </c>
      <c r="C15" s="11">
        <f>Results!D13</f>
        <v>1.6403990645294486</v>
      </c>
      <c r="D15" s="4">
        <f>Results!E13</f>
        <v>11</v>
      </c>
      <c r="E15" s="11">
        <f t="shared" si="0"/>
        <v>0.96939608486927809</v>
      </c>
      <c r="F15" s="11">
        <f t="shared" si="1"/>
        <v>1.1215130060398129</v>
      </c>
      <c r="G15" s="11">
        <f t="shared" si="2"/>
        <v>3.0603051757783688</v>
      </c>
      <c r="J15" s="84"/>
    </row>
    <row r="16" spans="1:15">
      <c r="A16" s="13">
        <v>12</v>
      </c>
      <c r="B16" s="11">
        <f>Results!B14</f>
        <v>2.0909090909090908</v>
      </c>
      <c r="C16" s="11">
        <f>Results!D14</f>
        <v>1.6403990645294486</v>
      </c>
      <c r="D16" s="4">
        <f>Results!E14</f>
        <v>11</v>
      </c>
      <c r="E16" s="11">
        <f t="shared" si="0"/>
        <v>0.96939608486927809</v>
      </c>
      <c r="F16" s="11">
        <f t="shared" si="1"/>
        <v>1.1215130060398129</v>
      </c>
      <c r="G16" s="11">
        <f t="shared" si="2"/>
        <v>3.0603051757783688</v>
      </c>
    </row>
    <row r="17" spans="1:7">
      <c r="A17" s="13">
        <v>13</v>
      </c>
      <c r="B17" s="11">
        <f>Results!B15</f>
        <v>1.7272727272727273</v>
      </c>
      <c r="C17" s="11">
        <f>Results!D15</f>
        <v>2.0538212722098819</v>
      </c>
      <c r="D17" s="4">
        <f>Results!E15</f>
        <v>11</v>
      </c>
      <c r="E17" s="11">
        <f t="shared" si="0"/>
        <v>1.2137085074921152</v>
      </c>
      <c r="F17" s="11">
        <f t="shared" si="1"/>
        <v>0.51356421978061206</v>
      </c>
      <c r="G17" s="11">
        <f t="shared" si="2"/>
        <v>2.9409812347648425</v>
      </c>
    </row>
    <row r="18" spans="1:7">
      <c r="A18" s="13">
        <v>14</v>
      </c>
      <c r="B18" s="11">
        <f>Results!B16</f>
        <v>2.1818181818181817</v>
      </c>
      <c r="C18" s="11">
        <f>Results!D16</f>
        <v>1.2504544628399561</v>
      </c>
      <c r="D18" s="4">
        <f>Results!E16</f>
        <v>11</v>
      </c>
      <c r="E18" s="11">
        <f t="shared" si="0"/>
        <v>0.73895778581907878</v>
      </c>
      <c r="F18" s="11">
        <f t="shared" si="1"/>
        <v>1.4428603959991029</v>
      </c>
      <c r="G18" s="11">
        <f t="shared" si="2"/>
        <v>2.9207759676372604</v>
      </c>
    </row>
    <row r="19" spans="1:7">
      <c r="A19" s="13">
        <v>15</v>
      </c>
      <c r="B19" s="11">
        <f>Results!B17</f>
        <v>1.6363636363636365</v>
      </c>
      <c r="C19" s="11">
        <f>Results!D17</f>
        <v>2.0135901903181428</v>
      </c>
      <c r="D19" s="4">
        <f>Results!E17</f>
        <v>11</v>
      </c>
      <c r="E19" s="11">
        <f t="shared" si="0"/>
        <v>1.1899338942780469</v>
      </c>
      <c r="F19" s="11">
        <f t="shared" si="1"/>
        <v>0.44642974208558961</v>
      </c>
      <c r="G19" s="11">
        <f t="shared" si="2"/>
        <v>2.8262975306416833</v>
      </c>
    </row>
    <row r="20" spans="1:7">
      <c r="A20" s="13">
        <v>16</v>
      </c>
      <c r="B20" s="11">
        <f>Results!B18</f>
        <v>1.7272727272727273</v>
      </c>
      <c r="C20" s="11">
        <f>Results!D18</f>
        <v>2.0045403009622476</v>
      </c>
      <c r="D20" s="4">
        <f>Results!E18</f>
        <v>11</v>
      </c>
      <c r="E20" s="11">
        <f t="shared" si="0"/>
        <v>1.1845858497077939</v>
      </c>
      <c r="F20" s="11">
        <f t="shared" si="1"/>
        <v>0.54268687756493339</v>
      </c>
      <c r="G20" s="11">
        <f t="shared" si="2"/>
        <v>2.9118585769805212</v>
      </c>
    </row>
    <row r="21" spans="1:7">
      <c r="A21" s="13">
        <v>17</v>
      </c>
      <c r="B21" s="11">
        <f>Results!B19</f>
        <v>0.18181818181818182</v>
      </c>
      <c r="C21" s="11">
        <f>Results!D19</f>
        <v>0.75075719352954839</v>
      </c>
      <c r="D21" s="4">
        <f>Results!E19</f>
        <v>11</v>
      </c>
      <c r="E21" s="11">
        <f t="shared" si="0"/>
        <v>0.4436609967854111</v>
      </c>
      <c r="F21" s="11">
        <f t="shared" si="1"/>
        <v>-0.26184281496722928</v>
      </c>
      <c r="G21" s="11">
        <f t="shared" si="2"/>
        <v>0.62547917860359292</v>
      </c>
    </row>
    <row r="22" spans="1:7">
      <c r="A22" s="13">
        <v>18</v>
      </c>
      <c r="B22" s="11">
        <f>Results!B20</f>
        <v>2.2727272727272729</v>
      </c>
      <c r="C22" s="11">
        <f>Results!D20</f>
        <v>1.1908743922772955</v>
      </c>
      <c r="D22" s="4">
        <f>Results!E20</f>
        <v>11</v>
      </c>
      <c r="E22" s="11">
        <f t="shared" si="0"/>
        <v>0.70374886111986479</v>
      </c>
      <c r="F22" s="11">
        <f t="shared" si="1"/>
        <v>1.5689784116074081</v>
      </c>
      <c r="G22" s="11">
        <f t="shared" si="2"/>
        <v>2.9764761338471377</v>
      </c>
    </row>
    <row r="23" spans="1:7">
      <c r="A23" s="13">
        <v>19</v>
      </c>
      <c r="B23" s="11">
        <f>Results!B21</f>
        <v>2.4545454545454546</v>
      </c>
      <c r="C23" s="11">
        <f>Results!D21</f>
        <v>0.93419873299382794</v>
      </c>
      <c r="D23" s="4">
        <f>Results!E21</f>
        <v>11</v>
      </c>
      <c r="E23" s="11">
        <f t="shared" si="0"/>
        <v>0.5520660270029063</v>
      </c>
      <c r="F23" s="11">
        <f t="shared" si="1"/>
        <v>1.9024794275425483</v>
      </c>
      <c r="G23" s="11">
        <f t="shared" si="2"/>
        <v>3.0066114815483607</v>
      </c>
    </row>
    <row r="24" spans="1:7">
      <c r="A24" s="13">
        <v>20</v>
      </c>
      <c r="B24" s="11">
        <f>Results!B22</f>
        <v>2.4545454545454546</v>
      </c>
      <c r="C24" s="11">
        <f>Results!D22</f>
        <v>0.68755165095232906</v>
      </c>
      <c r="D24" s="4">
        <f>Results!E22</f>
        <v>11</v>
      </c>
      <c r="E24" s="11">
        <f t="shared" si="0"/>
        <v>0.40630959440944681</v>
      </c>
      <c r="F24" s="11">
        <f t="shared" si="1"/>
        <v>2.0482358601360078</v>
      </c>
      <c r="G24" s="11">
        <f t="shared" si="2"/>
        <v>2.8608550489549014</v>
      </c>
    </row>
    <row r="25" spans="1:7">
      <c r="A25" s="14">
        <v>21</v>
      </c>
      <c r="B25" s="11">
        <f>Results!B23</f>
        <v>2.3636363636363638</v>
      </c>
      <c r="C25" s="11">
        <f>Results!D23</f>
        <v>1.2862913567871996</v>
      </c>
      <c r="D25" s="4">
        <f>Results!E23</f>
        <v>11</v>
      </c>
      <c r="E25" s="11">
        <f t="shared" ref="E25:E30" si="6">CONFIDENCE(0.05, C25, D25)</f>
        <v>0.76013564761961494</v>
      </c>
      <c r="F25" s="11">
        <f t="shared" ref="F25:F30" si="7">B25-E25</f>
        <v>1.6035007160167489</v>
      </c>
      <c r="G25" s="11">
        <f t="shared" ref="G25:G30" si="8">B25+E25</f>
        <v>3.1237720112559786</v>
      </c>
    </row>
    <row r="26" spans="1:7">
      <c r="A26" s="14">
        <v>22</v>
      </c>
      <c r="B26" s="11">
        <f>Results!B24</f>
        <v>2.4545454545454546</v>
      </c>
      <c r="C26" s="11">
        <f>Results!D24</f>
        <v>1.213559752433836</v>
      </c>
      <c r="D26" s="4">
        <f>Results!E24</f>
        <v>11</v>
      </c>
      <c r="E26" s="11">
        <f t="shared" si="6"/>
        <v>0.71715480592629399</v>
      </c>
      <c r="F26" s="11">
        <f t="shared" si="7"/>
        <v>1.7373906486191606</v>
      </c>
      <c r="G26" s="11">
        <f t="shared" si="8"/>
        <v>3.1717002604717486</v>
      </c>
    </row>
    <row r="27" spans="1:7">
      <c r="A27" s="14">
        <v>23</v>
      </c>
      <c r="B27" s="11">
        <f>Results!B25</f>
        <v>2.4545454545454546</v>
      </c>
      <c r="C27" s="11">
        <f>Results!D25</f>
        <v>0.93419873299382794</v>
      </c>
      <c r="D27" s="4">
        <f>Results!E25</f>
        <v>11</v>
      </c>
      <c r="E27" s="11">
        <f t="shared" si="6"/>
        <v>0.5520660270029063</v>
      </c>
      <c r="F27" s="11">
        <f t="shared" si="7"/>
        <v>1.9024794275425483</v>
      </c>
      <c r="G27" s="11">
        <f t="shared" si="8"/>
        <v>3.0066114815483607</v>
      </c>
    </row>
    <row r="28" spans="1:7">
      <c r="A28" s="14">
        <v>24</v>
      </c>
      <c r="B28" s="11">
        <f>Results!B26</f>
        <v>2.2727272727272729</v>
      </c>
      <c r="C28" s="11">
        <f>Results!D26</f>
        <v>1.4206272622267313</v>
      </c>
      <c r="D28" s="4">
        <f>Results!E26</f>
        <v>11</v>
      </c>
      <c r="E28" s="11">
        <f t="shared" si="6"/>
        <v>0.8395216358259705</v>
      </c>
      <c r="F28" s="11">
        <f t="shared" si="7"/>
        <v>1.4332056369013024</v>
      </c>
      <c r="G28" s="11">
        <f t="shared" si="8"/>
        <v>3.1122489085532434</v>
      </c>
    </row>
    <row r="29" spans="1:7">
      <c r="A29" s="14">
        <v>25</v>
      </c>
      <c r="B29" s="11">
        <f>Results!B27</f>
        <v>2.3636363636363638</v>
      </c>
      <c r="C29" s="11">
        <f>Results!D27</f>
        <v>1.2862913567871996</v>
      </c>
      <c r="D29" s="4">
        <f>Results!E27</f>
        <v>11</v>
      </c>
      <c r="E29" s="11">
        <f t="shared" si="6"/>
        <v>0.76013564761961494</v>
      </c>
      <c r="F29" s="11">
        <f t="shared" si="7"/>
        <v>1.6035007160167489</v>
      </c>
      <c r="G29" s="11">
        <f t="shared" si="8"/>
        <v>3.1237720112559786</v>
      </c>
    </row>
    <row r="30" spans="1:7">
      <c r="A30" s="14">
        <v>26</v>
      </c>
      <c r="B30" s="11">
        <f>Results!B28</f>
        <v>1.7272727272727273</v>
      </c>
      <c r="C30" s="11">
        <f>Results!D28</f>
        <v>1.4893561757289013</v>
      </c>
      <c r="D30" s="4">
        <f>Results!E28</f>
        <v>11</v>
      </c>
      <c r="E30" s="11">
        <f t="shared" si="6"/>
        <v>0.88013708185186468</v>
      </c>
      <c r="F30" s="11">
        <f t="shared" si="7"/>
        <v>0.84713564542086262</v>
      </c>
      <c r="G30" s="11">
        <f t="shared" si="8"/>
        <v>2.6074098091245919</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39" workbookViewId="0">
      <selection activeCell="M19" sqref="M19"/>
    </sheetView>
  </sheetViews>
  <sheetFormatPr defaultColWidth="8.90625" defaultRowHeight="14.5"/>
  <cols>
    <col min="1" max="1" width="8.90625" style="46"/>
    <col min="2" max="2" width="39.90625" style="46" customWidth="1"/>
    <col min="3" max="3" width="8.90625" style="46" customWidth="1"/>
    <col min="4" max="9" width="8.90625" style="46"/>
    <col min="10" max="10" width="18" style="46" customWidth="1"/>
    <col min="11" max="11" width="5.36328125" style="46" customWidth="1"/>
    <col min="12" max="16384" width="8.90625" style="46"/>
  </cols>
  <sheetData>
    <row r="1" spans="1:11" ht="82.2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1</v>
      </c>
      <c r="F3" s="1">
        <f>COUNTIF(DT!A4:A1004,"0")</f>
        <v>0</v>
      </c>
      <c r="G3" s="1">
        <f>COUNTIF(DT!A4:A1004,"1")</f>
        <v>2</v>
      </c>
      <c r="H3" s="1">
        <f>COUNTIF(DT!A4:A1004,"2")</f>
        <v>3</v>
      </c>
      <c r="I3" s="1">
        <f>COUNTIF(DT!A4:A1004,"3")</f>
        <v>5</v>
      </c>
      <c r="J3" s="28" t="str">
        <f>Results!H3</f>
        <v>Attractiveness</v>
      </c>
    </row>
    <row r="4" spans="1:11">
      <c r="A4" s="2">
        <v>2</v>
      </c>
      <c r="B4" s="1" t="str">
        <f>_xlfn.CONCAT(Results!F4,"/",Results!G4)</f>
        <v>not understandable/understandable</v>
      </c>
      <c r="C4" s="1">
        <f>COUNTIF(DT!B4:B1004,"-3")</f>
        <v>0</v>
      </c>
      <c r="D4" s="1">
        <f>COUNTIF(DT!B4:B1004,"-2")</f>
        <v>0</v>
      </c>
      <c r="E4" s="1">
        <f>COUNTIF(DT!B4:B1004,"-1")</f>
        <v>1</v>
      </c>
      <c r="F4" s="1">
        <f>COUNTIF(DT!B4:B1004,"0")</f>
        <v>0</v>
      </c>
      <c r="G4" s="1">
        <f>COUNTIF(DT!B4:B1004,"1")</f>
        <v>1</v>
      </c>
      <c r="H4" s="1">
        <f>COUNTIF(DT!B4:B1004,"2")</f>
        <v>3</v>
      </c>
      <c r="I4" s="1">
        <f>COUNTIF(DT!B4:B1004,"3")</f>
        <v>6</v>
      </c>
      <c r="J4" s="28" t="str">
        <f>Results!H4</f>
        <v>Perspicuity</v>
      </c>
    </row>
    <row r="5" spans="1:11">
      <c r="A5" s="2">
        <v>3</v>
      </c>
      <c r="B5" s="1" t="str">
        <f>_xlfn.CONCAT(Results!G5,"/",Results!F5)</f>
        <v>dull/creative</v>
      </c>
      <c r="C5" s="1">
        <f>COUNTIF(DT!C4:C1004,"-3")</f>
        <v>0</v>
      </c>
      <c r="D5" s="1">
        <f>COUNTIF(DT!C4:C1004,"-2")</f>
        <v>0</v>
      </c>
      <c r="E5" s="1">
        <f>COUNTIF(DT!C4:C1004,"-1")</f>
        <v>1</v>
      </c>
      <c r="F5" s="1">
        <f>COUNTIF(DT!C4:C1004,"0")</f>
        <v>0</v>
      </c>
      <c r="G5" s="1">
        <f>COUNTIF(DT!C4:C1004,"1")</f>
        <v>2</v>
      </c>
      <c r="H5" s="1">
        <f>COUNTIF(DT!C4:C1004,"2")</f>
        <v>4</v>
      </c>
      <c r="I5" s="1">
        <f>COUNTIF(DT!C4:C1004,"3")</f>
        <v>4</v>
      </c>
      <c r="J5" s="28" t="str">
        <f>Results!H5</f>
        <v>Novelty</v>
      </c>
    </row>
    <row r="6" spans="1:11">
      <c r="A6" s="2">
        <v>4</v>
      </c>
      <c r="B6" s="1" t="str">
        <f>_xlfn.CONCAT(Results!G6,"/",Results!F6)</f>
        <v>difficult to learn/easy to learn</v>
      </c>
      <c r="C6" s="1">
        <f>COUNTIF(DT!D4:D1004,"-3")</f>
        <v>0</v>
      </c>
      <c r="D6" s="1">
        <f>COUNTIF(DT!D4:D1004,"-2")</f>
        <v>1</v>
      </c>
      <c r="E6" s="1">
        <f>COUNTIF(DT!D4:D1004,"-1")</f>
        <v>2</v>
      </c>
      <c r="F6" s="1">
        <f>COUNTIF(DT!D4:D1004,"0")</f>
        <v>0</v>
      </c>
      <c r="G6" s="1">
        <f>COUNTIF(DT!D4:D1004,"1")</f>
        <v>0</v>
      </c>
      <c r="H6" s="1">
        <f>COUNTIF(DT!D4:D1004,"2")</f>
        <v>2</v>
      </c>
      <c r="I6" s="1">
        <f>COUNTIF(DT!D4:D1004,"3")</f>
        <v>6</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2</v>
      </c>
      <c r="H7" s="1">
        <f>COUNTIF(DT!E4:E1004,"2")</f>
        <v>1</v>
      </c>
      <c r="I7" s="1">
        <f>COUNTIF(DT!E4:E1004,"3")</f>
        <v>8</v>
      </c>
      <c r="J7" s="29" t="str">
        <f>Results!H7</f>
        <v>Stimulation</v>
      </c>
    </row>
    <row r="8" spans="1:11">
      <c r="A8" s="2">
        <v>6</v>
      </c>
      <c r="B8" s="1" t="str">
        <f>_xlfn.CONCAT(Results!F8,"/",Results!G8)</f>
        <v>boring/exciting</v>
      </c>
      <c r="C8" s="1">
        <f>COUNTIF(DT!F4:F1004,"-3")</f>
        <v>0</v>
      </c>
      <c r="D8" s="1">
        <f>COUNTIF(DT!F4:F1004,"-2")</f>
        <v>0</v>
      </c>
      <c r="E8" s="1">
        <f>COUNTIF(DT!F4:F1004,"-1")</f>
        <v>0</v>
      </c>
      <c r="F8" s="1">
        <f>COUNTIF(DT!F4:F1004,"0")</f>
        <v>2</v>
      </c>
      <c r="G8" s="1">
        <f>COUNTIF(DT!F4:F1004,"1")</f>
        <v>0</v>
      </c>
      <c r="H8" s="1">
        <f>COUNTIF(DT!F4:F1004,"2")</f>
        <v>4</v>
      </c>
      <c r="I8" s="1">
        <f>COUNTIF(DT!F4:F1004,"3")</f>
        <v>5</v>
      </c>
      <c r="J8" s="29"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2</v>
      </c>
      <c r="H9" s="1">
        <f>COUNTIF(DT!G4:G1004,"2")</f>
        <v>4</v>
      </c>
      <c r="I9" s="1">
        <f>COUNTIF(DT!G4:G1004,"3")</f>
        <v>5</v>
      </c>
      <c r="J9" s="29" t="str">
        <f>Results!H9</f>
        <v>Stimulation</v>
      </c>
    </row>
    <row r="10" spans="1:11">
      <c r="A10" s="2">
        <v>8</v>
      </c>
      <c r="B10" s="1" t="str">
        <f>_xlfn.CONCAT(Results!F10,"/",Results!G10)</f>
        <v>unpredictable/predictable</v>
      </c>
      <c r="C10" s="1">
        <f>COUNTIF(DT!H4:H1004,"-3")</f>
        <v>0</v>
      </c>
      <c r="D10" s="1">
        <f>COUNTIF(DT!H4:H1004,"-2")</f>
        <v>0</v>
      </c>
      <c r="E10" s="1">
        <f>COUNTIF(DT!H4:H1004,"-1")</f>
        <v>1</v>
      </c>
      <c r="F10" s="1">
        <f>COUNTIF(DT!H4:H1004,"0")</f>
        <v>0</v>
      </c>
      <c r="G10" s="1">
        <f>COUNTIF(DT!H4:H1004,"1")</f>
        <v>0</v>
      </c>
      <c r="H10" s="1">
        <f>COUNTIF(DT!H4:H1004,"2")</f>
        <v>3</v>
      </c>
      <c r="I10" s="1">
        <f>COUNTIF(DT!H4:H1004,"3")</f>
        <v>7</v>
      </c>
      <c r="J10" s="28" t="str">
        <f>Results!H10</f>
        <v>Dependability</v>
      </c>
    </row>
    <row r="11" spans="1:11">
      <c r="A11" s="2">
        <v>9</v>
      </c>
      <c r="B11" s="1" t="str">
        <f>_xlfn.CONCAT(Results!G11,"/",Results!F11)</f>
        <v>slow/fast</v>
      </c>
      <c r="C11" s="1">
        <f>COUNTIF(DT!I4:I1004,"-3")</f>
        <v>0</v>
      </c>
      <c r="D11" s="1">
        <f>COUNTIF(DT!I4:I1004,"-2")</f>
        <v>1</v>
      </c>
      <c r="E11" s="1">
        <f>COUNTIF(DT!I4:I1004,"-1")</f>
        <v>1</v>
      </c>
      <c r="F11" s="1">
        <f>COUNTIF(DT!I4:I1004,"0")</f>
        <v>0</v>
      </c>
      <c r="G11" s="1">
        <f>COUNTIF(DT!I4:I1004,"1")</f>
        <v>0</v>
      </c>
      <c r="H11" s="1">
        <f>COUNTIF(DT!I4:I1004,"2")</f>
        <v>1</v>
      </c>
      <c r="I11" s="1">
        <f>COUNTIF(DT!I4:I1004,"3")</f>
        <v>8</v>
      </c>
      <c r="J11" s="28" t="str">
        <f>Results!H11</f>
        <v>Efficiency</v>
      </c>
    </row>
    <row r="12" spans="1:11">
      <c r="A12" s="2">
        <v>10</v>
      </c>
      <c r="B12" s="1" t="str">
        <f>_xlfn.CONCAT(Results!G12,"/",Results!F12)</f>
        <v>conventional/inventive</v>
      </c>
      <c r="C12" s="1">
        <f>COUNTIF(DT!J4:J1004,"-3")</f>
        <v>1</v>
      </c>
      <c r="D12" s="1">
        <f>COUNTIF(DT!J4:J1004,"-2")</f>
        <v>1</v>
      </c>
      <c r="E12" s="1">
        <f>COUNTIF(DT!J4:J1004,"-1")</f>
        <v>0</v>
      </c>
      <c r="F12" s="1">
        <f>COUNTIF(DT!J4:J1004,"0")</f>
        <v>2</v>
      </c>
      <c r="G12" s="1">
        <f>COUNTIF(DT!J4:J1004,"1")</f>
        <v>0</v>
      </c>
      <c r="H12" s="1">
        <f>COUNTIF(DT!J4:J1004,"2")</f>
        <v>2</v>
      </c>
      <c r="I12" s="1">
        <f>COUNTIF(DT!J4:J1004,"3")</f>
        <v>5</v>
      </c>
      <c r="J12" s="28" t="str">
        <f>Results!H12</f>
        <v>Novelty</v>
      </c>
    </row>
    <row r="13" spans="1:11">
      <c r="A13" s="2">
        <v>11</v>
      </c>
      <c r="B13" s="1" t="str">
        <f>_xlfn.CONCAT(Results!F13,"/",Results!G13)</f>
        <v>obstructive/supportive</v>
      </c>
      <c r="C13" s="1">
        <f>COUNTIF(DT!K4:K1004,"-3")</f>
        <v>0</v>
      </c>
      <c r="D13" s="1">
        <f>COUNTIF(DT!K4:K1004,"-2")</f>
        <v>1</v>
      </c>
      <c r="E13" s="1">
        <f>COUNTIF(DT!K4:K1004,"-1")</f>
        <v>0</v>
      </c>
      <c r="F13" s="1">
        <f>COUNTIF(DT!K4:K1004,"0")</f>
        <v>1</v>
      </c>
      <c r="G13" s="1">
        <f>COUNTIF(DT!K4:K1004,"1")</f>
        <v>0</v>
      </c>
      <c r="H13" s="1">
        <f>COUNTIF(DT!K4:K1004,"2")</f>
        <v>2</v>
      </c>
      <c r="I13" s="1">
        <f>COUNTIF(DT!K4:K1004,"3")</f>
        <v>7</v>
      </c>
      <c r="J13" s="28" t="str">
        <f>Results!H13</f>
        <v>Dependability</v>
      </c>
    </row>
    <row r="14" spans="1:11">
      <c r="A14" s="2">
        <v>12</v>
      </c>
      <c r="B14" s="1" t="str">
        <f>_xlfn.CONCAT(Results!G14,"/",Results!F14)</f>
        <v>bad/good</v>
      </c>
      <c r="C14" s="1">
        <f>COUNTIF(DT!L4:L1004,"-3")</f>
        <v>0</v>
      </c>
      <c r="D14" s="1">
        <f>COUNTIF(DT!L4:L1004,"-2")</f>
        <v>1</v>
      </c>
      <c r="E14" s="1">
        <f>COUNTIF(DT!L4:L1004,"-1")</f>
        <v>0</v>
      </c>
      <c r="F14" s="1">
        <f>COUNTIF(DT!L4:L1004,"0")</f>
        <v>1</v>
      </c>
      <c r="G14" s="1">
        <f>COUNTIF(DT!L4:L1004,"1")</f>
        <v>0</v>
      </c>
      <c r="H14" s="1">
        <f>COUNTIF(DT!L4:L1004,"2")</f>
        <v>2</v>
      </c>
      <c r="I14" s="1">
        <f>COUNTIF(DT!L4:L1004,"3")</f>
        <v>7</v>
      </c>
      <c r="J14" s="28" t="str">
        <f>Results!H14</f>
        <v>Attractiveness</v>
      </c>
    </row>
    <row r="15" spans="1:11">
      <c r="A15" s="2">
        <v>13</v>
      </c>
      <c r="B15" s="1" t="str">
        <f>_xlfn.CONCAT(Results!F15,"/",Results!G15)</f>
        <v>complicated/easy</v>
      </c>
      <c r="C15" s="1">
        <f>COUNTIF(DT!M4:M1004,"-3")</f>
        <v>0</v>
      </c>
      <c r="D15" s="1">
        <f>COUNTIF(DT!M4:M1004,"-2")</f>
        <v>2</v>
      </c>
      <c r="E15" s="1">
        <f>COUNTIF(DT!M4:M1004,"-1")</f>
        <v>0</v>
      </c>
      <c r="F15" s="1">
        <f>COUNTIF(DT!M4:M1004,"0")</f>
        <v>1</v>
      </c>
      <c r="G15" s="1">
        <f>COUNTIF(DT!M4:M1004,"1")</f>
        <v>0</v>
      </c>
      <c r="H15" s="1">
        <f>COUNTIF(DT!M4:M1004,"2")</f>
        <v>1</v>
      </c>
      <c r="I15" s="1">
        <f>COUNTIF(DT!M4:M1004,"3")</f>
        <v>7</v>
      </c>
      <c r="J15" s="28" t="str">
        <f>Results!H15</f>
        <v>Perspicuity</v>
      </c>
    </row>
    <row r="16" spans="1:11">
      <c r="A16" s="2">
        <v>14</v>
      </c>
      <c r="B16" s="1" t="str">
        <f>_xlfn.CONCAT(Results!F16,"/",Results!G16)</f>
        <v>unlikable/pleasing</v>
      </c>
      <c r="C16" s="1">
        <f>COUNTIF(DT!N4:N1004,"-3")</f>
        <v>0</v>
      </c>
      <c r="D16" s="1">
        <f>COUNTIF(DT!N4:N1004,"-2")</f>
        <v>0</v>
      </c>
      <c r="E16" s="1">
        <f>COUNTIF(DT!N4:N1004,"-1")</f>
        <v>1</v>
      </c>
      <c r="F16" s="1">
        <f>COUNTIF(DT!N4:N1004,"0")</f>
        <v>0</v>
      </c>
      <c r="G16" s="1">
        <f>COUNTIF(DT!N4:N1004,"1")</f>
        <v>1</v>
      </c>
      <c r="H16" s="1">
        <f>COUNTIF(DT!N4:N1004,"2")</f>
        <v>3</v>
      </c>
      <c r="I16" s="1">
        <f>COUNTIF(DT!N4:N1004,"3")</f>
        <v>6</v>
      </c>
      <c r="J16" s="28" t="str">
        <f>Results!H16</f>
        <v>Attractiveness</v>
      </c>
    </row>
    <row r="17" spans="1:10">
      <c r="A17" s="2">
        <v>15</v>
      </c>
      <c r="B17" s="1" t="str">
        <f>_xlfn.CONCAT(Results!F17,"/",Results!G17)</f>
        <v>usual/leading edge</v>
      </c>
      <c r="C17" s="1">
        <f>COUNTIF(DT!O4:O1004,"-3")</f>
        <v>1</v>
      </c>
      <c r="D17" s="1">
        <f>COUNTIF(DT!O4:O1004,"-2")</f>
        <v>0</v>
      </c>
      <c r="E17" s="1">
        <f>COUNTIF(DT!O4:O1004,"-1")</f>
        <v>1</v>
      </c>
      <c r="F17" s="1">
        <f>COUNTIF(DT!O4:O1004,"0")</f>
        <v>0</v>
      </c>
      <c r="G17" s="1">
        <f>COUNTIF(DT!O4:O1004,"1")</f>
        <v>2</v>
      </c>
      <c r="H17" s="1">
        <f>COUNTIF(DT!O4:O1004,"2")</f>
        <v>1</v>
      </c>
      <c r="I17" s="1">
        <f>COUNTIF(DT!O4:O1004,"3")</f>
        <v>6</v>
      </c>
      <c r="J17" s="28" t="str">
        <f>Results!H17</f>
        <v>Novelty</v>
      </c>
    </row>
    <row r="18" spans="1:10">
      <c r="A18" s="2">
        <v>16</v>
      </c>
      <c r="B18" s="1" t="str">
        <f>_xlfn.CONCAT(Results!F18,"/",Results!G18)</f>
        <v>unpleasant/pleasant</v>
      </c>
      <c r="C18" s="1">
        <f>COUNTIF(DT!P4:P1004,"-3")</f>
        <v>1</v>
      </c>
      <c r="D18" s="1">
        <f>COUNTIF(DT!P4:P1004,"-2")</f>
        <v>0</v>
      </c>
      <c r="E18" s="1">
        <f>COUNTIF(DT!P4:P1004,"-1")</f>
        <v>1</v>
      </c>
      <c r="F18" s="1">
        <f>COUNTIF(DT!P4:P1004,"0")</f>
        <v>0</v>
      </c>
      <c r="G18" s="1">
        <f>COUNTIF(DT!P4:P1004,"1")</f>
        <v>1</v>
      </c>
      <c r="H18" s="1">
        <f>COUNTIF(DT!P4:P1004,"2")</f>
        <v>2</v>
      </c>
      <c r="I18" s="1">
        <f>COUNTIF(DT!P4:P1004,"3")</f>
        <v>6</v>
      </c>
      <c r="J18" s="28" t="str">
        <f>Results!H18</f>
        <v>Attractiveness</v>
      </c>
    </row>
    <row r="19" spans="1:10">
      <c r="A19" s="2">
        <v>17</v>
      </c>
      <c r="B19" s="1" t="str">
        <f>_xlfn.CONCAT(Results!G19,"/",Results!F19)</f>
        <v>not secure/secure</v>
      </c>
      <c r="C19" s="1">
        <f>COUNTIF(DT!Q4:Q1004,"-3")</f>
        <v>0</v>
      </c>
      <c r="D19" s="1">
        <f>COUNTIF(DT!Q4:Q1004,"-2")</f>
        <v>0</v>
      </c>
      <c r="E19" s="1">
        <f>COUNTIF(DT!Q4:Q1004,"-1")</f>
        <v>1</v>
      </c>
      <c r="F19" s="1">
        <f>COUNTIF(DT!Q4:Q1004,"0")</f>
        <v>8</v>
      </c>
      <c r="G19" s="1">
        <f>COUNTIF(DT!Q4:Q1004,"1")</f>
        <v>1</v>
      </c>
      <c r="H19" s="1">
        <f>COUNTIF(DT!Q4:Q1004,"2")</f>
        <v>1</v>
      </c>
      <c r="I19" s="1">
        <f>COUNTIF(DT!Q4:Q1004,"3")</f>
        <v>0</v>
      </c>
      <c r="J19" s="28"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2</v>
      </c>
      <c r="G20" s="1">
        <f>COUNTIF(DT!R4:R1004,"1")</f>
        <v>0</v>
      </c>
      <c r="H20" s="1">
        <f>COUNTIF(DT!R4:R1004,"2")</f>
        <v>2</v>
      </c>
      <c r="I20" s="1">
        <f>COUNTIF(DT!R4:R1004,"3")</f>
        <v>7</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1</v>
      </c>
      <c r="G21" s="1">
        <f>COUNTIF(DT!S4:S1004,"1")</f>
        <v>0</v>
      </c>
      <c r="H21" s="1">
        <f>COUNTIF(DT!S4:S1004,"2")</f>
        <v>3</v>
      </c>
      <c r="I21" s="1">
        <f>COUNTIF(DT!S4:S1004,"3")</f>
        <v>7</v>
      </c>
      <c r="J21" s="28"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1</v>
      </c>
      <c r="H22" s="1">
        <f>COUNTIF(DT!T4:T1004,"2")</f>
        <v>4</v>
      </c>
      <c r="I22" s="1">
        <f>COUNTIF(DT!T4:T1004,"3")</f>
        <v>6</v>
      </c>
      <c r="J22" s="28" t="str">
        <f>Results!H22</f>
        <v>Efficiency</v>
      </c>
    </row>
    <row r="23" spans="1:10">
      <c r="A23" s="6">
        <v>21</v>
      </c>
      <c r="B23" s="1" t="str">
        <f>_xlfn.CONCAT(Results!G23,"/",Results!F23)</f>
        <v>confusing/clear</v>
      </c>
      <c r="C23" s="1">
        <f>COUNTIF(DT!U4:U1004,"-3")</f>
        <v>0</v>
      </c>
      <c r="D23" s="1">
        <f>COUNTIF(DT!U4:U1004,"-2")</f>
        <v>0</v>
      </c>
      <c r="E23" s="1">
        <f>COUNTIF(DT!U4:U1004,"-1")</f>
        <v>1</v>
      </c>
      <c r="F23" s="1">
        <f>COUNTIF(DT!U4:U1004,"0")</f>
        <v>0</v>
      </c>
      <c r="G23" s="1">
        <f>COUNTIF(DT!U4:U1004,"1")</f>
        <v>1</v>
      </c>
      <c r="H23" s="1">
        <f>COUNTIF(DT!U4:U1004,"2")</f>
        <v>1</v>
      </c>
      <c r="I23" s="1">
        <f>COUNTIF(DT!U4:U1004,"3")</f>
        <v>8</v>
      </c>
      <c r="J23" s="28" t="str">
        <f>Results!H23</f>
        <v>Perspicuity</v>
      </c>
    </row>
    <row r="24" spans="1:10">
      <c r="A24" s="6">
        <v>22</v>
      </c>
      <c r="B24" s="1" t="str">
        <f>_xlfn.CONCAT(Results!F24,"/",Results!G24)</f>
        <v>impractical/practical</v>
      </c>
      <c r="C24" s="1">
        <f>COUNTIF(DT!V4:V1004,"-3")</f>
        <v>0</v>
      </c>
      <c r="D24" s="1">
        <f>COUNTIF(DT!V4:V1004,"-2")</f>
        <v>0</v>
      </c>
      <c r="E24" s="1">
        <f>COUNTIF(DT!V4:V1004,"-1")</f>
        <v>1</v>
      </c>
      <c r="F24" s="1">
        <f>COUNTIF(DT!V4:V1004,"0")</f>
        <v>0</v>
      </c>
      <c r="G24" s="1">
        <f>COUNTIF(DT!V4:V1004,"1")</f>
        <v>0</v>
      </c>
      <c r="H24" s="1">
        <f>COUNTIF(DT!V4:V1004,"2")</f>
        <v>2</v>
      </c>
      <c r="I24" s="1">
        <f>COUNTIF(DT!V4:V1004,"3")</f>
        <v>8</v>
      </c>
      <c r="J24" s="28"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1</v>
      </c>
      <c r="G25" s="1">
        <f>COUNTIF(DT!W4:W1004,"1")</f>
        <v>0</v>
      </c>
      <c r="H25" s="1">
        <f>COUNTIF(DT!W4:W1004,"2")</f>
        <v>3</v>
      </c>
      <c r="I25" s="1">
        <f>COUNTIF(DT!W4:W1004,"3")</f>
        <v>7</v>
      </c>
      <c r="J25" s="28" t="str">
        <f>Results!H25</f>
        <v>Efficiency</v>
      </c>
    </row>
    <row r="26" spans="1:10">
      <c r="A26" s="6">
        <v>24</v>
      </c>
      <c r="B26" s="1" t="str">
        <f>_xlfn.CONCAT(Results!G26,"/",Results!F26)</f>
        <v>unattractive/attractive</v>
      </c>
      <c r="C26" s="1">
        <f>COUNTIF(DT!X4:X1004,"-3")</f>
        <v>0</v>
      </c>
      <c r="D26" s="1">
        <f>COUNTIF(DT!X4:X1004,"-2")</f>
        <v>0</v>
      </c>
      <c r="E26" s="1">
        <f>COUNTIF(DT!X4:X1004,"-1")</f>
        <v>1</v>
      </c>
      <c r="F26" s="1">
        <f>COUNTIF(DT!X4:X1004,"0")</f>
        <v>1</v>
      </c>
      <c r="G26" s="1">
        <f>COUNTIF(DT!X4:X1004,"1")</f>
        <v>0</v>
      </c>
      <c r="H26" s="1">
        <f>COUNTIF(DT!X4:X1004,"2")</f>
        <v>1</v>
      </c>
      <c r="I26" s="1">
        <f>COUNTIF(DT!X4:X1004,"3")</f>
        <v>8</v>
      </c>
      <c r="J26" s="28" t="str">
        <f>Results!H26</f>
        <v>Attractiveness</v>
      </c>
    </row>
    <row r="27" spans="1:10">
      <c r="A27" s="6">
        <v>25</v>
      </c>
      <c r="B27" s="1" t="str">
        <f>_xlfn.CONCAT(Results!G27,"/",Results!F27)</f>
        <v>unfriendly/friendly</v>
      </c>
      <c r="C27" s="1">
        <f>COUNTIF(DT!Y4:Y1004,"-3")</f>
        <v>0</v>
      </c>
      <c r="D27" s="1">
        <f>COUNTIF(DT!Y4:Y1004,"-2")</f>
        <v>0</v>
      </c>
      <c r="E27" s="1">
        <f>COUNTIF(DT!Y4:Y1004,"-1")</f>
        <v>1</v>
      </c>
      <c r="F27" s="1">
        <f>COUNTIF(DT!Y4:Y1004,"0")</f>
        <v>0</v>
      </c>
      <c r="G27" s="1">
        <f>COUNTIF(DT!Y4:Y1004,"1")</f>
        <v>1</v>
      </c>
      <c r="H27" s="1">
        <f>COUNTIF(DT!Y4:Y1004,"2")</f>
        <v>1</v>
      </c>
      <c r="I27" s="1">
        <f>COUNTIF(DT!Y4:Y1004,"3")</f>
        <v>8</v>
      </c>
      <c r="J27" s="28" t="str">
        <f>Results!H27</f>
        <v>Attractiveness</v>
      </c>
    </row>
    <row r="28" spans="1:10">
      <c r="A28" s="6">
        <v>26</v>
      </c>
      <c r="B28" s="1" t="str">
        <f>_xlfn.CONCAT(Results!F28,"/",Results!G28)</f>
        <v>conservative/innovative</v>
      </c>
      <c r="C28" s="1">
        <f>COUNTIF(DT!Z4:Z1004,"-3")</f>
        <v>0</v>
      </c>
      <c r="D28" s="1">
        <f>COUNTIF(DT!Z4:Z1004,"-2")</f>
        <v>0</v>
      </c>
      <c r="E28" s="1">
        <f>COUNTIF(DT!Z4:Z1004,"-1")</f>
        <v>1</v>
      </c>
      <c r="F28" s="1">
        <f>COUNTIF(DT!Z4:Z1004,"0")</f>
        <v>2</v>
      </c>
      <c r="G28" s="1">
        <f>COUNTIF(DT!Z4:Z1004,"1")</f>
        <v>1</v>
      </c>
      <c r="H28" s="1">
        <f>COUNTIF(DT!Z4:Z1004,"2")</f>
        <v>2</v>
      </c>
      <c r="I28" s="1">
        <f>COUNTIF(DT!Z4:Z1004,"3")</f>
        <v>5</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4" workbookViewId="0">
      <selection activeCell="B10" sqref="B10"/>
    </sheetView>
  </sheetViews>
  <sheetFormatPr defaultColWidth="9.08984375" defaultRowHeight="14.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c r="A1" s="154" t="s">
        <v>1284</v>
      </c>
      <c r="B1" s="179"/>
      <c r="C1" s="179"/>
      <c r="D1" s="179"/>
      <c r="E1" s="179"/>
      <c r="F1" s="179"/>
      <c r="G1" s="179"/>
      <c r="H1" s="179"/>
      <c r="I1" s="179"/>
      <c r="J1" s="179"/>
      <c r="K1" s="179"/>
      <c r="L1" s="179"/>
      <c r="M1" s="179"/>
      <c r="N1" s="179"/>
      <c r="O1" s="179"/>
      <c r="P1" s="179"/>
      <c r="Q1" s="179"/>
      <c r="R1" s="179"/>
    </row>
    <row r="2" spans="1:18" s="46" customFormat="1" ht="18.649999999999999" customHeight="1">
      <c r="A2" s="55"/>
      <c r="B2" s="56"/>
      <c r="C2" s="56"/>
      <c r="D2" s="56"/>
      <c r="E2" s="56"/>
      <c r="F2" s="56"/>
      <c r="G2" s="56"/>
      <c r="H2" s="56"/>
      <c r="I2" s="56"/>
      <c r="J2" s="56"/>
      <c r="K2" s="56"/>
      <c r="L2" s="56"/>
      <c r="M2" s="56"/>
      <c r="N2" s="56"/>
      <c r="O2" s="56"/>
      <c r="P2" s="56"/>
      <c r="Q2" s="56"/>
      <c r="R2" s="56"/>
    </row>
    <row r="3" spans="1:18" s="46" customFormat="1" ht="173" customHeight="1">
      <c r="A3" s="180" t="s">
        <v>1470</v>
      </c>
      <c r="B3" s="173"/>
      <c r="C3" s="173"/>
      <c r="D3" s="173"/>
      <c r="E3" s="173"/>
      <c r="F3" s="173"/>
      <c r="G3" s="173"/>
      <c r="H3" s="173"/>
      <c r="I3" s="173"/>
      <c r="J3" s="173"/>
      <c r="K3" s="173"/>
      <c r="L3" s="173"/>
      <c r="M3" s="173"/>
      <c r="N3" s="173"/>
      <c r="O3" s="173"/>
      <c r="P3" s="173"/>
      <c r="Q3" s="173"/>
      <c r="R3" s="56"/>
    </row>
    <row r="5" spans="1:18">
      <c r="A5" s="158" t="str">
        <f>VLOOKUP(Read_First!B5,Items!A1:BI50,54,FALSE)</f>
        <v>Attractiveness</v>
      </c>
      <c r="B5" s="158"/>
      <c r="D5" s="162" t="str">
        <f>VLOOKUP(Read_First!B5,Items!A1:BI50,55,FALSE)</f>
        <v>Perspicuity</v>
      </c>
      <c r="E5" s="162"/>
      <c r="G5" s="162" t="str">
        <f>VLOOKUP(Read_First!B5,Items!A1:BI50,56,FALSE)</f>
        <v>Efficiency</v>
      </c>
      <c r="H5" s="162"/>
      <c r="J5" s="162" t="str">
        <f>VLOOKUP(Read_First!B5,Items!A1:BI50,57,FALSE)</f>
        <v>Dependability</v>
      </c>
      <c r="K5" s="162"/>
      <c r="M5" s="162" t="str">
        <f>VLOOKUP(Read_First!B5,Items!A1:BI50,58,FALSE)</f>
        <v>Stimulation</v>
      </c>
      <c r="N5" s="162"/>
      <c r="P5" s="162" t="str">
        <f>VLOOKUP(Read_First!B5,Items!A1:BI50,59,FALSE)</f>
        <v>Novelty</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0.24096862529876867</v>
      </c>
      <c r="D7" s="94" t="s">
        <v>5</v>
      </c>
      <c r="E7" s="95">
        <f>CORREL(DT!B4:B1004,DT!D4:D1004)</f>
        <v>0.6813506448112675</v>
      </c>
      <c r="G7" s="94" t="s">
        <v>11</v>
      </c>
      <c r="H7" s="95">
        <f>CORREL(DT!I4:I1004,DT!T4:T1004)</f>
        <v>0.44460452446013277</v>
      </c>
      <c r="J7" s="94" t="s">
        <v>17</v>
      </c>
      <c r="K7" s="95">
        <f>CORREL(DT!H4:H1004,DT!K4:K1004)</f>
        <v>0.94199373455769131</v>
      </c>
      <c r="M7" s="94" t="s">
        <v>24</v>
      </c>
      <c r="N7" s="95">
        <f>CORREL(DT!E4:E1004,DT!F4:F1004)</f>
        <v>0.47800897176112334</v>
      </c>
      <c r="P7" s="94" t="s">
        <v>34</v>
      </c>
      <c r="Q7" s="95">
        <f>CORREL(DT!C4:C1004,DT!J4:J1004)</f>
        <v>0.42059279271625633</v>
      </c>
    </row>
    <row r="8" spans="1:18">
      <c r="A8" s="40" t="s">
        <v>37</v>
      </c>
      <c r="B8" s="41">
        <f>CORREL(DT!A4:A1004,DT!N4:N1004)</f>
        <v>0.82189337564566889</v>
      </c>
      <c r="D8" s="40" t="s">
        <v>6</v>
      </c>
      <c r="E8" s="41">
        <f>CORREL(DT!B4:B1004,DT!M4:M1004)</f>
        <v>0.60530309797406523</v>
      </c>
      <c r="G8" s="40" t="s">
        <v>12</v>
      </c>
      <c r="H8" s="41">
        <f>CORREL(DT!I4:I1004,DT!V4:V1004)</f>
        <v>0.70612943893480795</v>
      </c>
      <c r="J8" s="40" t="s">
        <v>18</v>
      </c>
      <c r="K8" s="41">
        <f>CORREL(DT!H4:H1004,DT!Q4:Q1004)</f>
        <v>0.25100604028203088</v>
      </c>
      <c r="M8" s="40" t="s">
        <v>25</v>
      </c>
      <c r="N8" s="41">
        <f>CORREL(DT!E4:E1004,DT!G4:G1004)</f>
        <v>0.52159258385200591</v>
      </c>
      <c r="P8" s="40" t="s">
        <v>33</v>
      </c>
      <c r="Q8" s="41">
        <f>CORREL(DT!C4:C1004,DT!O4:O1004)</f>
        <v>0.55462814665011917</v>
      </c>
    </row>
    <row r="9" spans="1:18">
      <c r="A9" s="40" t="s">
        <v>38</v>
      </c>
      <c r="B9" s="41">
        <f>CORREL(DT!A4:A1004,DT!P4:P1004)</f>
        <v>0.2760725689894169</v>
      </c>
      <c r="D9" s="40" t="s">
        <v>7</v>
      </c>
      <c r="E9" s="41">
        <f>CORREL(DT!B4:B1004,DT!U4:U1004)</f>
        <v>0.94953147282703998</v>
      </c>
      <c r="G9" s="40" t="s">
        <v>13</v>
      </c>
      <c r="H9" s="41">
        <f>CORREL(DT!I4:I1004,DT!W4:W1004)</f>
        <v>0.6222545593631682</v>
      </c>
      <c r="J9" s="40" t="s">
        <v>19</v>
      </c>
      <c r="K9" s="41">
        <f>CORREL(DT!H4:H1004,DT!S4:S1004)</f>
        <v>0.99245198246565058</v>
      </c>
      <c r="M9" s="40" t="s">
        <v>26</v>
      </c>
      <c r="N9" s="41">
        <f>CORREL(DT!E4:E1004,DT!R4:R1004)</f>
        <v>0.54912833339933065</v>
      </c>
      <c r="P9" s="40" t="s">
        <v>32</v>
      </c>
      <c r="Q9" s="41">
        <f>CORREL(DT!C4:C1004,DT!Z4:Z1004)</f>
        <v>0.47990402879040345</v>
      </c>
    </row>
    <row r="10" spans="1:18">
      <c r="A10" s="40" t="s">
        <v>39</v>
      </c>
      <c r="B10" s="41">
        <f>CORREL(DT!A4:A1004,DT!X4:X1004)</f>
        <v>0.83473980409498894</v>
      </c>
      <c r="D10" s="40" t="s">
        <v>8</v>
      </c>
      <c r="E10" s="41">
        <f>CORREL(DT!D4:D1004,DT!M4:M1004)</f>
        <v>0.59294420632570866</v>
      </c>
      <c r="G10" s="40" t="s">
        <v>14</v>
      </c>
      <c r="H10" s="41">
        <f>CORREL(DT!T4:T1004,DT!V4:V1004)</f>
        <v>0.80625522223475654</v>
      </c>
      <c r="J10" s="40" t="s">
        <v>20</v>
      </c>
      <c r="K10" s="41">
        <f>CORREL(DT!K4:K1004,DT!Q4:Q1004)</f>
        <v>0.31003276256268364</v>
      </c>
      <c r="M10" s="40" t="s">
        <v>27</v>
      </c>
      <c r="N10" s="41">
        <f>CORREL(DT!F4:F1004,DT!G4:G1004)</f>
        <v>0.86500834482663724</v>
      </c>
      <c r="P10" s="40" t="s">
        <v>31</v>
      </c>
      <c r="Q10" s="41">
        <f>CORREL(DT!J4:J1004,DT!O4:O1004)</f>
        <v>0.59030509620704141</v>
      </c>
    </row>
    <row r="11" spans="1:18">
      <c r="A11" s="40" t="s">
        <v>40</v>
      </c>
      <c r="B11" s="41">
        <f>CORREL(DT!A4:A1004,DT!Y4:Y1004)</f>
        <v>0.86045605081527288</v>
      </c>
      <c r="D11" s="40" t="s">
        <v>9</v>
      </c>
      <c r="E11" s="41">
        <f>CORREL(DT!D4:D1004,DT!U4:U1004)</f>
        <v>0.77036253047775416</v>
      </c>
      <c r="G11" s="40" t="s">
        <v>15</v>
      </c>
      <c r="H11" s="41">
        <f>CORREL(DT!T4:T1004,DT!W4:W1004)</f>
        <v>0.8916681643888692</v>
      </c>
      <c r="J11" s="40" t="s">
        <v>21</v>
      </c>
      <c r="K11" s="41">
        <f>CORREL(DT!K4:K1004,DT!S4:S1004)</f>
        <v>0.94915799575249904</v>
      </c>
      <c r="M11" s="40" t="s">
        <v>28</v>
      </c>
      <c r="N11" s="41">
        <f>CORREL(DT!F4:F1004,DT!R4:R1004)</f>
        <v>0.94063593128185918</v>
      </c>
      <c r="P11" s="40" t="s">
        <v>30</v>
      </c>
      <c r="Q11" s="41">
        <f>CORREL(DT!J4:J1004,DT!Z4:Z1004)</f>
        <v>0.45326768354662866</v>
      </c>
    </row>
    <row r="12" spans="1:18">
      <c r="A12" s="40" t="s">
        <v>41</v>
      </c>
      <c r="B12" s="41">
        <f>CORREL(DT!L4:L1004,DT!N4:N1004)</f>
        <v>0.33239247586825393</v>
      </c>
      <c r="D12" s="40" t="s">
        <v>10</v>
      </c>
      <c r="E12" s="41">
        <f>CORREL(DT!M4:M1004,DT!U4:U1004)</f>
        <v>0.68479154909118667</v>
      </c>
      <c r="G12" s="40" t="s">
        <v>16</v>
      </c>
      <c r="H12" s="41">
        <f>CORREL(DT!V4:V1004,DT!W4:W1004)</f>
        <v>0.94621294117188648</v>
      </c>
      <c r="J12" s="40" t="s">
        <v>22</v>
      </c>
      <c r="K12" s="41">
        <f>CORREL(DT!Q4:Q1004,DT!S4:S1004)</f>
        <v>0.15554275420956382</v>
      </c>
      <c r="M12" s="40" t="s">
        <v>23</v>
      </c>
      <c r="N12" s="41">
        <f>CORREL(DT!G4:G1004,DT!R4:R1004)</f>
        <v>0.87382759205319449</v>
      </c>
      <c r="P12" s="40" t="s">
        <v>29</v>
      </c>
      <c r="Q12" s="41">
        <f>CORREL(DT!O4:O1004,DT!Z4:Z1004)</f>
        <v>0.69721302772401084</v>
      </c>
    </row>
    <row r="13" spans="1:18">
      <c r="A13" s="40" t="s">
        <v>42</v>
      </c>
      <c r="B13" s="41">
        <f>CORREL(DT!L4:L1004,DT!P4:P1004)</f>
        <v>0.98145719432262379</v>
      </c>
      <c r="D13" s="42" t="s">
        <v>828</v>
      </c>
      <c r="E13" s="41">
        <f>AVERAGE(E7:E12)</f>
        <v>0.71404725025117033</v>
      </c>
      <c r="G13" s="42" t="s">
        <v>828</v>
      </c>
      <c r="H13" s="41">
        <f>AVERAGE(H7:H12)</f>
        <v>0.73618747509227023</v>
      </c>
      <c r="J13" s="42" t="s">
        <v>828</v>
      </c>
      <c r="K13" s="41">
        <f>AVERAGE(K7:K12)</f>
        <v>0.60003087830501989</v>
      </c>
      <c r="M13" s="42" t="s">
        <v>828</v>
      </c>
      <c r="N13" s="41">
        <f>AVERAGE(N7:N12)</f>
        <v>0.70470029286235836</v>
      </c>
      <c r="P13" s="42" t="s">
        <v>828</v>
      </c>
      <c r="Q13" s="41">
        <f>AVERAGE(Q7:Q12)</f>
        <v>0.53265179593907663</v>
      </c>
    </row>
    <row r="14" spans="1:18">
      <c r="A14" s="40" t="s">
        <v>43</v>
      </c>
      <c r="B14" s="41">
        <f>CORREL(DT!L4:L1004,DT!X4:X1004)</f>
        <v>0.37449747190678423</v>
      </c>
      <c r="C14" s="8"/>
      <c r="D14" s="57" t="s">
        <v>4</v>
      </c>
      <c r="E14" s="58">
        <f>(4*E13)/(1+(3*E13))</f>
        <v>0.90899431902451377</v>
      </c>
      <c r="F14" s="60"/>
      <c r="G14" s="57" t="s">
        <v>4</v>
      </c>
      <c r="H14" s="58">
        <f>(4*H13)/(1+(3*H13))</f>
        <v>0.91777859055213173</v>
      </c>
      <c r="I14" s="60"/>
      <c r="J14" s="57" t="s">
        <v>4</v>
      </c>
      <c r="K14" s="58">
        <f>(4*K13)/(1+(3*K13))</f>
        <v>0.85715861085891787</v>
      </c>
      <c r="L14" s="60"/>
      <c r="M14" s="57" t="s">
        <v>4</v>
      </c>
      <c r="N14" s="58">
        <f>(4*N13)/(1+(3*N13))</f>
        <v>0.90517336507363733</v>
      </c>
      <c r="O14" s="59"/>
      <c r="P14" s="57" t="s">
        <v>4</v>
      </c>
      <c r="Q14" s="58">
        <f>(4*Q13)/(1+(3*Q13))</f>
        <v>0.8201092265662101</v>
      </c>
    </row>
    <row r="15" spans="1:18">
      <c r="A15" s="40" t="s">
        <v>44</v>
      </c>
      <c r="B15" s="41">
        <f>CORREL(DT!L4:L1004,DT!Y4:Y1004)</f>
        <v>0.40930029321603234</v>
      </c>
      <c r="D15" s="174" t="s">
        <v>1469</v>
      </c>
      <c r="E15" s="146">
        <f>1-EXP(LN(1-E14)+1.96*SQRT(8/(3*(Results!E3-2))))</f>
        <v>0.73550805461186797</v>
      </c>
      <c r="F15" s="46"/>
      <c r="G15" s="174" t="s">
        <v>1469</v>
      </c>
      <c r="H15" s="146">
        <f>1-EXP(LN(1-H14)+1.96*SQRT(8/(3*(Results!E3-2))))</f>
        <v>0.76103798900995345</v>
      </c>
      <c r="I15" s="46"/>
      <c r="J15" s="174" t="s">
        <v>1469</v>
      </c>
      <c r="K15" s="146">
        <f>1-EXP(LN(1-K14)+1.96*SQRT(8/(3*(Results!E3-2))))</f>
        <v>0.58485672003218425</v>
      </c>
      <c r="L15" s="46"/>
      <c r="M15" s="174" t="s">
        <v>1469</v>
      </c>
      <c r="N15" s="146">
        <f>1-EXP(LN(1-N14)+1.96*SQRT(8/(3*(Results!E3-2))))</f>
        <v>0.72440312651426941</v>
      </c>
      <c r="O15" s="46"/>
      <c r="P15" s="174" t="s">
        <v>1469</v>
      </c>
      <c r="Q15" s="146">
        <f>1-EXP(LN(1-Q14)+1.96*SQRT(8/(3*(Results!E3-2))))</f>
        <v>0.47717922537500612</v>
      </c>
    </row>
    <row r="16" spans="1:18">
      <c r="A16" s="40" t="s">
        <v>45</v>
      </c>
      <c r="B16" s="41">
        <f>CORREL(DT!N4:N1004,DT!P4:P1004)</f>
        <v>0.42070980244374023</v>
      </c>
      <c r="D16" s="175"/>
      <c r="E16" s="146">
        <f>1-EXP(LN(1-E14)-1.96*SQRT(8/(3*(Results!E3-2))))</f>
        <v>0.96868700875688896</v>
      </c>
      <c r="G16" s="175"/>
      <c r="H16" s="146">
        <f>1-EXP(LN(1-H14)-1.96*SQRT(8/(3*(Results!E3-2))))</f>
        <v>0.97170947740360458</v>
      </c>
      <c r="J16" s="175"/>
      <c r="K16" s="146">
        <f>1-EXP(LN(1-K14)-1.96*SQRT(8/(3*(Results!E3-2))))</f>
        <v>0.95085151696701953</v>
      </c>
      <c r="M16" s="175"/>
      <c r="N16" s="146">
        <f>1-EXP(LN(1-N14)-1.96*SQRT(8/(3*(Results!E3-2))))</f>
        <v>0.96737230514364581</v>
      </c>
      <c r="P16" s="175"/>
      <c r="Q16" s="146">
        <f>1-EXP(LN(1-Q14)-1.96*SQRT(8/(3*(Results!E3-2))))</f>
        <v>0.93810366393757283</v>
      </c>
    </row>
    <row r="17" spans="1:18">
      <c r="A17" s="40" t="s">
        <v>46</v>
      </c>
      <c r="B17" s="41">
        <f>CORREL(DT!N4:N1004,DT!X4:X1004)</f>
        <v>0.92627056695639487</v>
      </c>
    </row>
    <row r="18" spans="1:18">
      <c r="A18" s="40" t="s">
        <v>47</v>
      </c>
      <c r="B18" s="41">
        <f>CORREL(DT!N4:N1004,DT!Y4:Y1004)</f>
        <v>0.94953147282703998</v>
      </c>
    </row>
    <row r="19" spans="1:18">
      <c r="A19" s="40" t="s">
        <v>48</v>
      </c>
      <c r="B19" s="41">
        <f>CORREL(DT!P4:P1004,DT!X4:X1004)</f>
        <v>0.45012329646747545</v>
      </c>
    </row>
    <row r="20" spans="1:18">
      <c r="A20" s="40" t="s">
        <v>116</v>
      </c>
      <c r="B20" s="41">
        <f>CORREL(DT!P4:P1004,DT!Y4:Y1004)</f>
        <v>0.4689265388644312</v>
      </c>
    </row>
    <row r="21" spans="1:18">
      <c r="A21" s="40" t="s">
        <v>35</v>
      </c>
      <c r="B21" s="41">
        <f>CORREL(DT!X4:X1004,DT!Y4:Y1004)</f>
        <v>0.98006311558170112</v>
      </c>
    </row>
    <row r="22" spans="1:18">
      <c r="A22" s="42" t="s">
        <v>828</v>
      </c>
      <c r="B22" s="41">
        <f>AVERAGE(B7:B21)</f>
        <v>0.62182684355323969</v>
      </c>
    </row>
    <row r="23" spans="1:18">
      <c r="A23" s="57" t="s">
        <v>4</v>
      </c>
      <c r="B23" s="58">
        <f>(6*B22)/(1+(5*B22))</f>
        <v>0.90796767970934211</v>
      </c>
    </row>
    <row r="24" spans="1:18">
      <c r="A24" s="174" t="s">
        <v>1469</v>
      </c>
      <c r="B24" s="146">
        <f>1-EXP(LN(1-B23)+1.96*SQRT(12/(5*(Results!E3-2))))</f>
        <v>0.74677473434197705</v>
      </c>
    </row>
    <row r="25" spans="1:18" s="142" customFormat="1">
      <c r="A25" s="175"/>
      <c r="B25" s="146">
        <f>1-EXP(LN(1-B23)-1.96*SQRT(12/(5*(Results!E3-2))))</f>
        <v>0.96655172636082543</v>
      </c>
    </row>
    <row r="26" spans="1:18">
      <c r="A26" s="46"/>
      <c r="B26" s="46"/>
    </row>
    <row r="27" spans="1:18" ht="66.650000000000006"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Attractiveness</v>
      </c>
      <c r="B29" s="178"/>
      <c r="C29" s="46"/>
      <c r="D29" s="178" t="str">
        <f>VLOOKUP(Read_First!B5,Items!A1:BI50,55,FALSE)</f>
        <v>Perspicuity</v>
      </c>
      <c r="E29" s="178"/>
      <c r="F29" s="46"/>
      <c r="G29" s="178" t="str">
        <f>VLOOKUP(Read_First!B5,Items!A1:BI50,56,FALSE)</f>
        <v>Efficiency</v>
      </c>
      <c r="H29" s="178"/>
      <c r="I29" s="46"/>
      <c r="J29" s="178" t="str">
        <f>VLOOKUP(Read_First!B5,Items!A1:BI50,57,FALSE)</f>
        <v>Dependability</v>
      </c>
      <c r="K29" s="178"/>
      <c r="L29" s="46"/>
      <c r="M29" s="178" t="str">
        <f>VLOOKUP(Read_First!B5,Items!A1:BI5,58,FALSE)</f>
        <v>Stimulation</v>
      </c>
      <c r="N29" s="178"/>
      <c r="O29" s="46"/>
      <c r="P29" s="178" t="str">
        <f>VLOOKUP(Read_First!B5,Items!A1:BI55,59,FALSE)</f>
        <v>Novelty</v>
      </c>
      <c r="Q29" s="178"/>
    </row>
    <row r="30" spans="1:18">
      <c r="A30" s="53" t="s">
        <v>1283</v>
      </c>
      <c r="B30" s="53">
        <f>1-((Results!C3+Results!C14+Results!C16+Results!C18+Results!C26+Results!C27)/(36*(Results!M3)))</f>
        <v>0.74274861878453047</v>
      </c>
      <c r="C30" s="46"/>
      <c r="D30" s="53" t="s">
        <v>1283</v>
      </c>
      <c r="E30" s="53">
        <f>1-((Results!C4+Results!C6+Results!C15+Results!C23)/(16*(Results!M4)))</f>
        <v>0.65879120879120867</v>
      </c>
      <c r="F30" s="46"/>
      <c r="G30" s="53" t="s">
        <v>1283</v>
      </c>
      <c r="H30" s="53">
        <f>1-((Results!C11+Results!C22+Results!C24+Results!C25)/(16*(Results!M5)))</f>
        <v>0.64217252396166136</v>
      </c>
      <c r="I30" s="46"/>
      <c r="J30" s="53" t="s">
        <v>1283</v>
      </c>
      <c r="K30" s="53">
        <f>1-((Results!C10+Results!C13+Results!C19+Results!C21)/(16*(Results!M6)))</f>
        <v>0.64874141876430202</v>
      </c>
      <c r="L30" s="46"/>
      <c r="M30" s="53" t="s">
        <v>1283</v>
      </c>
      <c r="N30" s="53">
        <f>1-((Results!C7+Results!C8+Results!C9+Results!C20)/(16*(Results!M7)))</f>
        <v>0.67647058823529416</v>
      </c>
      <c r="O30" s="46"/>
      <c r="P30" s="53" t="s">
        <v>1283</v>
      </c>
      <c r="Q30" s="53">
        <f>1-((Results!C5+Results!C12+Results!C17+Results!C28)/(16*(Results!M8)))</f>
        <v>0.6027554535017221</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0.20661157024793386</v>
      </c>
      <c r="D33" s="40" t="s">
        <v>5</v>
      </c>
      <c r="E33" s="41">
        <f>_xlfn.COVARIANCE.S(DT!B4:B1004,DT!D4:D1004)^2</f>
        <v>2.7980165289256194</v>
      </c>
      <c r="G33" s="40" t="s">
        <v>11</v>
      </c>
      <c r="H33" s="41">
        <f>COVAR(DT!I4:I1004,DT!T4:T1004)^2</f>
        <v>0.25414930674134278</v>
      </c>
      <c r="J33" s="40" t="s">
        <v>17</v>
      </c>
      <c r="K33" s="41">
        <f>COVAR(DT!H4:H1004,DT!K4:K1004)^2</f>
        <v>2.8703640461717099</v>
      </c>
      <c r="M33" s="40" t="s">
        <v>24</v>
      </c>
      <c r="N33" s="41">
        <f>COVAR(DT!E4:E1004,DT!F4:F1004)^2</f>
        <v>0.16399153063315347</v>
      </c>
      <c r="P33" s="40" t="s">
        <v>34</v>
      </c>
      <c r="Q33" s="41">
        <f>COVAR(DT!C4:C1004,DT!J4:J1004)^2</f>
        <v>1.050201488969333</v>
      </c>
    </row>
    <row r="34" spans="1:17">
      <c r="A34" s="40" t="s">
        <v>37</v>
      </c>
      <c r="B34" s="41">
        <f>COVAR(DT!A4:A1004,DT!N4:N1004)^2</f>
        <v>1.3966942148760333</v>
      </c>
      <c r="D34" s="40" t="s">
        <v>6</v>
      </c>
      <c r="E34" s="41">
        <f>_xlfn.COVARIANCE.S(DT!B4:B1004,DT!M4:M1004)^2</f>
        <v>2.4166115702479343</v>
      </c>
      <c r="G34" s="40" t="s">
        <v>12</v>
      </c>
      <c r="H34" s="41">
        <f>COVAR(DT!I4:I1004,DT!V4:V1004)^2</f>
        <v>1.9971996448330032</v>
      </c>
      <c r="J34" s="40" t="s">
        <v>18</v>
      </c>
      <c r="K34" s="41">
        <f>COVAR(DT!H4:H1004,DT!Q4:Q1004)^2</f>
        <v>4.2688340960316921E-2</v>
      </c>
      <c r="M34" s="40" t="s">
        <v>25</v>
      </c>
      <c r="N34" s="41">
        <f>COVAR(DT!E4:E1004,DT!G4:G1004)^2</f>
        <v>9.3504542039478195E-2</v>
      </c>
      <c r="P34" s="40" t="s">
        <v>33</v>
      </c>
      <c r="Q34" s="41">
        <f>COVAR(DT!C4:C1004,DT!O4:O1004)^2</f>
        <v>1.5367802745714092</v>
      </c>
    </row>
    <row r="35" spans="1:17">
      <c r="A35" s="40" t="s">
        <v>38</v>
      </c>
      <c r="B35" s="41">
        <f>COVAR(DT!A4:A1004,DT!P4:P1004)^2</f>
        <v>0.40495867768595067</v>
      </c>
      <c r="D35" s="40" t="s">
        <v>7</v>
      </c>
      <c r="E35" s="41">
        <f>_xlfn.COVARIANCE.S(DT!B4:B1004,DT!U4:U1004)^2</f>
        <v>2.3325619834710745</v>
      </c>
      <c r="G35" s="40" t="s">
        <v>13</v>
      </c>
      <c r="H35" s="41">
        <f>COVAR(DT!I4:I1004,DT!W4:W1004)^2</f>
        <v>0.91906290553923942</v>
      </c>
      <c r="J35" s="40" t="s">
        <v>19</v>
      </c>
      <c r="K35" s="41">
        <f>COVAR(DT!H4:H1004,DT!S4:S1004)^2</f>
        <v>1.0333310566218152</v>
      </c>
      <c r="M35" s="40" t="s">
        <v>26</v>
      </c>
      <c r="N35" s="41">
        <f>COVAR(DT!E4:E1004,DT!R4:R1004)^2</f>
        <v>0.23775698381258109</v>
      </c>
      <c r="P35" s="40" t="s">
        <v>32</v>
      </c>
      <c r="Q35" s="41">
        <f>COVAR(DT!C4:C1004,DT!Z4:Z1004)^2</f>
        <v>0.62946520046444931</v>
      </c>
    </row>
    <row r="36" spans="1:17">
      <c r="A36" s="40" t="s">
        <v>39</v>
      </c>
      <c r="B36" s="41">
        <f>COVAR(DT!A4:A1004,DT!X4:X1004)^2</f>
        <v>1.8595041322314048</v>
      </c>
      <c r="D36" s="40" t="s">
        <v>8</v>
      </c>
      <c r="E36" s="41">
        <f>_xlfn.COVARIANCE.S(DT!D4:D1004,DT!M4:M1004)^2</f>
        <v>5.7164462809917387</v>
      </c>
      <c r="G36" s="40" t="s">
        <v>14</v>
      </c>
      <c r="H36" s="41">
        <f>COVAR(DT!T4:T1004,DT!V4:V1004)^2</f>
        <v>0.37401816815791267</v>
      </c>
      <c r="J36" s="40" t="s">
        <v>20</v>
      </c>
      <c r="K36" s="41">
        <f>COVAR(DT!K4:K1004,DT!Q4:Q1004)^2</f>
        <v>0.12048357352639852</v>
      </c>
      <c r="M36" s="40" t="s">
        <v>27</v>
      </c>
      <c r="N36" s="41">
        <f>COVAR(DT!F4:F1004,DT!G4:G1004)^2</f>
        <v>0.49347722150126355</v>
      </c>
      <c r="P36" s="40" t="s">
        <v>31</v>
      </c>
      <c r="Q36" s="41">
        <f>COVAR(DT!J4:J1004,DT!O4:O1004)^2</f>
        <v>5.6259135304965522</v>
      </c>
    </row>
    <row r="37" spans="1:17">
      <c r="A37" s="40" t="s">
        <v>40</v>
      </c>
      <c r="B37" s="41">
        <f>COVAR(DT!A4:A1004,DT!Y4:Y1004)^2</f>
        <v>1.6198347107438016</v>
      </c>
      <c r="D37" s="40" t="s">
        <v>9</v>
      </c>
      <c r="E37" s="41">
        <f>_xlfn.COVARIANCE.S(DT!D4:D1004,DT!U4:U1004)^2</f>
        <v>3.7847933884297515</v>
      </c>
      <c r="G37" s="40" t="s">
        <v>15</v>
      </c>
      <c r="H37" s="41">
        <f>COVAR(DT!T4:T1004,DT!W4:W1004)^2</f>
        <v>0.27108804043439649</v>
      </c>
      <c r="J37" s="40" t="s">
        <v>21</v>
      </c>
      <c r="K37" s="41">
        <f>COVAR(DT!K4:K1004,DT!S4:S1004)^2</f>
        <v>1.7485144457345811</v>
      </c>
      <c r="M37" s="40" t="s">
        <v>28</v>
      </c>
      <c r="N37" s="41">
        <f>COVAR(DT!F4:F1004,DT!R4:R1004)^2</f>
        <v>1.3387063725155388</v>
      </c>
      <c r="P37" s="40" t="s">
        <v>30</v>
      </c>
      <c r="Q37" s="41">
        <f>COVAR(DT!J4:J1004,DT!Z4:Z1004)^2</f>
        <v>1.8146984495594563</v>
      </c>
    </row>
    <row r="38" spans="1:17">
      <c r="A38" s="40" t="s">
        <v>41</v>
      </c>
      <c r="B38" s="41">
        <f>COVAR(DT!L4:L1004,DT!N4:N1004)^2</f>
        <v>0.3841950686428523</v>
      </c>
      <c r="D38" s="40" t="s">
        <v>10</v>
      </c>
      <c r="E38" s="41">
        <f>_xlfn.COVARIANCE.S(DT!M4:M1004,DT!U4:U1004)^2</f>
        <v>3.2728099173553726</v>
      </c>
      <c r="G38" s="40" t="s">
        <v>16</v>
      </c>
      <c r="H38" s="41">
        <f>COVAR(DT!V4:V1004,DT!W4:W1004)^2</f>
        <v>0.95102793525032436</v>
      </c>
      <c r="J38" s="40" t="s">
        <v>22</v>
      </c>
      <c r="K38" s="41">
        <f>COVAR(DT!Q4:Q1004,DT!S4:S1004)^2</f>
        <v>9.835393757257024E-3</v>
      </c>
      <c r="M38" s="40" t="s">
        <v>23</v>
      </c>
      <c r="N38" s="41">
        <f>COVAR(DT!G4:G1004,DT!R4:R1004)^2</f>
        <v>0.55324089884570726</v>
      </c>
      <c r="P38" s="40" t="s">
        <v>29</v>
      </c>
      <c r="Q38" s="41">
        <f>COVAR(DT!O4:O1004,DT!Z4:Z1004)^2</f>
        <v>3.6131411788812242</v>
      </c>
    </row>
    <row r="39" spans="1:17">
      <c r="A39" s="40" t="s">
        <v>42</v>
      </c>
      <c r="B39" s="41">
        <f>COVAR(DT!L4:L1004,DT!P4:P1004)^2</f>
        <v>8.6076770712383066</v>
      </c>
      <c r="D39" s="40" t="s">
        <v>1281</v>
      </c>
      <c r="E39" s="54">
        <f>SUM(E33:E38)</f>
        <v>20.321239669421495</v>
      </c>
      <c r="G39" s="40" t="s">
        <v>1281</v>
      </c>
      <c r="H39" s="54">
        <f>SUM(H33:H38)</f>
        <v>4.7665460009562191</v>
      </c>
      <c r="J39" s="40" t="s">
        <v>1281</v>
      </c>
      <c r="K39" s="54">
        <f>SUM(K33:K38)</f>
        <v>5.8252168567720783</v>
      </c>
      <c r="M39" s="40" t="s">
        <v>1281</v>
      </c>
      <c r="N39" s="54">
        <f>SUM(N33:N38)</f>
        <v>2.8806775493477224</v>
      </c>
      <c r="P39" s="40" t="s">
        <v>1281</v>
      </c>
      <c r="Q39" s="54">
        <f>SUM(Q33:Q38)</f>
        <v>14.270200122942423</v>
      </c>
    </row>
    <row r="40" spans="1:17">
      <c r="A40" s="40" t="s">
        <v>43</v>
      </c>
      <c r="B40" s="41">
        <f>COVAR(DT!L4:L1004,DT!X4:X1004)^2</f>
        <v>0.62946520046444898</v>
      </c>
      <c r="D40" s="42" t="s">
        <v>1282</v>
      </c>
      <c r="E40" s="52">
        <f>E30+SQRT((4/3)*2*E39)/(16*(Results!M4))</f>
        <v>0.88125061139507066</v>
      </c>
      <c r="G40" s="42" t="s">
        <v>1282</v>
      </c>
      <c r="H40" s="52">
        <f>H30+SQRT((4/3)*2*H39)/(16*(Results!M5))</f>
        <v>0.85099794114567806</v>
      </c>
      <c r="J40" s="42" t="s">
        <v>1282</v>
      </c>
      <c r="K40" s="52">
        <f>K30+SQRT((4/3)*2*K39)/(16*(Results!M6))</f>
        <v>0.89676425629920442</v>
      </c>
      <c r="M40" s="42" t="s">
        <v>1282</v>
      </c>
      <c r="N40" s="52">
        <f>N30+SQRT((4/3)*2*N39)/(16*(Results!M7))</f>
        <v>0.90064470477379666</v>
      </c>
      <c r="P40" s="42" t="s">
        <v>1282</v>
      </c>
      <c r="Q40" s="52">
        <f>Q30+SQRT((4/3)*2*Q39)/(16*(Results!M8))</f>
        <v>0.79752180856673571</v>
      </c>
    </row>
    <row r="41" spans="1:17">
      <c r="A41" s="40" t="s">
        <v>44</v>
      </c>
      <c r="B41" s="41">
        <f>COVAR(DT!L4:L1004,DT!Y4:Y1004)^2</f>
        <v>0.61641964346697642</v>
      </c>
    </row>
    <row r="42" spans="1:17">
      <c r="A42" s="40" t="s">
        <v>45</v>
      </c>
      <c r="B42" s="41">
        <f>COVAR(DT!N4:N1004,DT!P4:P1004)^2</f>
        <v>0.91906290553923942</v>
      </c>
    </row>
    <row r="43" spans="1:17">
      <c r="A43" s="40" t="s">
        <v>46</v>
      </c>
      <c r="B43" s="41">
        <f>COVAR(DT!N4:N1004,DT!X4:X1004)^2</f>
        <v>2.2376203811215079</v>
      </c>
    </row>
    <row r="44" spans="1:17">
      <c r="A44" s="40" t="s">
        <v>47</v>
      </c>
      <c r="B44" s="41">
        <f>COVAR(DT!N4:N1004,DT!Y4:Y1004)^2</f>
        <v>1.9277371764223756</v>
      </c>
    </row>
    <row r="45" spans="1:17">
      <c r="A45" s="40" t="s">
        <v>48</v>
      </c>
      <c r="B45" s="41">
        <f>COVAR(DT!P4:P1004,DT!X4:X1004)^2</f>
        <v>1.3578990506112973</v>
      </c>
    </row>
    <row r="46" spans="1:17">
      <c r="A46" s="40" t="s">
        <v>116</v>
      </c>
      <c r="B46" s="41">
        <f>COVAR(DT!P4:P1004,DT!Y4:Y1004)^2</f>
        <v>1.2081825011952738</v>
      </c>
    </row>
    <row r="47" spans="1:17">
      <c r="A47" s="40" t="s">
        <v>35</v>
      </c>
      <c r="B47" s="41">
        <f>COVAR(DT!X4:X1004,DT!Y4:Y1004)^2</f>
        <v>2.6507069189263031</v>
      </c>
    </row>
    <row r="48" spans="1:17">
      <c r="A48" s="40" t="s">
        <v>1281</v>
      </c>
      <c r="B48" s="54">
        <f>SUM(B33:B47)</f>
        <v>26.026569223413709</v>
      </c>
    </row>
    <row r="49" spans="1:2">
      <c r="A49" s="42" t="s">
        <v>1282</v>
      </c>
      <c r="B49" s="52">
        <f>B30+SQRT((6/5)*2*B48)/(36*(Results!M3))</f>
        <v>0.89284776253742071</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8" workbookViewId="0">
      <selection activeCell="D29" sqref="D29"/>
    </sheetView>
  </sheetViews>
  <sheetFormatPr defaultColWidth="9.08984375" defaultRowHeight="14.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28.4" customHeight="1">
      <c r="A1" s="180" t="s">
        <v>1536</v>
      </c>
      <c r="B1" s="181"/>
      <c r="C1" s="181"/>
      <c r="D1" s="181"/>
      <c r="E1" s="181"/>
      <c r="F1" s="181"/>
      <c r="G1" s="181"/>
      <c r="H1" s="181"/>
    </row>
    <row r="2" spans="1:8">
      <c r="A2" s="124" t="s">
        <v>110</v>
      </c>
      <c r="B2" s="125" t="s">
        <v>106</v>
      </c>
      <c r="C2" s="125" t="s">
        <v>120</v>
      </c>
      <c r="D2" s="125" t="s">
        <v>121</v>
      </c>
    </row>
    <row r="3" spans="1:8">
      <c r="A3" s="17" t="str">
        <f>VLOOKUP(Read_First!B5,Items!A1:BI50,54,FALSE)</f>
        <v>Attractiveness</v>
      </c>
      <c r="B3" s="63">
        <f>Results!L3</f>
        <v>2.106060606060606</v>
      </c>
      <c r="C3" s="16" t="str">
        <f>IF(B3&gt;1.86,"Excellent",IF(B3&gt;1.6,"Good",IF(B3&gt;1.19,"Above average",IF(B3&gt;0.7,"Below average","Bad"))))</f>
        <v>Excellent</v>
      </c>
      <c r="D3" s="15" t="str">
        <f>IF(B3&gt;1.83,"In the range of the 10% best results",IF(B3&gt;1.56,"10% of results better, 75% of results worse",IF(B3&gt;1.17,"25% of results better, 50% of results worse",IF(B3&gt;0.7,"50% of results better, 25% of results worse","In the range of the 25% worst results"))))</f>
        <v>In the range of the 10% best results</v>
      </c>
    </row>
    <row r="4" spans="1:8">
      <c r="A4" s="17" t="str">
        <f>VLOOKUP(Read_First!B5,Items!A1:BI50,55,FALSE)</f>
        <v>Perspicuity</v>
      </c>
      <c r="B4" s="63">
        <f>Results!L4</f>
        <v>1.9772727272727273</v>
      </c>
      <c r="C4" s="16" t="str">
        <f>IF(B4&gt;2.03,"Excellent",IF(B4&gt;1.77,"Good",IF(B4&gt;1.25,"Above Average",IF(B4&gt;0.75,"Below Average","Bad"))))</f>
        <v>Good</v>
      </c>
      <c r="D4" s="15" t="str">
        <f>IF(B4&gt;2,"In the range of the 10% best results",IF(B4&gt;1.73,"10% of results better, 75% of results worse",IF(B4&gt;1.25,"25% of results better, 50% of results worse",IF(B4&gt;0.71,"50% of results better, 25% of results worse","In the range of the 25% worst results"))))</f>
        <v>10% of results better, 75% of results worse</v>
      </c>
    </row>
    <row r="5" spans="1:8">
      <c r="A5" s="17" t="str">
        <f>VLOOKUP(Read_First!B5,Items!A1:BI50,56,FALSE)</f>
        <v>Efficiency</v>
      </c>
      <c r="B5" s="63">
        <f>Results!L5</f>
        <v>2.3636363636363638</v>
      </c>
      <c r="C5" s="16" t="str">
        <f>IF(B5&gt;1.9,"Excellent",IF(B5&gt;1.5,"Good",IF(B5&gt;1.06,"Above Average",IF(B5&gt;0.6,"Below Average","Bad"))))</f>
        <v>Excellent</v>
      </c>
      <c r="D5" s="15" t="str">
        <f>IF(B5&gt;1.8,"In the range of the 10% best results",IF(B5&gt;1.48,"10% of results better, 75% of results worse",IF(B5&gt;1.05,"25% of results better, 50% of results worse",IF(B5&gt;0.57,"50% of results better, 25% of results worse","In the range of the 25% worst results"))))</f>
        <v>In the range of the 10% best results</v>
      </c>
    </row>
    <row r="6" spans="1:8">
      <c r="A6" s="18" t="str">
        <f>VLOOKUP(Read_First!B5,Items!A1:BI50,57,FALSE)</f>
        <v>Dependability</v>
      </c>
      <c r="B6" s="63">
        <f>Results!L6</f>
        <v>1.7727272727272727</v>
      </c>
      <c r="C6" s="16" t="str">
        <f>IF(B6&gt;1.7,"Excellent",IF(B6&gt;1.47,"Good",IF(B6&gt;1.15,"Above Average",IF(B6&gt;0.78,"Below Average","Bad"))))</f>
        <v>Excellent</v>
      </c>
      <c r="D6" s="15" t="str">
        <f>IF(B6&gt;1.69,"In the range of the 10% best results",IF(B6&gt;1.46,"10% of results better, 75% of results worse",IF(B6&gt;1.13,"25% of results better, 50% of results worse",IF(B6&gt;0.77,"50% of results better, 25% of results worse","In the range of the 25% worst results"))))</f>
        <v>In the range of the 10% best results</v>
      </c>
    </row>
    <row r="7" spans="1:8">
      <c r="A7" s="18" t="str">
        <f>VLOOKUP(Read_First!B5,Items!A1:BI50,58,FALSE)</f>
        <v>Stimulation</v>
      </c>
      <c r="B7" s="63">
        <f>Results!L7</f>
        <v>2.2954545454545454</v>
      </c>
      <c r="C7" s="16" t="str">
        <f>IF(B7&gt;1.7,"Excellent",IF(B7&gt;1.35,"Good",IF(B7&gt;1,"Above Average",IF(B7&gt;0.5,"Below Average","Bad"))))</f>
        <v>Excellent</v>
      </c>
      <c r="D7" s="15" t="str">
        <f>IF(B7&gt;1.7,"In the range of the 10% best results",IF(B7&gt;1.34,"10% of results better, 75% of results worse",IF(B7&gt;1,"25% of results better, 50% of results worse",IF(B7&gt;0.5,"50% of results better, 25% of results worse","In the range of the 25% worst results"))))</f>
        <v>In the range of the 10% best results</v>
      </c>
    </row>
    <row r="8" spans="1:8">
      <c r="A8" s="17" t="str">
        <f>VLOOKUP(Read_First!B5,Items!A1:BI50,59,FALSE)</f>
        <v>Novelty</v>
      </c>
      <c r="B8" s="63">
        <f>Results!L8</f>
        <v>1.6363636363636365</v>
      </c>
      <c r="C8" s="16" t="str">
        <f>IF(B8&gt;1.61,"Excellent",IF(B8&gt;1.14,"Good",IF(B8&gt;0.75,"Above Average",IF(B8&gt;0.25,"Below Average","Bad"))))</f>
        <v>Excellent</v>
      </c>
      <c r="D8" s="15" t="str">
        <f>IF(B8&gt;1.61,"In the range of the 10% best results",IF(B8&gt;1.12,"10% of results better, 75% of results worse",IF(B8&gt;0.77,"25% of results better, 50% of results worse",IF(B8&gt;0.25,"50% of results better, 25% of results worse","In the range of the 25% worst results"))))</f>
        <v>In the range of the 10% best results</v>
      </c>
    </row>
    <row r="26" spans="1:8">
      <c r="A26" s="182" t="s">
        <v>824</v>
      </c>
      <c r="B26" s="182"/>
      <c r="C26" s="182"/>
      <c r="D26" s="182"/>
      <c r="E26" s="182"/>
      <c r="F26" s="182"/>
      <c r="G26" s="182"/>
      <c r="H26" s="182"/>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2.106060606060606</v>
      </c>
    </row>
    <row r="29" spans="1:8">
      <c r="A29" s="17" t="str">
        <f>VLOOKUP(Read_First!B5,Items!A1:BI50,55,FALSE)</f>
        <v>Perspicuity</v>
      </c>
      <c r="B29" s="35">
        <v>-1</v>
      </c>
      <c r="C29" s="36">
        <v>0.75</v>
      </c>
      <c r="D29" s="36">
        <v>0.5</v>
      </c>
      <c r="E29" s="36">
        <v>0.52</v>
      </c>
      <c r="F29" s="36">
        <v>0.26</v>
      </c>
      <c r="G29" s="36">
        <v>0.47</v>
      </c>
      <c r="H29" s="64">
        <f>Results!L4</f>
        <v>1.9772727272727273</v>
      </c>
    </row>
    <row r="30" spans="1:8">
      <c r="A30" s="17" t="str">
        <f>VLOOKUP(Read_First!B5,Items!A1:BI50,56,FALSE)</f>
        <v>Efficiency</v>
      </c>
      <c r="B30" s="35">
        <v>-1</v>
      </c>
      <c r="C30" s="36">
        <v>0.6</v>
      </c>
      <c r="D30" s="36">
        <v>0.44</v>
      </c>
      <c r="E30" s="36">
        <v>0.44</v>
      </c>
      <c r="F30" s="36">
        <v>0.4</v>
      </c>
      <c r="G30" s="36">
        <v>0.6</v>
      </c>
      <c r="H30" s="64">
        <f>Results!L5</f>
        <v>2.3636363636363638</v>
      </c>
    </row>
    <row r="31" spans="1:8">
      <c r="A31" s="18" t="str">
        <f>VLOOKUP(Read_First!B5,Items!A1:BI50,57,FALSE)</f>
        <v>Dependability</v>
      </c>
      <c r="B31" s="35">
        <v>-1</v>
      </c>
      <c r="C31" s="36">
        <v>0.78</v>
      </c>
      <c r="D31" s="36">
        <v>0.37</v>
      </c>
      <c r="E31" s="36">
        <v>0.33</v>
      </c>
      <c r="F31" s="36">
        <v>0.23</v>
      </c>
      <c r="G31" s="36">
        <v>0.8</v>
      </c>
      <c r="H31" s="64">
        <f>Results!L6</f>
        <v>1.7727272727272727</v>
      </c>
    </row>
    <row r="32" spans="1:8">
      <c r="A32" s="18" t="str">
        <f>VLOOKUP(Read_First!B5,Items!A1:BI50,58,FALSE)</f>
        <v>Stimulation</v>
      </c>
      <c r="B32" s="35">
        <v>-1</v>
      </c>
      <c r="C32" s="36">
        <v>0.5</v>
      </c>
      <c r="D32" s="36">
        <v>0.5</v>
      </c>
      <c r="E32" s="36">
        <v>0.35</v>
      </c>
      <c r="F32" s="36">
        <v>0.35</v>
      </c>
      <c r="G32" s="36">
        <v>0.8</v>
      </c>
      <c r="H32" s="64">
        <f>Results!L7</f>
        <v>2.2954545454545454</v>
      </c>
    </row>
    <row r="33" spans="1:8">
      <c r="A33" s="17" t="str">
        <f>VLOOKUP(Read_First!B5,Items!A1:BI50,59,FALSE)</f>
        <v>Novelty</v>
      </c>
      <c r="B33" s="35">
        <v>-1</v>
      </c>
      <c r="C33" s="36">
        <v>0.25</v>
      </c>
      <c r="D33" s="36">
        <v>0.5</v>
      </c>
      <c r="E33" s="36">
        <v>0.39</v>
      </c>
      <c r="F33" s="36">
        <v>0.47</v>
      </c>
      <c r="G33" s="36">
        <v>0.89</v>
      </c>
      <c r="H33" s="64">
        <f>Results!L8</f>
        <v>1.6363636363636365</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topLeftCell="Q2" workbookViewId="0">
      <selection activeCell="I8" sqref="I8"/>
    </sheetView>
  </sheetViews>
  <sheetFormatPr defaultColWidth="9.08984375" defaultRowHeight="14.5"/>
  <cols>
    <col min="1" max="26" width="3.6328125" style="1" customWidth="1"/>
    <col min="29" max="35" width="13.8164062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2</v>
      </c>
      <c r="B4" s="68">
        <f>IF(Data!B4&gt;0,Data!B4-4,"")</f>
        <v>3</v>
      </c>
      <c r="C4" s="68">
        <f>IF(Data!C4&gt;0,4-Data!C4,"")</f>
        <v>1</v>
      </c>
      <c r="D4" s="68">
        <f>IF(Data!D4&gt;0,4-Data!D4,"")</f>
        <v>3</v>
      </c>
      <c r="E4" s="68">
        <f>IF(Data!E4&gt;0,4-Data!E4,"")</f>
        <v>3</v>
      </c>
      <c r="F4" s="68">
        <f>IF(Data!F4&gt;0,Data!F4-4,"")</f>
        <v>3</v>
      </c>
      <c r="G4" s="68">
        <f>IF(Data!G4&gt;0,Data!G4-4,"")</f>
        <v>3</v>
      </c>
      <c r="H4" s="68">
        <f>IF(Data!H4&gt;0,Data!H4-4,"")</f>
        <v>3</v>
      </c>
      <c r="I4" s="68">
        <f>IF(Data!I4&gt;0,4-Data!I4,"")</f>
        <v>3</v>
      </c>
      <c r="J4" s="68">
        <f>IF(Data!J4&gt;0,4-Data!J4,"")</f>
        <v>-3</v>
      </c>
      <c r="K4" s="68">
        <f>IF(Data!K4&gt;0,Data!K4-4,"")</f>
        <v>3</v>
      </c>
      <c r="L4" s="68">
        <f>IF(Data!L4&gt;0,4-Data!L4,"")</f>
        <v>3</v>
      </c>
      <c r="M4" s="68">
        <f>IF(Data!M4&gt;0,Data!M4-4,"")</f>
        <v>3</v>
      </c>
      <c r="N4" s="68">
        <f>IF(Data!N4&gt;0,Data!N4-4,"")</f>
        <v>3</v>
      </c>
      <c r="O4" s="68">
        <f>IF(Data!O4&gt;0,Data!O4-4,"")</f>
        <v>2</v>
      </c>
      <c r="P4" s="68">
        <f>IF(Data!P4&gt;0,Data!P4-4,"")</f>
        <v>3</v>
      </c>
      <c r="Q4" s="68">
        <f>IF(Data!Q4&gt;0,4-Data!Q4,"")</f>
        <v>0</v>
      </c>
      <c r="R4" s="1">
        <f>IF(Data!R4&gt;0,4-Data!R4,"")</f>
        <v>3</v>
      </c>
      <c r="S4" s="68">
        <f>IF(Data!S4&gt;0,4-Data!S4,"")</f>
        <v>3</v>
      </c>
      <c r="T4" s="68">
        <f>IF(Data!T4&gt;0,Data!T4-4,"")</f>
        <v>3</v>
      </c>
      <c r="U4" s="68">
        <f>IF(Data!U4&gt;0,4-Data!U4,"")</f>
        <v>3</v>
      </c>
      <c r="V4" s="68">
        <f>IF(Data!V4&gt;0,Data!V4-4,"")</f>
        <v>3</v>
      </c>
      <c r="W4" s="68">
        <f>IF(Data!W4&gt;0,4-Data!W4,"")</f>
        <v>3</v>
      </c>
      <c r="X4" s="68">
        <f>IF(Data!X4&gt;0,4-Data!X4,"")</f>
        <v>3</v>
      </c>
      <c r="Y4" s="68">
        <f>IF(Data!Y4&gt;0,4-Data!Y4,"")</f>
        <v>3</v>
      </c>
      <c r="Z4" s="68">
        <f>IF(Data!Z4&gt;0,Data!Z4-4,"")</f>
        <v>3</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f t="shared" ref="AH4" si="3">IF((MAX(C4,J4,O4,Z4)-MIN(C4,J4,O4,Z4))&gt;3,1,"")</f>
        <v>1</v>
      </c>
      <c r="AI4" s="71">
        <f>IF(COUNT(A4:Z4)&gt;0,IF(COUNT(AC4,AD4,AE4,AF4,AG4,AH4)&gt;0,SUM(AC4,AD4,AE4,AF4,AG4,AH4),0),"")</f>
        <v>1</v>
      </c>
    </row>
    <row r="5" spans="1:35">
      <c r="A5" s="1">
        <f>IF(Data!A5&gt;0,Data!A5-4,"")</f>
        <v>3</v>
      </c>
      <c r="B5" s="1">
        <f>IF(Data!B5&gt;0,Data!B5-4,"")</f>
        <v>2</v>
      </c>
      <c r="C5" s="1">
        <f>IF(Data!C5&gt;0,4-Data!C5,"")</f>
        <v>2</v>
      </c>
      <c r="D5" s="1">
        <f>IF(Data!D5&gt;0,4-Data!D5,"")</f>
        <v>3</v>
      </c>
      <c r="E5" s="1">
        <f>IF(Data!E5&gt;0,4-Data!E5,"")</f>
        <v>3</v>
      </c>
      <c r="F5" s="1">
        <f>IF(Data!F5&gt;0,Data!F5-4,"")</f>
        <v>3</v>
      </c>
      <c r="G5" s="1">
        <f>IF(Data!G5&gt;0,Data!G5-4,"")</f>
        <v>2</v>
      </c>
      <c r="H5" s="1">
        <f>IF(Data!H5&gt;0,Data!H5-4,"")</f>
        <v>3</v>
      </c>
      <c r="I5" s="1">
        <f>IF(Data!I5&gt;0,4-Data!I5,"")</f>
        <v>3</v>
      </c>
      <c r="J5" s="1">
        <f>IF(Data!J5&gt;0,4-Data!J5,"")</f>
        <v>-2</v>
      </c>
      <c r="K5" s="1">
        <f>IF(Data!K5&gt;0,Data!K5-4,"")</f>
        <v>3</v>
      </c>
      <c r="L5" s="1">
        <f>IF(Data!L5&gt;0,4-Data!L5,"")</f>
        <v>3</v>
      </c>
      <c r="M5" s="1">
        <f>IF(Data!M5&gt;0,Data!M5-4,"")</f>
        <v>3</v>
      </c>
      <c r="N5" s="1">
        <f>IF(Data!N5&gt;0,Data!N5-4,"")</f>
        <v>2</v>
      </c>
      <c r="O5" s="1">
        <f>IF(Data!O5&gt;0,Data!O5-4,"")</f>
        <v>-3</v>
      </c>
      <c r="P5" s="1">
        <f>IF(Data!P5&gt;0,Data!P5-4,"")</f>
        <v>2</v>
      </c>
      <c r="Q5" s="1">
        <f>IF(Data!Q5&gt;0,4-Data!Q5,"")</f>
        <v>0</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0</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c r="A6" s="1">
        <f>IF(Data!A6&gt;0,Data!A6-4,"")</f>
        <v>3</v>
      </c>
      <c r="B6" s="1">
        <f>IF(Data!B6&gt;0,Data!B6-4,"")</f>
        <v>3</v>
      </c>
      <c r="C6" s="1">
        <f>IF(Data!C6&gt;0,4-Data!C6,"")</f>
        <v>3</v>
      </c>
      <c r="D6" s="1">
        <f>IF(Data!D6&gt;0,4-Data!D6,"")</f>
        <v>-1</v>
      </c>
      <c r="E6" s="1">
        <f>IF(Data!E6&gt;0,4-Data!E6,"")</f>
        <v>3</v>
      </c>
      <c r="F6" s="1">
        <f>IF(Data!F6&gt;0,Data!F6-4,"")</f>
        <v>3</v>
      </c>
      <c r="G6" s="1">
        <f>IF(Data!G6&gt;0,Data!G6-4,"")</f>
        <v>3</v>
      </c>
      <c r="H6" s="1">
        <f>IF(Data!H6&gt;0,Data!H6-4,"")</f>
        <v>3</v>
      </c>
      <c r="I6" s="1">
        <f>IF(Data!I6&gt;0,4-Data!I6,"")</f>
        <v>-1</v>
      </c>
      <c r="J6" s="1">
        <f>IF(Data!J6&gt;0,4-Data!J6,"")</f>
        <v>3</v>
      </c>
      <c r="K6" s="1">
        <f>IF(Data!K6&gt;0,Data!K6-4,"")</f>
        <v>3</v>
      </c>
      <c r="L6" s="1">
        <f>IF(Data!L6&gt;0,4-Data!L6,"")</f>
        <v>3</v>
      </c>
      <c r="M6" s="1">
        <f>IF(Data!M6&gt;0,Data!M6-4,"")</f>
        <v>3</v>
      </c>
      <c r="N6" s="1">
        <f>IF(Data!N6&gt;0,Data!N6-4,"")</f>
        <v>3</v>
      </c>
      <c r="O6" s="1">
        <f>IF(Data!O6&gt;0,Data!O6-4,"")</f>
        <v>3</v>
      </c>
      <c r="P6" s="1">
        <f>IF(Data!P6&gt;0,Data!P6-4,"")</f>
        <v>3</v>
      </c>
      <c r="Q6" s="1">
        <f>IF(Data!Q6&gt;0,4-Data!Q6,"")</f>
        <v>0</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f t="shared" si="5"/>
        <v>1</v>
      </c>
      <c r="AE6" s="4">
        <f t="shared" si="6"/>
        <v>1</v>
      </c>
      <c r="AF6" s="4" t="str">
        <f t="shared" si="7"/>
        <v/>
      </c>
      <c r="AG6" s="4" t="str">
        <f t="shared" si="8"/>
        <v/>
      </c>
      <c r="AH6" s="4" t="str">
        <f t="shared" si="9"/>
        <v/>
      </c>
      <c r="AI6" s="2">
        <f t="shared" si="10"/>
        <v>2</v>
      </c>
    </row>
    <row r="7" spans="1:35">
      <c r="A7" s="1">
        <f>IF(Data!A7&gt;0,Data!A7-4,"")</f>
        <v>3</v>
      </c>
      <c r="B7" s="1">
        <f>IF(Data!B7&gt;0,Data!B7-4,"")</f>
        <v>3</v>
      </c>
      <c r="C7" s="1">
        <f>IF(Data!C7&gt;0,4-Data!C7,"")</f>
        <v>2</v>
      </c>
      <c r="D7" s="1">
        <f>IF(Data!D7&gt;0,4-Data!D7,"")</f>
        <v>2</v>
      </c>
      <c r="E7" s="1">
        <f>IF(Data!E7&gt;0,4-Data!E7,"")</f>
        <v>1</v>
      </c>
      <c r="F7" s="1">
        <f>IF(Data!F7&gt;0,Data!F7-4,"")</f>
        <v>2</v>
      </c>
      <c r="G7" s="1">
        <f>IF(Data!G7&gt;0,Data!G7-4,"")</f>
        <v>2</v>
      </c>
      <c r="H7" s="1">
        <f>IF(Data!H7&gt;0,Data!H7-4,"")</f>
        <v>2</v>
      </c>
      <c r="I7" s="1">
        <f>IF(Data!I6&gt;0,4-Data!I7,"")</f>
        <v>3</v>
      </c>
      <c r="J7" s="1">
        <f>IF(Data!I7&gt;0,4-Data!I7,"")</f>
        <v>3</v>
      </c>
      <c r="K7" s="1">
        <f>IF(Data!J7&gt;0,Data!J7-4,"")</f>
        <v>0</v>
      </c>
      <c r="L7" s="1">
        <f>IF(Data!K7&gt;0,4-Data!K7,"")</f>
        <v>-2</v>
      </c>
      <c r="M7" s="1">
        <f>IF(Data!L7&gt;0,Data!L7-4,"")</f>
        <v>-2</v>
      </c>
      <c r="N7" s="1">
        <f>IF(Data!M7&gt;0,Data!M7-4,"")</f>
        <v>3</v>
      </c>
      <c r="O7" s="1">
        <f>IF(Data!N7&gt;0,Data!N7-4,"")</f>
        <v>3</v>
      </c>
      <c r="P7" s="1">
        <f>IF(Data!O7&gt;0,Data!O7-4,"")</f>
        <v>-3</v>
      </c>
      <c r="Q7" s="1">
        <f>IF(Data!Q7&gt;0,4-Data!Q7,"")</f>
        <v>0</v>
      </c>
      <c r="R7" s="1">
        <f>IF(Data!R7&gt;0,4-Data!R7,"")</f>
        <v>2</v>
      </c>
      <c r="S7" s="1">
        <f>IF(Data!S7&gt;0,4-Data!S7,"")</f>
        <v>2</v>
      </c>
      <c r="T7" s="1">
        <f>IF(Data!T7&gt;0,Data!T7-4,"")</f>
        <v>2</v>
      </c>
      <c r="U7" s="1">
        <f>IF(Data!U7&gt;0,4-Data!U7,"")</f>
        <v>3</v>
      </c>
      <c r="V7" s="1">
        <f>IF(Data!V7&gt;0,Data!V7-4,"")</f>
        <v>3</v>
      </c>
      <c r="W7" s="1">
        <f>IF(Data!W7&gt;0,4-Data!W7,"")</f>
        <v>3</v>
      </c>
      <c r="X7" s="1">
        <f>IF(Data!X7&gt;0,4-Data!X7,"")</f>
        <v>3</v>
      </c>
      <c r="Y7" s="1">
        <f>IF(Data!Y7&gt;0,4-Data!Y7,"")</f>
        <v>3</v>
      </c>
      <c r="Z7" s="1">
        <f>IF(Data!Z7&gt;0,Data!Z7-4,"")</f>
        <v>3</v>
      </c>
      <c r="AC7" s="4">
        <f t="shared" si="4"/>
        <v>1</v>
      </c>
      <c r="AD7" s="4">
        <f t="shared" si="5"/>
        <v>1</v>
      </c>
      <c r="AE7" s="4" t="str">
        <f t="shared" si="6"/>
        <v/>
      </c>
      <c r="AF7" s="4" t="str">
        <f t="shared" si="7"/>
        <v/>
      </c>
      <c r="AG7" s="4" t="str">
        <f t="shared" si="8"/>
        <v/>
      </c>
      <c r="AH7" s="4" t="str">
        <f t="shared" si="9"/>
        <v/>
      </c>
      <c r="AI7" s="2">
        <f t="shared" si="10"/>
        <v>2</v>
      </c>
    </row>
    <row r="8" spans="1:35">
      <c r="A8" s="1">
        <f>IF(Data!A8&gt;0,Data!A8-4,"")</f>
        <v>3</v>
      </c>
      <c r="B8" s="1">
        <f>IF(Data!B8&gt;0,Data!B8-4,"")</f>
        <v>3</v>
      </c>
      <c r="C8" s="1">
        <f>IF(Data!C8&gt;0,4-Data!C8,"")</f>
        <v>3</v>
      </c>
      <c r="D8" s="1">
        <f>IF(Data!D8&gt;0,4-Data!D8,"")</f>
        <v>3</v>
      </c>
      <c r="E8" s="1">
        <f>IF(Data!E8&gt;0,4-Data!E8,"")</f>
        <v>3</v>
      </c>
      <c r="F8" s="1">
        <f>IF(Data!F8&gt;0,Data!F8-4,"")</f>
        <v>3</v>
      </c>
      <c r="G8" s="1">
        <f>IF(Data!G8&gt;0,Data!G8-4,"")</f>
        <v>3</v>
      </c>
      <c r="H8" s="1">
        <f>IF(Data!H8&gt;0,Data!H8-4,"")</f>
        <v>3</v>
      </c>
      <c r="I8" s="1">
        <f>IF(Data!I8&gt;0,4-Data!I8,"")</f>
        <v>3</v>
      </c>
      <c r="J8" s="1">
        <f>IF(Data!J8&gt;0,4-Data!J8,"")</f>
        <v>3</v>
      </c>
      <c r="K8" s="1">
        <f>IF(Data!K8&gt;0,Data!K8-4,"")</f>
        <v>3</v>
      </c>
      <c r="L8" s="1">
        <f>IF(Data!L8&gt;0,4-Data!L8,"")</f>
        <v>3</v>
      </c>
      <c r="M8" s="1">
        <f>IF(Data!M8&gt;0,Data!M8-4,"")</f>
        <v>3</v>
      </c>
      <c r="N8" s="1">
        <f>IF(Data!N8&gt;0,Data!N8-4,"")</f>
        <v>3</v>
      </c>
      <c r="O8" s="1">
        <f>IF(Data!O8&gt;0,Data!O8-4,"")</f>
        <v>3</v>
      </c>
      <c r="P8" s="1">
        <f>IF(Data!P8&gt;0,Data!P8-4,"")</f>
        <v>3</v>
      </c>
      <c r="Q8" s="1">
        <f>IF(Data!Q8&gt;0,4-Data!Q8,"")</f>
        <v>0</v>
      </c>
      <c r="R8" s="1">
        <f>IF(Data!R8&gt;0,4-Data!R8,"")</f>
        <v>3</v>
      </c>
      <c r="S8" s="1">
        <f>IF(Data!S8&gt;0,4-Data!S8,"")</f>
        <v>3</v>
      </c>
      <c r="T8" s="1">
        <f>IF(Data!T8&gt;0,Data!T8-4,"")</f>
        <v>3</v>
      </c>
      <c r="U8" s="1">
        <f>IF(Data!U8&gt;0,4-Data!U8,"")</f>
        <v>3</v>
      </c>
      <c r="V8" s="1">
        <f>IF(Data!V8&gt;0,Data!V8-4,"")</f>
        <v>3</v>
      </c>
      <c r="W8" s="1">
        <f>IF(Data!W8&gt;0,4-Data!W8,"")</f>
        <v>3</v>
      </c>
      <c r="X8" s="1">
        <f>IF(Data!X8&gt;0,4-Data!X8,"")</f>
        <v>3</v>
      </c>
      <c r="Y8" s="1">
        <f>IF(Data!Y8&gt;0,4-Data!Y8,"")</f>
        <v>3</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3</v>
      </c>
      <c r="C9" s="1">
        <f>IF(Data!C9&gt;0,4-Data!C9,"")</f>
        <v>3</v>
      </c>
      <c r="D9" s="1">
        <f>IF(Data!D9&gt;0,4-Data!D9,"")</f>
        <v>3</v>
      </c>
      <c r="E9" s="1">
        <f>IF(Data!E9&gt;0,4-Data!E9,"")</f>
        <v>3</v>
      </c>
      <c r="F9" s="1">
        <f>IF(Data!F9&gt;0,Data!F9-4,"")</f>
        <v>2</v>
      </c>
      <c r="G9" s="1">
        <f>IF(Data!G9&gt;0,Data!G9-4,"")</f>
        <v>2</v>
      </c>
      <c r="H9" s="1">
        <f>IF(Data!H9&gt;0,Data!H9-4,"")</f>
        <v>3</v>
      </c>
      <c r="I9" s="1">
        <f>IF(Data!I9&gt;0,4-Data!I9,"")</f>
        <v>3</v>
      </c>
      <c r="J9" s="1">
        <f>IF(Data!J9&gt;0,4-Data!J9,"")</f>
        <v>0</v>
      </c>
      <c r="K9" s="1">
        <f>IF(Data!K9&gt;0,Data!K9-4,"")</f>
        <v>3</v>
      </c>
      <c r="L9" s="1">
        <f>IF(Data!L9&gt;0,4-Data!L9,"")</f>
        <v>3</v>
      </c>
      <c r="M9" s="1">
        <f>IF(Data!M9&gt;0,Data!M9-4,"")</f>
        <v>3</v>
      </c>
      <c r="N9" s="1">
        <f>IF(Data!N9&gt;0,Data!N9-4,"")</f>
        <v>3</v>
      </c>
      <c r="O9" s="1">
        <f>IF(Data!O9&gt;0,Data!O9-4,"")</f>
        <v>3</v>
      </c>
      <c r="P9" s="1">
        <f>IF(Data!P9&gt;0,Data!P9-4,"")</f>
        <v>3</v>
      </c>
      <c r="Q9" s="1">
        <f>IF(Data!Q9&gt;0,4-Data!Q9,"")</f>
        <v>0</v>
      </c>
      <c r="R9" s="1">
        <f>IF(Data!R9&gt;0,4-Data!R9,"")</f>
        <v>3</v>
      </c>
      <c r="S9" s="1">
        <f>IF(Data!S9&gt;0,4-Data!S9,"")</f>
        <v>3</v>
      </c>
      <c r="T9" s="1">
        <f>IF(Data!T9&gt;0,Data!T9-4,"")</f>
        <v>3</v>
      </c>
      <c r="U9" s="1">
        <f>IF(Data!U9&gt;0,4-Data!U9,"")</f>
        <v>3</v>
      </c>
      <c r="V9" s="1">
        <f>IF(Data!V9&gt;0,Data!V9-4,"")</f>
        <v>3</v>
      </c>
      <c r="W9" s="1">
        <f>IF(Data!W9&gt;0,4-Data!W9,"")</f>
        <v>3</v>
      </c>
      <c r="X9" s="1">
        <f>IF(Data!X9&gt;0,4-Data!X9,"")</f>
        <v>3</v>
      </c>
      <c r="Y9" s="1">
        <f>IF(Data!Y9&gt;0,4-Data!Y9,"")</f>
        <v>3</v>
      </c>
      <c r="Z9" s="1">
        <f>IF(Data!Z9&gt;0,Data!Z9-4,"")</f>
        <v>0</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3</v>
      </c>
      <c r="B10" s="1">
        <f>IF(Data!B10&gt;0,Data!B10-4,"")</f>
        <v>3</v>
      </c>
      <c r="C10" s="1">
        <f>IF(Data!C10&gt;0,4-Data!C10,"")</f>
        <v>3</v>
      </c>
      <c r="D10" s="1">
        <f>IF(Data!D10&gt;0,4-Data!D10,"")</f>
        <v>3</v>
      </c>
      <c r="E10" s="1">
        <f>IF(Data!E10&gt;0,4-Data!E10,"")</f>
        <v>3</v>
      </c>
      <c r="F10" s="1">
        <f>IF(Data!F10&gt;0,Data!F10-4,"")</f>
        <v>3</v>
      </c>
      <c r="G10" s="1">
        <f>IF(Data!G10&gt;0,Data!G10-4,"")</f>
        <v>3</v>
      </c>
      <c r="H10" s="1">
        <f>IF(Data!H10&gt;0,Data!H10-4,"")</f>
        <v>3</v>
      </c>
      <c r="I10" s="1">
        <f>IF(Data!I10&gt;0,4-Data!I10,"")</f>
        <v>3</v>
      </c>
      <c r="J10" s="1">
        <f>IF(Data!J10&gt;0,4-Data!J10,"")</f>
        <v>3</v>
      </c>
      <c r="K10" s="1">
        <f>IF(Data!K10&gt;0,Data!K10-4,"")</f>
        <v>3</v>
      </c>
      <c r="L10" s="1">
        <f>IF(Data!L10&gt;0,4-Data!L10,"")</f>
        <v>3</v>
      </c>
      <c r="M10" s="1">
        <f>IF(Data!M10&gt;0,Data!M10-4,"")</f>
        <v>3</v>
      </c>
      <c r="N10" s="1">
        <f>IF(Data!N10&gt;0,Data!N10-4,"")</f>
        <v>3</v>
      </c>
      <c r="O10" s="1">
        <f>IF(Data!O10&gt;0,Data!O10-4,"")</f>
        <v>3</v>
      </c>
      <c r="P10" s="1">
        <f>IF(Data!P10&gt;0,Data!P10-4,"")</f>
        <v>3</v>
      </c>
      <c r="Q10" s="1">
        <f>IF(Data!Q10&gt;0,4-Data!Q10,"")</f>
        <v>0</v>
      </c>
      <c r="R10" s="1">
        <f>IF(Data!R10&gt;0,4-Data!R10,"")</f>
        <v>3</v>
      </c>
      <c r="S10" s="1">
        <f>IF(Data!S10&gt;0,4-Data!S10,"")</f>
        <v>3</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2</v>
      </c>
      <c r="B11" s="1">
        <f>IF(Data!B11&gt;0,Data!B11-4,"")</f>
        <v>2</v>
      </c>
      <c r="C11" s="1">
        <f>IF(Data!C11&gt;0,4-Data!C11,"")</f>
        <v>2</v>
      </c>
      <c r="D11" s="1">
        <f>IF(Data!D11&gt;0,4-Data!D11,"")</f>
        <v>3</v>
      </c>
      <c r="E11" s="1">
        <f>IF(Data!E11&gt;0,4-Data!E11,"")</f>
        <v>3</v>
      </c>
      <c r="F11" s="1">
        <f>IF(Data!F11&gt;0,Data!F11-4,"")</f>
        <v>2</v>
      </c>
      <c r="G11" s="1">
        <f>IF(Data!G11&gt;0,Data!G11-4,"")</f>
        <v>3</v>
      </c>
      <c r="H11" s="1">
        <f>IF(Data!H11&gt;0,Data!H11-4,"")</f>
        <v>3</v>
      </c>
      <c r="I11" s="1">
        <f>IF(Data!I11&gt;0,4-Data!I11,"")</f>
        <v>3</v>
      </c>
      <c r="J11" s="1">
        <f>IF(Data!J11&gt;0,4-Data!J11,"")</f>
        <v>3</v>
      </c>
      <c r="K11" s="1">
        <f>IF(Data!K11&gt;0,Data!K11-4,"")</f>
        <v>3</v>
      </c>
      <c r="L11" s="1">
        <f>IF(Data!L11&gt;0,4-Data!L11,"")</f>
        <v>3</v>
      </c>
      <c r="M11" s="1">
        <f>IF(Data!M11&gt;0,Data!M11-4,"")</f>
        <v>3</v>
      </c>
      <c r="N11" s="1">
        <f>IF(Data!N11&gt;0,Data!N11-4,"")</f>
        <v>2</v>
      </c>
      <c r="O11" s="1">
        <f>IF(Data!O11&gt;0,Data!O11-4,"")</f>
        <v>3</v>
      </c>
      <c r="P11" s="1">
        <f>IF(Data!P11&gt;0,Data!P11-4,"")</f>
        <v>3</v>
      </c>
      <c r="Q11" s="1">
        <f>IF(Data!Q11&gt;0,4-Data!Q11,"")</f>
        <v>0</v>
      </c>
      <c r="R11" s="1">
        <f>IF(Data!R11&gt;0,4-Data!R11,"")</f>
        <v>3</v>
      </c>
      <c r="S11" s="1">
        <f>IF(Data!S11&gt;0,4-Data!S11,"")</f>
        <v>3</v>
      </c>
      <c r="T11" s="1">
        <f>IF(Data!T11&gt;0,Data!T11-4,"")</f>
        <v>2</v>
      </c>
      <c r="U11" s="1">
        <f>IF(Data!U11&gt;0,4-Data!U11,"")</f>
        <v>3</v>
      </c>
      <c r="V11" s="1">
        <f>IF(Data!V11&gt;0,Data!V11-4,"")</f>
        <v>3</v>
      </c>
      <c r="W11" s="1">
        <f>IF(Data!W11&gt;0,4-Data!W11,"")</f>
        <v>2</v>
      </c>
      <c r="X11" s="1">
        <f>IF(Data!X11&gt;0,4-Data!X11,"")</f>
        <v>3</v>
      </c>
      <c r="Y11" s="1">
        <f>IF(Data!Y11&gt;0,4-Data!Y11,"")</f>
        <v>3</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1</v>
      </c>
      <c r="B12" s="1">
        <f>IF(Data!B12&gt;0,Data!B12-4,"")</f>
        <v>1</v>
      </c>
      <c r="C12" s="1">
        <f>IF(Data!C12&gt;0,4-Data!C12,"")</f>
        <v>-1</v>
      </c>
      <c r="D12" s="1">
        <f>IF(Data!D12&gt;0,4-Data!D12,"")</f>
        <v>-1</v>
      </c>
      <c r="E12" s="1">
        <f>IF(Data!E12&gt;0,4-Data!E12,"")</f>
        <v>3</v>
      </c>
      <c r="F12" s="1">
        <f>IF(Data!F12&gt;0,Data!F12-4,"")</f>
        <v>0</v>
      </c>
      <c r="G12" s="1">
        <f>IF(Data!G12&gt;0,Data!G12-4,"")</f>
        <v>1</v>
      </c>
      <c r="H12" s="1">
        <f>IF(Data!H12&gt;0,Data!H12-4,"")</f>
        <v>2</v>
      </c>
      <c r="I12" s="1">
        <f>IF(Data!I12&gt;0,4-Data!I12,"")</f>
        <v>3</v>
      </c>
      <c r="J12" s="1">
        <f>IF(Data!J12&gt;0,4-Data!J12,"")</f>
        <v>0</v>
      </c>
      <c r="K12" s="1">
        <f>IF(Data!K12&gt;0,Data!K12-4,"")</f>
        <v>2</v>
      </c>
      <c r="L12" s="1">
        <f>IF(Data!L12&gt;0,4-Data!L12,"")</f>
        <v>2</v>
      </c>
      <c r="M12" s="1">
        <f>IF(Data!M12&gt;0,Data!M12-4,"")</f>
        <v>0</v>
      </c>
      <c r="N12" s="1">
        <f>IF(Data!N12&gt;0,Data!N12-4,"")</f>
        <v>1</v>
      </c>
      <c r="O12" s="1">
        <f>IF(Data!O12&gt;0,Data!O12-4,"")</f>
        <v>-1</v>
      </c>
      <c r="P12" s="1">
        <f>IF(Data!P12&gt;0,Data!P12-4,"")</f>
        <v>1</v>
      </c>
      <c r="Q12" s="1">
        <f>IF(Data!Q12&gt;0,4-Data!Q12,"")</f>
        <v>1</v>
      </c>
      <c r="R12" s="1">
        <f>IF(Data!R12&gt;0,4-Data!R12,"")</f>
        <v>0</v>
      </c>
      <c r="S12" s="1">
        <f>IF(Data!S12&gt;0,4-Data!S12,"")</f>
        <v>2</v>
      </c>
      <c r="T12" s="1">
        <f>IF(Data!T12&gt;0,Data!T12-4,"")</f>
        <v>2</v>
      </c>
      <c r="U12" s="1">
        <f>IF(Data!U12&gt;0,4-Data!U12,"")</f>
        <v>1</v>
      </c>
      <c r="V12" s="1">
        <f>IF(Data!V12&gt;0,Data!V12-4,"")</f>
        <v>2</v>
      </c>
      <c r="W12" s="1">
        <f>IF(Data!W12&gt;0,4-Data!W12,"")</f>
        <v>2</v>
      </c>
      <c r="X12" s="1">
        <f>IF(Data!X12&gt;0,4-Data!X12,"")</f>
        <v>0</v>
      </c>
      <c r="Y12" s="1">
        <f>IF(Data!Y12&gt;0,4-Data!Y12,"")</f>
        <v>1</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2</v>
      </c>
      <c r="C13" s="1">
        <f>IF(Data!C13&gt;0,4-Data!C13,"")</f>
        <v>1</v>
      </c>
      <c r="D13" s="1">
        <f>IF(Data!D13&gt;0,4-Data!D13,"")</f>
        <v>2</v>
      </c>
      <c r="E13" s="1">
        <f>IF(Data!E13&gt;0,4-Data!E13,"")</f>
        <v>2</v>
      </c>
      <c r="F13" s="1">
        <f>IF(Data!F13&gt;0,Data!F13-4,"")</f>
        <v>2</v>
      </c>
      <c r="G13" s="1">
        <f>IF(Data!G13&gt;0,Data!G13-4,"")</f>
        <v>2</v>
      </c>
      <c r="H13" s="1">
        <f>IF(Data!H13&gt;0,Data!H13-4,"")</f>
        <v>2</v>
      </c>
      <c r="I13" s="1">
        <f>IF(Data!I13&gt;0,4-Data!I13,"")</f>
        <v>2</v>
      </c>
      <c r="J13" s="1">
        <f>IF(Data!J13&gt;0,4-Data!J13,"")</f>
        <v>2</v>
      </c>
      <c r="K13" s="1">
        <f>IF(Data!K13&gt;0,Data!K13-4,"")</f>
        <v>2</v>
      </c>
      <c r="L13" s="1">
        <f>IF(Data!L13&gt;0,4-Data!L13,"")</f>
        <v>2</v>
      </c>
      <c r="M13" s="1">
        <f>IF(Data!M13&gt;0,Data!M13-4,"")</f>
        <v>2</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2</v>
      </c>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-1</v>
      </c>
      <c r="B14" s="1">
        <f>IF(Data!B14&gt;0,Data!B14-4,"")</f>
        <v>-1</v>
      </c>
      <c r="C14" s="1">
        <f>IF(Data!C14&gt;0,4-Data!C14,"")</f>
        <v>2</v>
      </c>
      <c r="D14" s="1">
        <f>IF(Data!D14&gt;0,4-Data!D14,"")</f>
        <v>-2</v>
      </c>
      <c r="E14" s="1">
        <f>IF(Data!E14&gt;0,4-Data!E14,"")</f>
        <v>1</v>
      </c>
      <c r="F14" s="1">
        <f>IF(Data!F14&gt;0,Data!F14-4,"")</f>
        <v>0</v>
      </c>
      <c r="G14" s="1">
        <f>IF(Data!G14&gt;0,Data!G14-4,"")</f>
        <v>1</v>
      </c>
      <c r="H14" s="1">
        <f>IF(Data!H14&gt;0,Data!H14-4,"")</f>
        <v>-1</v>
      </c>
      <c r="I14" s="1">
        <f>IF(Data!I14&gt;0,4-Data!I14,"")</f>
        <v>-2</v>
      </c>
      <c r="J14" s="1">
        <f>IF(Data!J14&gt;0,4-Data!J14,"")</f>
        <v>2</v>
      </c>
      <c r="K14" s="1">
        <f>IF(Data!K14&gt;0,Data!K14-4,"")</f>
        <v>-2</v>
      </c>
      <c r="L14" s="1">
        <f>IF(Data!L14&gt;0,4-Data!L14,"")</f>
        <v>0</v>
      </c>
      <c r="M14" s="1">
        <f>IF(Data!M14&gt;0,Data!M14-4,"")</f>
        <v>-2</v>
      </c>
      <c r="N14" s="1">
        <f>IF(Data!N14&gt;0,Data!N14-4,"")</f>
        <v>-1</v>
      </c>
      <c r="O14" s="1">
        <f>IF(Data!O14&gt;0,Data!O14-4,"")</f>
        <v>1</v>
      </c>
      <c r="P14" s="1">
        <f>IF(Data!P14&gt;0,Data!P14-4,"")</f>
        <v>-1</v>
      </c>
      <c r="Q14" s="1">
        <f>IF(Data!Q14&gt;0,4-Data!Q14,"")</f>
        <v>-1</v>
      </c>
      <c r="R14" s="1">
        <f>IF(Data!R14&gt;0,4-Data!R14,"")</f>
        <v>0</v>
      </c>
      <c r="S14" s="1">
        <f>IF(Data!S14&gt;0,4-Data!S14,"")</f>
        <v>0</v>
      </c>
      <c r="T14" s="1">
        <f>IF(Data!T14&gt;0,Data!T14-4,"")</f>
        <v>1</v>
      </c>
      <c r="U14" s="1">
        <f>IF(Data!U14&gt;0,4-Data!U14,"")</f>
        <v>-1</v>
      </c>
      <c r="V14" s="1">
        <f>IF(Data!V14&gt;0,Data!V14-4,"")</f>
        <v>-1</v>
      </c>
      <c r="W14" s="1">
        <f>IF(Data!W14&gt;0,4-Data!W14,"")</f>
        <v>0</v>
      </c>
      <c r="X14" s="1">
        <f>IF(Data!X14&gt;0,4-Data!X14,"")</f>
        <v>-1</v>
      </c>
      <c r="Y14" s="1">
        <f>IF(Data!Y14&gt;0,4-Data!Y14,"")</f>
        <v>-1</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8" workbookViewId="0">
      <selection activeCell="D10" sqref="D10"/>
    </sheetView>
  </sheetViews>
  <sheetFormatPr defaultRowHeight="14.5"/>
  <cols>
    <col min="1" max="1" width="28" customWidth="1"/>
    <col min="2" max="2" width="18.08984375" customWidth="1"/>
    <col min="3" max="5" width="18.36328125" customWidth="1"/>
    <col min="6" max="6" width="18.453125" customWidth="1"/>
    <col min="7" max="7" width="18.36328125" customWidth="1"/>
  </cols>
  <sheetData>
    <row r="1" spans="1:7" ht="21">
      <c r="A1" s="183" t="s">
        <v>831</v>
      </c>
      <c r="B1" s="183"/>
      <c r="C1" s="183"/>
      <c r="D1" s="183"/>
      <c r="E1" s="183"/>
      <c r="F1" s="183"/>
      <c r="G1" s="183"/>
    </row>
    <row r="2" spans="1:7" ht="184.75" customHeight="1">
      <c r="A2" s="173" t="s">
        <v>832</v>
      </c>
      <c r="B2" s="173"/>
      <c r="C2" s="173"/>
      <c r="D2" s="173"/>
      <c r="E2" s="173"/>
      <c r="F2" s="173"/>
      <c r="G2" s="173"/>
    </row>
    <row r="3" spans="1:7">
      <c r="A3" s="98" t="s">
        <v>110</v>
      </c>
      <c r="B3" s="91" t="s">
        <v>829</v>
      </c>
    </row>
    <row r="4" spans="1:7">
      <c r="A4" s="30" t="str">
        <f>VLOOKUP(Read_First!B5,Items!A1:BI50,54,FALSE)</f>
        <v>Attractiveness</v>
      </c>
      <c r="B4" s="7">
        <f>SQRT(VAR(DT!AC4:AC1004))</f>
        <v>1.209390864289235</v>
      </c>
    </row>
    <row r="5" spans="1:7">
      <c r="A5" s="30" t="str">
        <f>VLOOKUP(Read_First!B5,Items!A1:BI50,55,FALSE)</f>
        <v>Perspicuity</v>
      </c>
      <c r="B5" s="7">
        <f>SQRT(VAR(DT!AD4:AD1004))</f>
        <v>1.4381174563233068</v>
      </c>
    </row>
    <row r="6" spans="1:7">
      <c r="A6" s="30" t="str">
        <f>VLOOKUP(Read_First!B5,Items!A1:BI50,56,FALSE)</f>
        <v>Efficiency</v>
      </c>
      <c r="B6" s="7">
        <f>SQRT(VAR(DT!AE4:AE1004))</f>
        <v>1.0329789226046457</v>
      </c>
    </row>
    <row r="7" spans="1:7">
      <c r="A7" s="30" t="str">
        <f>VLOOKUP(Read_First!B5,Items!A1:BI50,57,FALSE)</f>
        <v>Dependability</v>
      </c>
      <c r="B7" s="7">
        <f>SQRT(VAR(DT!AF4:AF1004))</f>
        <v>0.99658507824561471</v>
      </c>
    </row>
    <row r="8" spans="1:7">
      <c r="A8" s="30" t="str">
        <f>VLOOKUP(Read_First!B5,Items!A1:BI50,58,FALSE)</f>
        <v>Stimulation</v>
      </c>
      <c r="B8" s="7">
        <f>SQRT(VAR(DT!AG4:AG1004))</f>
        <v>0.87904907299153257</v>
      </c>
    </row>
    <row r="9" spans="1:7">
      <c r="A9" s="30" t="str">
        <f>VLOOKUP(Read_First!B5,Items!A1:BI50,59,FALSE)</f>
        <v>Novelty</v>
      </c>
      <c r="B9" s="7">
        <f>SQRT(VAR(DT!AH4:AH1004))</f>
        <v>1.4069632029820307</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15.928000000000001</v>
      </c>
      <c r="C12" s="4">
        <f>POWER((1.65*B5)/0.5,2)</f>
        <v>22.522499999999997</v>
      </c>
      <c r="D12" s="4">
        <f>POWER((1.65*B6)/0.5,2)</f>
        <v>11.620125</v>
      </c>
      <c r="E12" s="4">
        <f>POWER((1.65*B7)/0.5,2)</f>
        <v>10.815749999999996</v>
      </c>
      <c r="F12" s="4">
        <f>POWER((1.65*B8)/0.5,2)</f>
        <v>8.4150000000000009</v>
      </c>
      <c r="G12" s="4">
        <f>POWER((1.65*B9)/0.5,2)</f>
        <v>21.557250000000003</v>
      </c>
    </row>
    <row r="13" spans="1:7">
      <c r="A13" s="105" t="s">
        <v>834</v>
      </c>
      <c r="B13" s="4">
        <f>POWER((1.96*B4)/0.5,2)</f>
        <v>22.475300202020204</v>
      </c>
      <c r="C13" s="4">
        <f>POWER((1.96*B5)/0.5,2)</f>
        <v>31.780509090909092</v>
      </c>
      <c r="D13" s="4">
        <f>POWER((1.96*B6)/0.5,2)</f>
        <v>16.396647272727275</v>
      </c>
      <c r="E13" s="4">
        <f>POWER((1.96*B7)/0.5,2)</f>
        <v>15.261629090909087</v>
      </c>
      <c r="F13" s="4">
        <f>POWER((1.96*B8)/0.5,2)</f>
        <v>11.874036363636364</v>
      </c>
      <c r="G13" s="4">
        <f>POWER((1.96*B9)/0.5,2)</f>
        <v>30.418487272727273</v>
      </c>
    </row>
    <row r="14" spans="1:7">
      <c r="A14" s="105" t="s">
        <v>835</v>
      </c>
      <c r="B14" s="4">
        <f>POWER((2.58*B4)/0.5,2)</f>
        <v>38.94330181818183</v>
      </c>
      <c r="C14" s="4">
        <f>POWER((2.58*B5)/0.5,2)</f>
        <v>55.066581818181824</v>
      </c>
      <c r="D14" s="4">
        <f>POWER((2.58*B6)/0.5,2)</f>
        <v>28.410725454545457</v>
      </c>
      <c r="E14" s="4">
        <f>POWER((2.58*B7)/0.5,2)</f>
        <v>26.444061818181815</v>
      </c>
      <c r="F14" s="4">
        <f>POWER((2.58*B8)/0.5,2)</f>
        <v>20.57432727272727</v>
      </c>
      <c r="G14" s="4">
        <f>POWER((2.58*B9)/0.5,2)</f>
        <v>52.706585454545461</v>
      </c>
    </row>
    <row r="15" spans="1:7">
      <c r="A15" s="105" t="s">
        <v>836</v>
      </c>
      <c r="B15" s="4">
        <f>POWER((1.65*B4)/0.25,2)</f>
        <v>63.712000000000003</v>
      </c>
      <c r="C15" s="4">
        <f>POWER((1.65*B5)/0.25,2)</f>
        <v>90.089999999999989</v>
      </c>
      <c r="D15" s="4">
        <f>POWER((1.65*B6)/0.25,2)</f>
        <v>46.480499999999999</v>
      </c>
      <c r="E15" s="4">
        <f>POWER((1.65*B7)/0.25,2)</f>
        <v>43.262999999999984</v>
      </c>
      <c r="F15" s="4">
        <f>POWER((1.65*B8)/0.25,2)</f>
        <v>33.660000000000004</v>
      </c>
      <c r="G15" s="4">
        <f>POWER((1.65*B9)/0.25,2)</f>
        <v>86.229000000000013</v>
      </c>
    </row>
    <row r="16" spans="1:7">
      <c r="A16" s="105" t="s">
        <v>837</v>
      </c>
      <c r="B16" s="4">
        <f>POWER((1.96*B4)/0.25,2)</f>
        <v>89.901200808080816</v>
      </c>
      <c r="C16" s="4">
        <f>POWER((1.96*B5)/0.25,2)</f>
        <v>127.12203636363637</v>
      </c>
      <c r="D16" s="4">
        <f>POWER((1.96*B6)/0.25,2)</f>
        <v>65.586589090909101</v>
      </c>
      <c r="E16" s="4">
        <f>POWER((1.96*B7)/0.25,2)</f>
        <v>61.04651636363635</v>
      </c>
      <c r="F16" s="4">
        <f>POWER((1.96*B8)/0.25,2)</f>
        <v>47.496145454545456</v>
      </c>
      <c r="G16" s="4">
        <f>POWER((1.96*B9)/0.25,2)</f>
        <v>121.67394909090909</v>
      </c>
    </row>
    <row r="17" spans="1:7">
      <c r="A17" s="105" t="s">
        <v>838</v>
      </c>
      <c r="B17" s="4">
        <f>POWER((2.58*B4)/0.25,2)</f>
        <v>155.77320727272732</v>
      </c>
      <c r="C17" s="4">
        <f>POWER((2.58*B5)/0.25,2)</f>
        <v>220.2663272727273</v>
      </c>
      <c r="D17" s="4">
        <f>POWER((2.58*B6)/0.25,2)</f>
        <v>113.64290181818183</v>
      </c>
      <c r="E17" s="4">
        <f>POWER((2.58*B7)/0.25,2)</f>
        <v>105.77624727272726</v>
      </c>
      <c r="F17" s="4">
        <f>POWER((2.58*B8)/0.25,2)</f>
        <v>82.297309090909081</v>
      </c>
      <c r="G17" s="4">
        <f>POWER((2.58*B9)/0.25,2)</f>
        <v>210.82634181818185</v>
      </c>
    </row>
    <row r="18" spans="1:7">
      <c r="A18" s="105" t="s">
        <v>839</v>
      </c>
      <c r="B18" s="4">
        <f>POWER((1.65*B4)/0.1,2)</f>
        <v>398.20000000000005</v>
      </c>
      <c r="C18" s="4">
        <f>POWER((1.65*B5)/0.1,2)</f>
        <v>563.0625</v>
      </c>
      <c r="D18" s="4">
        <f>POWER((1.65*B6)/0.1,2)</f>
        <v>290.50312499999995</v>
      </c>
      <c r="E18" s="4">
        <f>POWER((1.65*B7)/0.1,2)</f>
        <v>270.39374999999984</v>
      </c>
      <c r="F18" s="4">
        <f>POWER((1.65*B8)/0.1,2)</f>
        <v>210.375</v>
      </c>
      <c r="G18" s="4">
        <f>POWER((1.65*B9)/0.1,2)</f>
        <v>538.93124999999998</v>
      </c>
    </row>
    <row r="19" spans="1:7">
      <c r="A19" s="105" t="s">
        <v>840</v>
      </c>
      <c r="B19" s="4">
        <f>POWER((1.96*B4)/0.1,2)</f>
        <v>561.88250505050496</v>
      </c>
      <c r="C19" s="4">
        <f>POWER((1.96*B5)/0.1,2)</f>
        <v>794.51272727272726</v>
      </c>
      <c r="D19" s="4">
        <f>POWER((1.96*B6)/0.1,2)</f>
        <v>409.91618181818183</v>
      </c>
      <c r="E19" s="4">
        <f>POWER((1.96*B7)/0.1,2)</f>
        <v>381.54072727272717</v>
      </c>
      <c r="F19" s="4">
        <f>POWER((1.96*B8)/0.1,2)</f>
        <v>296.85090909090906</v>
      </c>
      <c r="G19" s="4">
        <f>POWER((1.96*B9)/0.1,2)</f>
        <v>760.46218181818165</v>
      </c>
    </row>
    <row r="20" spans="1:7">
      <c r="A20" s="106" t="s">
        <v>841</v>
      </c>
      <c r="B20" s="4">
        <f>POWER((2.58*B4)/0.1,2)</f>
        <v>973.58254545454565</v>
      </c>
      <c r="C20" s="4">
        <f>POWER((2.58*B5)/0.1,2)</f>
        <v>1376.6645454545455</v>
      </c>
      <c r="D20" s="4">
        <f>POWER((2.58*B6)/0.1,2)</f>
        <v>710.26813636363636</v>
      </c>
      <c r="E20" s="4">
        <f>POWER((2.58*B7)/0.1,2)</f>
        <v>661.10154545454543</v>
      </c>
      <c r="F20" s="4">
        <f>POWER((2.58*B8)/0.1,2)</f>
        <v>514.35818181818172</v>
      </c>
      <c r="G20" s="4">
        <f>POWER((2.58*B9)/0.1,2)</f>
        <v>1317.6646363636366</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A2" workbookViewId="0">
      <selection activeCell="X21" sqref="X21"/>
    </sheetView>
  </sheetViews>
  <sheetFormatPr defaultRowHeight="14.5"/>
  <cols>
    <col min="1" max="6" width="12.81640625" customWidth="1"/>
    <col min="7" max="7" width="10.6328125" style="46" customWidth="1"/>
    <col min="8" max="8" width="11.08984375" customWidth="1"/>
    <col min="9" max="11" width="12.81640625" customWidth="1"/>
    <col min="12" max="12" width="14.81640625" customWidth="1"/>
    <col min="13" max="13" width="13.453125" customWidth="1"/>
    <col min="14" max="14" width="12.81640625" customWidth="1"/>
    <col min="17" max="17" width="12.81640625" customWidth="1"/>
    <col min="18" max="18" width="8.6328125" customWidth="1"/>
    <col min="19" max="19" width="10" customWidth="1"/>
    <col min="20" max="20" width="7.6328125" customWidth="1"/>
    <col min="21" max="21" width="10.54296875" customWidth="1"/>
  </cols>
  <sheetData>
    <row r="1" spans="1:23" s="46" customFormat="1" ht="133.2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2.5122549019607843</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2.1111111111111112</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2.528571428571428</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1.7944444444444445</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2.8541666666666665</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2.6327160493827155</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2.8541666666666665</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2.536111111111111</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0.93918918918918914</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1.9230769230769234</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-0.32905982905982906</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workbookViewId="0">
      <selection activeCell="BG39" sqref="BG39"/>
    </sheetView>
  </sheetViews>
  <sheetFormatPr defaultColWidth="9.08984375" defaultRowHeight="14.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row r="37" spans="1:61">
      <c r="A37" t="s">
        <v>2152</v>
      </c>
      <c r="B37" t="s">
        <v>2153</v>
      </c>
      <c r="C37" t="s">
        <v>2154</v>
      </c>
      <c r="D37" t="s">
        <v>2155</v>
      </c>
      <c r="E37" t="s">
        <v>2156</v>
      </c>
      <c r="F37" t="s">
        <v>2157</v>
      </c>
      <c r="G37" t="s">
        <v>2158</v>
      </c>
      <c r="H37" t="s">
        <v>2159</v>
      </c>
      <c r="I37" t="s">
        <v>2160</v>
      </c>
      <c r="J37" t="s">
        <v>1308</v>
      </c>
      <c r="K37" t="s">
        <v>2161</v>
      </c>
      <c r="L37" t="s">
        <v>1310</v>
      </c>
      <c r="M37" t="s">
        <v>2162</v>
      </c>
      <c r="N37" t="s">
        <v>2163</v>
      </c>
      <c r="O37" t="s">
        <v>2164</v>
      </c>
      <c r="P37" t="s">
        <v>2165</v>
      </c>
      <c r="Q37" t="s">
        <v>2166</v>
      </c>
      <c r="R37" t="s">
        <v>2167</v>
      </c>
      <c r="S37" t="s">
        <v>1317</v>
      </c>
      <c r="T37" t="s">
        <v>2168</v>
      </c>
      <c r="U37" t="s">
        <v>2169</v>
      </c>
      <c r="V37" t="s">
        <v>2170</v>
      </c>
      <c r="W37" t="s">
        <v>2171</v>
      </c>
      <c r="X37" t="s">
        <v>1322</v>
      </c>
      <c r="Y37" t="s">
        <v>2172</v>
      </c>
      <c r="Z37" t="s">
        <v>2173</v>
      </c>
      <c r="AA37" t="s">
        <v>1325</v>
      </c>
      <c r="AB37" t="s">
        <v>2174</v>
      </c>
      <c r="AC37" t="s">
        <v>2175</v>
      </c>
      <c r="AD37" t="s">
        <v>2176</v>
      </c>
      <c r="AE37" t="s">
        <v>2177</v>
      </c>
      <c r="AF37" t="s">
        <v>2178</v>
      </c>
      <c r="AG37" t="s">
        <v>2179</v>
      </c>
      <c r="AH37" t="s">
        <v>2180</v>
      </c>
      <c r="AI37" t="s">
        <v>2181</v>
      </c>
      <c r="AJ37" t="s">
        <v>2182</v>
      </c>
      <c r="AK37" t="s">
        <v>2183</v>
      </c>
      <c r="AL37" t="s">
        <v>2184</v>
      </c>
      <c r="AM37" t="s">
        <v>2185</v>
      </c>
      <c r="AN37" t="s">
        <v>2186</v>
      </c>
      <c r="AO37" t="s">
        <v>2187</v>
      </c>
      <c r="AP37" t="s">
        <v>1340</v>
      </c>
      <c r="AQ37" t="s">
        <v>2188</v>
      </c>
      <c r="AR37" t="s">
        <v>1342</v>
      </c>
      <c r="AS37" t="s">
        <v>1343</v>
      </c>
      <c r="AT37" t="s">
        <v>2189</v>
      </c>
      <c r="AU37" t="s">
        <v>2190</v>
      </c>
      <c r="AV37" t="s">
        <v>2191</v>
      </c>
      <c r="AW37" t="s">
        <v>2192</v>
      </c>
      <c r="AX37" t="s">
        <v>1348</v>
      </c>
      <c r="AY37" t="s">
        <v>1349</v>
      </c>
      <c r="AZ37" t="s">
        <v>2193</v>
      </c>
      <c r="BA37" t="s">
        <v>2194</v>
      </c>
      <c r="BB37" t="s">
        <v>2196</v>
      </c>
      <c r="BC37" t="s">
        <v>2197</v>
      </c>
      <c r="BD37" t="s">
        <v>2198</v>
      </c>
      <c r="BE37" t="s">
        <v>2199</v>
      </c>
      <c r="BF37" t="s">
        <v>2200</v>
      </c>
      <c r="BG37" t="s">
        <v>2201</v>
      </c>
      <c r="BH37" t="s">
        <v>1358</v>
      </c>
      <c r="BI37" t="s">
        <v>2195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Melba Raj</cp:lastModifiedBy>
  <dcterms:created xsi:type="dcterms:W3CDTF">2012-03-20T13:56:56Z</dcterms:created>
  <dcterms:modified xsi:type="dcterms:W3CDTF">2021-05-20T09:56:46Z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1763513e-7734-4489-87cb-7327d9508b2c</vt:lpwstr>
  </property>
</Properties>
</file>