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in" sheetId="1" r:id="rId1"/>
    <sheet name="Mod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8" i="2" l="1"/>
  <c r="Y44" i="2"/>
  <c r="Y45" i="2"/>
  <c r="Y43" i="2"/>
  <c r="Z48" i="2"/>
  <c r="Z45" i="2"/>
  <c r="Z44" i="2"/>
  <c r="Z43" i="2"/>
  <c r="Z39" i="2"/>
  <c r="AA48" i="2"/>
  <c r="AA45" i="2"/>
  <c r="AA44" i="2"/>
  <c r="AA43" i="2"/>
  <c r="Y37" i="2"/>
  <c r="Z37" i="2"/>
  <c r="Y36" i="2"/>
  <c r="Z36" i="2"/>
  <c r="AA36" i="2"/>
  <c r="AA37" i="2"/>
  <c r="Y33" i="2"/>
  <c r="Z33" i="2"/>
  <c r="AA33" i="2"/>
  <c r="Y34" i="2"/>
  <c r="Z34" i="2"/>
  <c r="AA34" i="2"/>
  <c r="J37" i="2"/>
  <c r="F37" i="2"/>
  <c r="Q36" i="2"/>
  <c r="P36" i="2"/>
  <c r="O36" i="2"/>
  <c r="N36" i="2"/>
  <c r="M36" i="2"/>
  <c r="L36" i="2"/>
  <c r="K36" i="2"/>
  <c r="J36" i="2"/>
  <c r="I36" i="2"/>
  <c r="H36" i="2"/>
  <c r="F36" i="2"/>
  <c r="E36" i="2"/>
  <c r="D36" i="2"/>
  <c r="F44" i="2"/>
  <c r="F43" i="2"/>
  <c r="F42" i="2"/>
  <c r="F41" i="2"/>
  <c r="F40" i="2"/>
  <c r="F39" i="2"/>
  <c r="E44" i="2"/>
  <c r="E43" i="2"/>
  <c r="E42" i="2"/>
  <c r="E41" i="2"/>
  <c r="E40" i="2"/>
  <c r="E39" i="2"/>
  <c r="D44" i="2"/>
  <c r="D43" i="2"/>
  <c r="D42" i="2"/>
  <c r="D41" i="2"/>
  <c r="D40" i="2"/>
  <c r="D39" i="2"/>
  <c r="F47" i="2"/>
  <c r="E47" i="2"/>
  <c r="D47" i="2"/>
  <c r="H47" i="2"/>
  <c r="U11" i="2"/>
  <c r="V11" i="2"/>
  <c r="W11" i="2"/>
  <c r="U32" i="2"/>
  <c r="U29" i="2"/>
  <c r="U19" i="2"/>
  <c r="U28" i="2"/>
  <c r="V29" i="2"/>
  <c r="V28" i="2"/>
  <c r="V19" i="2"/>
  <c r="W29" i="2"/>
  <c r="W28" i="2"/>
  <c r="W19" i="2"/>
  <c r="W3" i="2"/>
  <c r="V3" i="2"/>
  <c r="X11" i="2"/>
  <c r="Y11" i="2"/>
  <c r="X32" i="2"/>
  <c r="X29" i="2"/>
  <c r="X28" i="2"/>
  <c r="X19" i="2"/>
  <c r="Y29" i="2"/>
  <c r="Y32" i="2" s="1"/>
  <c r="Q29" i="2"/>
  <c r="Q28" i="2"/>
  <c r="Z29" i="2"/>
  <c r="AA29" i="2"/>
  <c r="Y28" i="2"/>
  <c r="Y19" i="2"/>
  <c r="Z11" i="2"/>
  <c r="AA11" i="2"/>
  <c r="Z28" i="2"/>
  <c r="Z19" i="2"/>
  <c r="V32" i="2" l="1"/>
  <c r="W32" i="2"/>
  <c r="Z32" i="2"/>
  <c r="AA28" i="2"/>
  <c r="AA19" i="2"/>
  <c r="X3" i="2"/>
  <c r="Y3" i="2" s="1"/>
  <c r="Z3" i="2" s="1"/>
  <c r="AA3" i="2" s="1"/>
  <c r="AB3" i="2" s="1"/>
  <c r="AA32" i="2" l="1"/>
  <c r="Q48" i="2"/>
  <c r="Q47" i="2"/>
  <c r="Q45" i="2"/>
  <c r="Q44" i="2"/>
  <c r="Q43" i="2"/>
  <c r="Q42" i="2"/>
  <c r="Q41" i="2"/>
  <c r="Q40" i="2"/>
  <c r="Q39" i="2"/>
  <c r="P44" i="2"/>
  <c r="P43" i="2"/>
  <c r="P42" i="2"/>
  <c r="P41" i="2"/>
  <c r="P40" i="2"/>
  <c r="P39" i="2"/>
  <c r="P45" i="2" s="1"/>
  <c r="N48" i="2"/>
  <c r="N47" i="2"/>
  <c r="M47" i="2"/>
  <c r="L47" i="2"/>
  <c r="N44" i="2"/>
  <c r="N43" i="2"/>
  <c r="N42" i="2"/>
  <c r="N41" i="2"/>
  <c r="N40" i="2"/>
  <c r="N39" i="2"/>
  <c r="M45" i="2"/>
  <c r="M44" i="2"/>
  <c r="M43" i="2"/>
  <c r="M42" i="2"/>
  <c r="M41" i="2"/>
  <c r="M40" i="2"/>
  <c r="M39" i="2"/>
  <c r="L44" i="2"/>
  <c r="L43" i="2"/>
  <c r="L42" i="2"/>
  <c r="L41" i="2"/>
  <c r="L40" i="2"/>
  <c r="L39" i="2"/>
  <c r="J48" i="2"/>
  <c r="J47" i="2"/>
  <c r="J44" i="2"/>
  <c r="J43" i="2"/>
  <c r="J42" i="2"/>
  <c r="J41" i="2"/>
  <c r="J40" i="2"/>
  <c r="J39" i="2"/>
  <c r="I47" i="2"/>
  <c r="I43" i="2"/>
  <c r="I42" i="2"/>
  <c r="I41" i="2"/>
  <c r="I39" i="2"/>
  <c r="I40" i="2"/>
  <c r="H44" i="2"/>
  <c r="H43" i="2"/>
  <c r="H42" i="2"/>
  <c r="H41" i="2"/>
  <c r="H40" i="2"/>
  <c r="H39" i="2"/>
  <c r="P47" i="2"/>
  <c r="K48" i="2"/>
  <c r="C15" i="2"/>
  <c r="C14" i="2"/>
  <c r="C13" i="2"/>
  <c r="F11" i="2"/>
  <c r="F51" i="2"/>
  <c r="J50" i="2"/>
  <c r="F45" i="2"/>
  <c r="F48" i="2" s="1"/>
  <c r="F29" i="2"/>
  <c r="F28" i="2"/>
  <c r="F19" i="2"/>
  <c r="F15" i="2"/>
  <c r="F13" i="2"/>
  <c r="F14" i="2"/>
  <c r="I11" i="2"/>
  <c r="G11" i="2"/>
  <c r="C11" i="2"/>
  <c r="K50" i="2"/>
  <c r="L50" i="2"/>
  <c r="C51" i="2"/>
  <c r="G51" i="2"/>
  <c r="G50" i="2"/>
  <c r="C48" i="2"/>
  <c r="G48" i="2"/>
  <c r="C45" i="2"/>
  <c r="G45" i="2"/>
  <c r="G39" i="2"/>
  <c r="C36" i="2"/>
  <c r="C29" i="2"/>
  <c r="C28" i="2"/>
  <c r="C19" i="2"/>
  <c r="G36" i="2"/>
  <c r="G29" i="2"/>
  <c r="G28" i="2"/>
  <c r="G19" i="2"/>
  <c r="G15" i="2"/>
  <c r="G14" i="2"/>
  <c r="G13" i="2"/>
  <c r="D11" i="2"/>
  <c r="H11" i="2"/>
  <c r="L45" i="2" l="1"/>
  <c r="F32" i="2"/>
  <c r="F33" i="2" s="1"/>
  <c r="C32" i="2"/>
  <c r="C33" i="2" s="1"/>
  <c r="G32" i="2"/>
  <c r="G33" i="2" s="1"/>
  <c r="D45" i="2"/>
  <c r="D48" i="2" s="1"/>
  <c r="H45" i="2"/>
  <c r="H48" i="2" s="1"/>
  <c r="D28" i="2"/>
  <c r="D19" i="2"/>
  <c r="D29" i="2" s="1"/>
  <c r="H28" i="2"/>
  <c r="H19" i="2"/>
  <c r="H50" i="2" s="1"/>
  <c r="D14" i="2"/>
  <c r="D13" i="2"/>
  <c r="D15" i="2" s="1"/>
  <c r="H14" i="2"/>
  <c r="H15" i="2" s="1"/>
  <c r="H13" i="2"/>
  <c r="E14" i="2"/>
  <c r="E15" i="2" s="1"/>
  <c r="E13" i="2"/>
  <c r="E11" i="2"/>
  <c r="E45" i="2"/>
  <c r="E48" i="2" s="1"/>
  <c r="I45" i="2"/>
  <c r="I48" i="2" s="1"/>
  <c r="E28" i="2"/>
  <c r="E19" i="2"/>
  <c r="E29" i="2" s="1"/>
  <c r="I28" i="2"/>
  <c r="I19" i="2"/>
  <c r="I29" i="2" s="1"/>
  <c r="I14" i="2"/>
  <c r="I15" i="2"/>
  <c r="I13" i="2"/>
  <c r="K11" i="2"/>
  <c r="O11" i="2"/>
  <c r="K15" i="2"/>
  <c r="K13" i="2"/>
  <c r="O13" i="2"/>
  <c r="O15" i="2" s="1"/>
  <c r="M11" i="2"/>
  <c r="Q11" i="2"/>
  <c r="M13" i="2"/>
  <c r="M15" i="2" s="1"/>
  <c r="Q13" i="2"/>
  <c r="Q15" i="2" s="1"/>
  <c r="J13" i="2"/>
  <c r="J15" i="2" s="1"/>
  <c r="N13" i="2"/>
  <c r="N15" i="2" s="1"/>
  <c r="L11" i="2"/>
  <c r="P11" i="2"/>
  <c r="L13" i="2"/>
  <c r="L15" i="2" s="1"/>
  <c r="P15" i="2"/>
  <c r="P13" i="2"/>
  <c r="J11" i="2"/>
  <c r="N11" i="2"/>
  <c r="J45" i="2"/>
  <c r="J28" i="2"/>
  <c r="J19" i="2"/>
  <c r="J29" i="2" s="1"/>
  <c r="J32" i="2" s="1"/>
  <c r="J51" i="2" s="1"/>
  <c r="N29" i="2"/>
  <c r="N28" i="2"/>
  <c r="N19" i="2"/>
  <c r="N50" i="2" s="1"/>
  <c r="N45" i="2" l="1"/>
  <c r="I50" i="2"/>
  <c r="H29" i="2"/>
  <c r="D32" i="2"/>
  <c r="H32" i="2"/>
  <c r="E32" i="2"/>
  <c r="I32" i="2"/>
  <c r="J33" i="2"/>
  <c r="N32" i="2"/>
  <c r="M28" i="2"/>
  <c r="M19" i="2"/>
  <c r="M50" i="2" s="1"/>
  <c r="Q19" i="2"/>
  <c r="Q50" i="2" s="1"/>
  <c r="K45" i="2"/>
  <c r="O45" i="2"/>
  <c r="O48" i="2" s="1"/>
  <c r="K28" i="2"/>
  <c r="K19" i="2"/>
  <c r="K29" i="2" s="1"/>
  <c r="O28" i="2"/>
  <c r="O29" i="2" s="1"/>
  <c r="O32" i="2" s="1"/>
  <c r="O19" i="2"/>
  <c r="O50" i="2" s="1"/>
  <c r="L28" i="2"/>
  <c r="L19" i="2"/>
  <c r="L29" i="2" s="1"/>
  <c r="L32" i="2" s="1"/>
  <c r="P28" i="2"/>
  <c r="P19" i="2"/>
  <c r="P50" i="2" s="1"/>
  <c r="M48" i="2" l="1"/>
  <c r="L48" i="2"/>
  <c r="O33" i="2"/>
  <c r="O51" i="2"/>
  <c r="L51" i="2"/>
  <c r="L33" i="2"/>
  <c r="E33" i="2"/>
  <c r="E51" i="2"/>
  <c r="N33" i="2"/>
  <c r="N51" i="2"/>
  <c r="Q32" i="2"/>
  <c r="H33" i="2"/>
  <c r="H51" i="2"/>
  <c r="D33" i="2"/>
  <c r="D51" i="2"/>
  <c r="P29" i="2"/>
  <c r="P32" i="2" s="1"/>
  <c r="M29" i="2"/>
  <c r="M32" i="2" s="1"/>
  <c r="I33" i="2"/>
  <c r="I51" i="2"/>
  <c r="K32" i="2"/>
  <c r="P48" i="2" l="1"/>
  <c r="P33" i="2"/>
  <c r="P51" i="2"/>
  <c r="Q33" i="2"/>
  <c r="Q51" i="2"/>
  <c r="K51" i="2"/>
  <c r="K33" i="2"/>
  <c r="M33" i="2"/>
  <c r="M51" i="2"/>
  <c r="J5" i="1"/>
  <c r="J6" i="1" s="1"/>
  <c r="J9" i="1" s="1"/>
  <c r="J7" i="1"/>
</calcChain>
</file>

<file path=xl/sharedStrings.xml><?xml version="1.0" encoding="utf-8"?>
<sst xmlns="http://schemas.openxmlformats.org/spreadsheetml/2006/main" count="66" uniqueCount="63">
  <si>
    <t>Price</t>
  </si>
  <si>
    <t>Shares</t>
  </si>
  <si>
    <t>MC</t>
  </si>
  <si>
    <t>Cash</t>
  </si>
  <si>
    <t>Debt</t>
  </si>
  <si>
    <t>EV</t>
  </si>
  <si>
    <t>Q224</t>
  </si>
  <si>
    <t>Main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</si>
  <si>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</si>
  <si>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</si>
  <si>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</si>
  <si>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</si>
  <si>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</si>
  <si>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</si>
  <si>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</si>
  <si>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</si>
  <si>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</si>
  <si>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</si>
  <si>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</si>
  <si>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Resturant sales</t>
  </si>
  <si>
    <t>Franchise royalties sales</t>
  </si>
  <si>
    <t>Revenue</t>
  </si>
  <si>
    <t>Food and bevarage</t>
  </si>
  <si>
    <t>Labor</t>
  </si>
  <si>
    <t>Rent</t>
  </si>
  <si>
    <t>Other operating</t>
  </si>
  <si>
    <t>Pre-opening</t>
  </si>
  <si>
    <t>Depreciation &amp; amortization</t>
  </si>
  <si>
    <t>Impairment and closure</t>
  </si>
  <si>
    <t>G&amp;A</t>
  </si>
  <si>
    <t>Operating Expenses</t>
  </si>
  <si>
    <t>Operating Income</t>
  </si>
  <si>
    <t>Taxes</t>
  </si>
  <si>
    <t>EPS</t>
  </si>
  <si>
    <t>NI</t>
  </si>
  <si>
    <t>Net Income</t>
  </si>
  <si>
    <t>Modeled NI</t>
  </si>
  <si>
    <t>Reported NI</t>
  </si>
  <si>
    <t>Depreciation and Amortization</t>
  </si>
  <si>
    <t>Deferred Income tax</t>
  </si>
  <si>
    <t>SBC</t>
  </si>
  <si>
    <t>Other Noncash</t>
  </si>
  <si>
    <t>WC</t>
  </si>
  <si>
    <t>Net Income, NI interests</t>
  </si>
  <si>
    <t>CFFO</t>
  </si>
  <si>
    <t>Revenue y/y</t>
  </si>
  <si>
    <t>Profit Margin</t>
  </si>
  <si>
    <t>Company - Texas Roadhouse</t>
  </si>
  <si>
    <t>Franchise - Texas Roadhouse (Domestic)</t>
  </si>
  <si>
    <t>Franchise - Texas Roadhouse (Int'l)</t>
  </si>
  <si>
    <t>Company - Bubba's 33</t>
  </si>
  <si>
    <t>Company - Jaggers</t>
  </si>
  <si>
    <t>Franchise - Jaggers (Domestic)</t>
  </si>
  <si>
    <t>Average In-store Weekly Sales</t>
  </si>
  <si>
    <t>Average To-go Weekly Sales</t>
  </si>
  <si>
    <t>Total</t>
  </si>
  <si>
    <t>Total Restaurants Open</t>
  </si>
  <si>
    <t>Q421</t>
  </si>
  <si>
    <t>Q321</t>
  </si>
  <si>
    <t>Q221</t>
  </si>
  <si>
    <t>Q121</t>
  </si>
  <si>
    <t>Capex</t>
  </si>
  <si>
    <t>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</si>
</sst>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4" fontId="0" fillId="0" borderId="0" xfId="0" applyNumberFormat="1"/>
    <xf numFmtId="1" fontId="0" fillId="0" borderId="0" xfId="0" applyNumberFormat="1" applyAlignment="1">
      <alignment horizontal="right"/>
    </xf>
    <xf numFmtId="3" fontId="0" fillId="0" borderId="0" xfId="0" applyNumberFormat="1" applyFill="1"/>
    <xf numFmtId="0" fontId="0" fillId="0" borderId="0" xfId="0" applyFill="1" applyBorder="1"/>
    <xf numFmtId="3" fontId="0" fillId="0" borderId="0" xfId="0" applyNumberFormat="1" applyFill="1" applyBorder="1"/>
    <xf numFmtId="164" fontId="0" fillId="0" borderId="0" xfId="0" applyNumberFormat="1" applyFill="1" applyBorder="1"/>
    <xf numFmtId="164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18</xdr:row>
      <xdr:rowOff>0</xdr:rowOff>
    </xdr:from>
    <xdr:to>
      <xdr:col>16</xdr:col>
      <xdr:colOff>695325</xdr:colOff>
      <xdr:row>18</xdr:row>
      <xdr:rowOff>0</xdr:rowOff>
    </xdr:to>
    <xdr:cxnSp macro="">
      <xdr:nvCxnSpPr>
        <xdr:cNvPr id="3" name="Straight Connector 2"/>
        <xdr:cNvCxnSpPr/>
      </xdr:nvCxnSpPr>
      <xdr:spPr>
        <a:xfrm>
          <a:off x="3105150" y="3429000"/>
          <a:ext cx="110109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</xdr:row>
      <xdr:rowOff>180975</xdr:rowOff>
    </xdr:from>
    <xdr:to>
      <xdr:col>17</xdr:col>
      <xdr:colOff>0</xdr:colOff>
      <xdr:row>51</xdr:row>
      <xdr:rowOff>0</xdr:rowOff>
    </xdr:to>
    <xdr:cxnSp macro="">
      <xdr:nvCxnSpPr>
        <xdr:cNvPr id="8" name="Straight Connector 7"/>
        <xdr:cNvCxnSpPr/>
      </xdr:nvCxnSpPr>
      <xdr:spPr>
        <a:xfrm>
          <a:off x="14125575" y="561975"/>
          <a:ext cx="0" cy="915352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K9"/>
  <sheetViews>
    <sheetView workbookViewId="0">
      <selection activeCell="P14" sqref="P14"/>
    </sheetView>
  </sheetViews>
  <sheetFormatPr defaultRowHeight="15" x14ac:dyDescent="0.25"/>
  <cols>
    <col min="10" max="10" width="14.85546875" bestFit="1" customWidth="1"/>
  </cols>
  <sheetData>
    <row r="4" spans="9:11" x14ac:dyDescent="0.25">
      <c r="I4" t="s">
        <v>0</v>
      </c>
      <c r="J4">
        <v>181.5</v>
      </c>
      <c r="K4" t="s">
        <v>6</v>
      </c>
    </row>
    <row r="5" spans="9:11" x14ac:dyDescent="0.25">
      <c r="I5" t="s">
        <v>1</v>
      </c>
      <c r="J5" s="1">
        <f>66676650/1000</f>
        <v>66676.649999999994</v>
      </c>
      <c r="K5" t="s">
        <v>6</v>
      </c>
    </row>
    <row r="6" spans="9:11" x14ac:dyDescent="0.25">
      <c r="I6" t="s">
        <v>2</v>
      </c>
      <c r="J6" s="1">
        <f>+J5*J4</f>
        <v>12101811.975</v>
      </c>
    </row>
    <row r="7" spans="9:11" x14ac:dyDescent="0.25">
      <c r="I7" t="s">
        <v>3</v>
      </c>
      <c r="J7" s="1">
        <f>197454</f>
        <v>197454</v>
      </c>
    </row>
    <row r="8" spans="9:11" x14ac:dyDescent="0.25">
      <c r="I8" t="s">
        <v>4</v>
      </c>
      <c r="J8" s="1">
        <v>779517</v>
      </c>
    </row>
    <row r="9" spans="9:11" x14ac:dyDescent="0.25">
      <c r="I9" t="s">
        <v>5</v>
      </c>
      <c r="J9" s="1">
        <f>+J6-J7+J8</f>
        <v>12683874.975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abSelected="1" zoomScaleNormal="100" workbookViewId="0">
      <pane xSplit="2" ySplit="3" topLeftCell="F27" activePane="bottomRight" state="frozen"/>
      <selection pane="topRight" activeCell="C1" sqref="C1"/>
      <selection pane="bottomLeft" activeCell="A4" sqref="A4"/>
      <selection pane="bottomRight" activeCell="Y48" sqref="Y48"/>
    </sheetView>
  </sheetViews>
  <sheetFormatPr defaultRowHeight="15" x14ac:dyDescent="0.25"/>
  <cols>
    <col min="2" max="2" width="37.28515625" bestFit="1" customWidth="1"/>
    <col min="3" max="3" width="9.140625" customWidth="1"/>
    <col min="4" max="4" width="10.28515625" customWidth="1"/>
    <col min="5" max="5" width="8.85546875" customWidth="1"/>
    <col min="6" max="6" width="9.140625" customWidth="1"/>
    <col min="7" max="7" width="8.7109375" customWidth="1"/>
    <col min="17" max="17" width="10.5703125" bestFit="1" customWidth="1"/>
    <col min="24" max="24" width="9.140625" bestFit="1" customWidth="1"/>
  </cols>
  <sheetData>
    <row r="1" spans="1:28" x14ac:dyDescent="0.25">
      <c r="A1" t="s">
        <v>7</v>
      </c>
    </row>
    <row r="3" spans="1:28" x14ac:dyDescent="0.25">
      <c r="C3" s="6" t="s">
        <v>60</v>
      </c>
      <c r="D3" s="6" t="s">
        <v>59</v>
      </c>
      <c r="E3" s="6" t="s">
        <v>58</v>
      </c>
      <c r="F3" s="6" t="s">
        <v>57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6</v>
      </c>
      <c r="Q3" s="6" t="s">
        <v>17</v>
      </c>
      <c r="R3" s="6" t="s">
        <v>18</v>
      </c>
      <c r="U3">
        <v>2017</v>
      </c>
      <c r="V3">
        <f>U3+1</f>
        <v>2018</v>
      </c>
      <c r="W3">
        <f>V3+1</f>
        <v>2019</v>
      </c>
      <c r="X3">
        <f>W3+1</f>
        <v>2020</v>
      </c>
      <c r="Y3">
        <f t="shared" ref="Y3:AB3" si="0">X3+1</f>
        <v>2021</v>
      </c>
      <c r="Z3">
        <f t="shared" si="0"/>
        <v>2022</v>
      </c>
      <c r="AA3">
        <f t="shared" si="0"/>
        <v>2023</v>
      </c>
      <c r="AB3">
        <f t="shared" si="0"/>
        <v>2024</v>
      </c>
    </row>
    <row r="5" spans="1:28" x14ac:dyDescent="0.25">
      <c r="B5" t="s">
        <v>47</v>
      </c>
      <c r="C5">
        <v>505</v>
      </c>
      <c r="D5">
        <v>511</v>
      </c>
      <c r="E5">
        <v>517</v>
      </c>
      <c r="F5">
        <v>526</v>
      </c>
      <c r="G5">
        <v>536</v>
      </c>
      <c r="H5">
        <v>541</v>
      </c>
      <c r="I5">
        <v>545</v>
      </c>
      <c r="J5">
        <v>552</v>
      </c>
      <c r="K5">
        <v>564</v>
      </c>
      <c r="L5">
        <v>566</v>
      </c>
      <c r="M5">
        <v>573</v>
      </c>
      <c r="N5">
        <v>582</v>
      </c>
      <c r="O5">
        <v>591</v>
      </c>
      <c r="P5">
        <v>594</v>
      </c>
      <c r="Q5">
        <v>601</v>
      </c>
      <c r="U5">
        <v>440</v>
      </c>
      <c r="V5">
        <v>464</v>
      </c>
      <c r="W5">
        <v>484</v>
      </c>
      <c r="X5">
        <v>503</v>
      </c>
      <c r="Y5">
        <v>526</v>
      </c>
      <c r="Z5">
        <v>552</v>
      </c>
      <c r="AA5">
        <v>582</v>
      </c>
    </row>
    <row r="6" spans="1:28" x14ac:dyDescent="0.25">
      <c r="B6" t="s">
        <v>48</v>
      </c>
      <c r="C6">
        <v>69</v>
      </c>
      <c r="D6">
        <v>69</v>
      </c>
      <c r="E6">
        <v>69</v>
      </c>
      <c r="F6">
        <v>70</v>
      </c>
      <c r="G6">
        <v>63</v>
      </c>
      <c r="H6">
        <v>62</v>
      </c>
      <c r="I6">
        <v>62</v>
      </c>
      <c r="J6">
        <v>62</v>
      </c>
      <c r="K6">
        <v>54</v>
      </c>
      <c r="L6">
        <v>54</v>
      </c>
      <c r="M6">
        <v>54</v>
      </c>
      <c r="N6">
        <v>56</v>
      </c>
      <c r="O6">
        <v>56</v>
      </c>
      <c r="P6">
        <v>56</v>
      </c>
      <c r="Q6">
        <v>56</v>
      </c>
      <c r="U6">
        <v>70</v>
      </c>
      <c r="V6">
        <v>69</v>
      </c>
      <c r="W6">
        <v>69</v>
      </c>
      <c r="X6">
        <v>69</v>
      </c>
      <c r="Y6">
        <v>70</v>
      </c>
      <c r="Z6">
        <v>62</v>
      </c>
      <c r="AA6">
        <v>56</v>
      </c>
    </row>
    <row r="7" spans="1:28" x14ac:dyDescent="0.25">
      <c r="B7" t="s">
        <v>49</v>
      </c>
      <c r="C7">
        <v>28</v>
      </c>
      <c r="D7">
        <v>30</v>
      </c>
      <c r="E7">
        <v>30</v>
      </c>
      <c r="F7">
        <v>31</v>
      </c>
      <c r="G7">
        <v>33</v>
      </c>
      <c r="H7">
        <v>34</v>
      </c>
      <c r="I7">
        <v>36</v>
      </c>
      <c r="J7">
        <v>38</v>
      </c>
      <c r="K7">
        <v>39</v>
      </c>
      <c r="L7">
        <v>41</v>
      </c>
      <c r="M7">
        <v>44</v>
      </c>
      <c r="N7">
        <v>48</v>
      </c>
      <c r="O7">
        <v>50</v>
      </c>
      <c r="P7">
        <v>53</v>
      </c>
      <c r="Q7">
        <v>56</v>
      </c>
      <c r="U7">
        <v>17</v>
      </c>
      <c r="V7">
        <v>22</v>
      </c>
      <c r="W7">
        <v>28</v>
      </c>
      <c r="X7">
        <v>28</v>
      </c>
      <c r="Y7">
        <v>31</v>
      </c>
      <c r="Z7">
        <v>38</v>
      </c>
      <c r="AA7">
        <v>48</v>
      </c>
    </row>
    <row r="8" spans="1:28" x14ac:dyDescent="0.25">
      <c r="B8" t="s">
        <v>50</v>
      </c>
      <c r="C8">
        <v>32</v>
      </c>
      <c r="D8">
        <v>34</v>
      </c>
      <c r="E8">
        <v>35</v>
      </c>
      <c r="F8">
        <v>36</v>
      </c>
      <c r="G8">
        <v>36</v>
      </c>
      <c r="H8">
        <v>37</v>
      </c>
      <c r="I8">
        <v>38</v>
      </c>
      <c r="J8">
        <v>40</v>
      </c>
      <c r="K8">
        <v>40</v>
      </c>
      <c r="L8">
        <v>41</v>
      </c>
      <c r="M8">
        <v>43</v>
      </c>
      <c r="N8">
        <v>45</v>
      </c>
      <c r="O8">
        <v>45</v>
      </c>
      <c r="P8">
        <v>48</v>
      </c>
      <c r="Q8">
        <v>48</v>
      </c>
      <c r="U8">
        <v>20</v>
      </c>
      <c r="V8">
        <v>25</v>
      </c>
      <c r="W8">
        <v>28</v>
      </c>
      <c r="X8">
        <v>31</v>
      </c>
      <c r="Y8">
        <v>36</v>
      </c>
      <c r="Z8">
        <v>40</v>
      </c>
      <c r="AA8">
        <v>45</v>
      </c>
    </row>
    <row r="9" spans="1:28" x14ac:dyDescent="0.25">
      <c r="B9" t="s">
        <v>51</v>
      </c>
      <c r="C9">
        <v>3</v>
      </c>
      <c r="D9">
        <v>3</v>
      </c>
      <c r="E9">
        <v>3</v>
      </c>
      <c r="F9">
        <v>4</v>
      </c>
      <c r="G9">
        <v>4</v>
      </c>
      <c r="H9">
        <v>4</v>
      </c>
      <c r="I9">
        <v>4</v>
      </c>
      <c r="J9">
        <v>5</v>
      </c>
      <c r="K9">
        <v>7</v>
      </c>
      <c r="L9">
        <v>7</v>
      </c>
      <c r="M9">
        <v>7</v>
      </c>
      <c r="N9">
        <v>8</v>
      </c>
      <c r="O9">
        <v>8</v>
      </c>
      <c r="P9">
        <v>8</v>
      </c>
      <c r="Q9">
        <v>8</v>
      </c>
      <c r="U9">
        <v>2</v>
      </c>
      <c r="V9">
        <v>2</v>
      </c>
      <c r="W9">
        <v>2</v>
      </c>
      <c r="X9">
        <v>3</v>
      </c>
      <c r="Y9">
        <v>4</v>
      </c>
      <c r="Z9">
        <v>5</v>
      </c>
      <c r="AA9">
        <v>8</v>
      </c>
    </row>
    <row r="10" spans="1:28" x14ac:dyDescent="0.25">
      <c r="B10" t="s">
        <v>52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2</v>
      </c>
      <c r="O10">
        <v>3</v>
      </c>
      <c r="P10">
        <v>3</v>
      </c>
      <c r="Q10">
        <v>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</v>
      </c>
    </row>
    <row r="11" spans="1:28" x14ac:dyDescent="0.25">
      <c r="B11" s="7" t="s">
        <v>56</v>
      </c>
      <c r="C11">
        <f t="shared" ref="C11:Q11" si="1">SUM(C5:C10)</f>
        <v>637</v>
      </c>
      <c r="D11">
        <f t="shared" si="1"/>
        <v>647</v>
      </c>
      <c r="E11">
        <f t="shared" si="1"/>
        <v>654</v>
      </c>
      <c r="F11">
        <f t="shared" si="1"/>
        <v>667</v>
      </c>
      <c r="G11">
        <f t="shared" si="1"/>
        <v>672</v>
      </c>
      <c r="H11">
        <f t="shared" si="1"/>
        <v>678</v>
      </c>
      <c r="I11">
        <f t="shared" si="1"/>
        <v>685</v>
      </c>
      <c r="J11">
        <f t="shared" si="1"/>
        <v>697</v>
      </c>
      <c r="K11">
        <f t="shared" si="1"/>
        <v>704</v>
      </c>
      <c r="L11">
        <f t="shared" si="1"/>
        <v>709</v>
      </c>
      <c r="M11">
        <f t="shared" si="1"/>
        <v>722</v>
      </c>
      <c r="N11">
        <f t="shared" si="1"/>
        <v>741</v>
      </c>
      <c r="O11">
        <f t="shared" si="1"/>
        <v>753</v>
      </c>
      <c r="P11">
        <f t="shared" si="1"/>
        <v>762</v>
      </c>
      <c r="Q11">
        <f t="shared" si="1"/>
        <v>772</v>
      </c>
      <c r="U11">
        <f t="shared" ref="U11:AA11" si="2">SUM(U5:U10)</f>
        <v>549</v>
      </c>
      <c r="V11">
        <f t="shared" si="2"/>
        <v>582</v>
      </c>
      <c r="W11">
        <f t="shared" si="2"/>
        <v>611</v>
      </c>
      <c r="X11">
        <f t="shared" si="2"/>
        <v>634</v>
      </c>
      <c r="Y11">
        <f t="shared" si="2"/>
        <v>667</v>
      </c>
      <c r="Z11">
        <f t="shared" si="2"/>
        <v>697</v>
      </c>
      <c r="AA11">
        <f t="shared" si="2"/>
        <v>741</v>
      </c>
    </row>
    <row r="12" spans="1:28" x14ac:dyDescent="0.25">
      <c r="B12" s="6"/>
      <c r="C12" s="6"/>
      <c r="D12" s="6"/>
      <c r="E12" s="6"/>
      <c r="F12" s="6"/>
    </row>
    <row r="13" spans="1:28" x14ac:dyDescent="0.25">
      <c r="B13" s="6" t="s">
        <v>53</v>
      </c>
      <c r="C13" s="6">
        <f>124217-(0.187*124217)</f>
        <v>100988.421</v>
      </c>
      <c r="D13" s="1">
        <f>126442-(0.169*126442)</f>
        <v>105073.302</v>
      </c>
      <c r="E13" s="1">
        <f>120094-(0.151 * 120094)</f>
        <v>101959.806</v>
      </c>
      <c r="F13" s="1">
        <f>121976-(0.144*121976)</f>
        <v>104411.45600000001</v>
      </c>
      <c r="G13" s="1">
        <f>132263-(0.148*132263)</f>
        <v>112688.076</v>
      </c>
      <c r="H13" s="1">
        <f>135552-(0.131*134442)</f>
        <v>117940.098</v>
      </c>
      <c r="I13" s="1">
        <f>129278-(0.2 * 129278)</f>
        <v>103422.39999999999</v>
      </c>
      <c r="J13" s="1">
        <f>130176-16414</f>
        <v>113762</v>
      </c>
      <c r="K13" s="1">
        <f>148437-19030</f>
        <v>129407</v>
      </c>
      <c r="L13" s="1">
        <f>146727-L14</f>
        <v>128231</v>
      </c>
      <c r="M13" s="1">
        <f>138668-17058</f>
        <v>121610</v>
      </c>
      <c r="N13" s="1">
        <f>141653-17783</f>
        <v>123870</v>
      </c>
      <c r="O13" s="1">
        <f>159378-20815</f>
        <v>138563</v>
      </c>
      <c r="P13" s="1">
        <f>158991-19975</f>
        <v>139016</v>
      </c>
      <c r="Q13" s="1">
        <f>149176-18914</f>
        <v>130262</v>
      </c>
    </row>
    <row r="14" spans="1:28" x14ac:dyDescent="0.25">
      <c r="B14" s="6" t="s">
        <v>54</v>
      </c>
      <c r="C14" s="9">
        <f>0.187*124217</f>
        <v>23228.579000000002</v>
      </c>
      <c r="D14" s="1">
        <f>0.169*126442</f>
        <v>21368.698</v>
      </c>
      <c r="E14" s="1">
        <f>0.151*120094</f>
        <v>18134.194</v>
      </c>
      <c r="F14" s="1">
        <f>0.144*121976</f>
        <v>17564.543999999998</v>
      </c>
      <c r="G14" s="1">
        <f>0.148*132263</f>
        <v>19574.923999999999</v>
      </c>
      <c r="H14" s="1">
        <f>0.131*135552</f>
        <v>17757.312000000002</v>
      </c>
      <c r="I14" s="1">
        <f>0.2*129278</f>
        <v>25855.600000000002</v>
      </c>
      <c r="J14" s="1">
        <v>16414</v>
      </c>
      <c r="K14" s="1">
        <v>19030</v>
      </c>
      <c r="L14" s="1">
        <v>18496</v>
      </c>
      <c r="M14" s="1">
        <v>17058</v>
      </c>
      <c r="N14" s="1">
        <v>17793</v>
      </c>
      <c r="O14" s="1">
        <v>-20815</v>
      </c>
      <c r="P14" s="1">
        <v>19975</v>
      </c>
      <c r="Q14" s="1">
        <v>18914</v>
      </c>
    </row>
    <row r="15" spans="1:28" x14ac:dyDescent="0.25">
      <c r="B15" s="7" t="s">
        <v>55</v>
      </c>
      <c r="C15" s="1">
        <f t="shared" ref="C15:Q15" si="3">SUM(C13:C14)</f>
        <v>124217</v>
      </c>
      <c r="D15" s="1">
        <f t="shared" si="3"/>
        <v>126442</v>
      </c>
      <c r="E15" s="1">
        <f t="shared" si="3"/>
        <v>120094</v>
      </c>
      <c r="F15" s="1">
        <f t="shared" si="3"/>
        <v>121976</v>
      </c>
      <c r="G15" s="1">
        <f t="shared" si="3"/>
        <v>132263</v>
      </c>
      <c r="H15" s="1">
        <f t="shared" si="3"/>
        <v>135697.41</v>
      </c>
      <c r="I15" s="1">
        <f t="shared" si="3"/>
        <v>129278</v>
      </c>
      <c r="J15" s="1">
        <f t="shared" si="3"/>
        <v>130176</v>
      </c>
      <c r="K15" s="1">
        <f t="shared" si="3"/>
        <v>148437</v>
      </c>
      <c r="L15" s="1">
        <f t="shared" si="3"/>
        <v>146727</v>
      </c>
      <c r="M15" s="1">
        <f t="shared" si="3"/>
        <v>138668</v>
      </c>
      <c r="N15" s="1">
        <f t="shared" si="3"/>
        <v>141663</v>
      </c>
      <c r="O15" s="1">
        <f t="shared" si="3"/>
        <v>117748</v>
      </c>
      <c r="P15" s="1">
        <f t="shared" si="3"/>
        <v>158991</v>
      </c>
      <c r="Q15" s="1">
        <f t="shared" si="3"/>
        <v>149176</v>
      </c>
    </row>
    <row r="16" spans="1:28" x14ac:dyDescent="0.25">
      <c r="I16" s="1"/>
    </row>
    <row r="17" spans="2:27" x14ac:dyDescent="0.25">
      <c r="B17" t="s">
        <v>19</v>
      </c>
      <c r="C17" s="1">
        <v>794923</v>
      </c>
      <c r="D17" s="1">
        <v>892444</v>
      </c>
      <c r="E17" s="1">
        <v>862757</v>
      </c>
      <c r="F17" s="1">
        <v>889052</v>
      </c>
      <c r="G17" s="1">
        <v>980972</v>
      </c>
      <c r="H17">
        <v>1018057</v>
      </c>
      <c r="I17" s="1">
        <v>986999</v>
      </c>
      <c r="J17" s="1">
        <v>1002763</v>
      </c>
      <c r="K17" s="1">
        <v>1167583</v>
      </c>
      <c r="L17" s="1">
        <v>1164385</v>
      </c>
      <c r="M17" s="1">
        <v>1115224</v>
      </c>
      <c r="N17" s="1">
        <v>1157362</v>
      </c>
      <c r="O17" s="1">
        <v>1314152</v>
      </c>
      <c r="P17" s="1">
        <v>1333642</v>
      </c>
      <c r="Q17" s="1">
        <v>1265279</v>
      </c>
      <c r="U17" s="1">
        <v>2203017</v>
      </c>
      <c r="V17" s="1">
        <v>2437115</v>
      </c>
      <c r="W17" s="1">
        <v>2734177</v>
      </c>
      <c r="X17" s="1">
        <v>2380177</v>
      </c>
      <c r="Y17" s="1">
        <v>3439176</v>
      </c>
      <c r="Z17" s="1">
        <v>3988791</v>
      </c>
      <c r="AA17" s="1">
        <v>4604554</v>
      </c>
    </row>
    <row r="18" spans="2:27" x14ac:dyDescent="0.25">
      <c r="B18" t="s">
        <v>20</v>
      </c>
      <c r="C18" s="1">
        <v>5706</v>
      </c>
      <c r="D18" s="1">
        <v>6344</v>
      </c>
      <c r="E18" s="1">
        <v>6186</v>
      </c>
      <c r="F18" s="1">
        <v>6534</v>
      </c>
      <c r="G18" s="1">
        <v>6514</v>
      </c>
      <c r="H18">
        <v>6549</v>
      </c>
      <c r="I18" s="1">
        <v>6299</v>
      </c>
      <c r="J18" s="1">
        <v>6766</v>
      </c>
      <c r="K18" s="1">
        <v>6773</v>
      </c>
      <c r="L18" s="1">
        <v>6818</v>
      </c>
      <c r="M18" s="1">
        <v>6528</v>
      </c>
      <c r="N18" s="1">
        <v>6999</v>
      </c>
      <c r="O18" s="1">
        <v>7065</v>
      </c>
      <c r="P18" s="1">
        <v>7560</v>
      </c>
      <c r="Q18" s="1">
        <v>7720</v>
      </c>
      <c r="U18" s="1">
        <v>16514</v>
      </c>
      <c r="V18" s="1">
        <v>20334</v>
      </c>
      <c r="W18" s="1">
        <v>21986</v>
      </c>
      <c r="X18" s="1">
        <v>17946</v>
      </c>
      <c r="Y18" s="1">
        <v>24770</v>
      </c>
      <c r="Z18" s="1">
        <v>26128</v>
      </c>
      <c r="AA18" s="1">
        <v>27118</v>
      </c>
    </row>
    <row r="19" spans="2:27" x14ac:dyDescent="0.25">
      <c r="B19" s="5" t="s">
        <v>21</v>
      </c>
      <c r="C19" s="1">
        <f t="shared" ref="C19:Q19" si="4">+C18+C17</f>
        <v>800629</v>
      </c>
      <c r="D19" s="1">
        <f t="shared" si="4"/>
        <v>898788</v>
      </c>
      <c r="E19" s="1">
        <f t="shared" si="4"/>
        <v>868943</v>
      </c>
      <c r="F19" s="1">
        <f t="shared" si="4"/>
        <v>895586</v>
      </c>
      <c r="G19" s="1">
        <f t="shared" si="4"/>
        <v>987486</v>
      </c>
      <c r="H19" s="1">
        <f t="shared" si="4"/>
        <v>1024606</v>
      </c>
      <c r="I19" s="1">
        <f t="shared" si="4"/>
        <v>993298</v>
      </c>
      <c r="J19" s="1">
        <f t="shared" si="4"/>
        <v>1009529</v>
      </c>
      <c r="K19" s="1">
        <f t="shared" si="4"/>
        <v>1174356</v>
      </c>
      <c r="L19" s="1">
        <f t="shared" si="4"/>
        <v>1171203</v>
      </c>
      <c r="M19" s="1">
        <f t="shared" si="4"/>
        <v>1121752</v>
      </c>
      <c r="N19" s="1">
        <f t="shared" si="4"/>
        <v>1164361</v>
      </c>
      <c r="O19" s="1">
        <f t="shared" si="4"/>
        <v>1321217</v>
      </c>
      <c r="P19" s="1">
        <f t="shared" si="4"/>
        <v>1341202</v>
      </c>
      <c r="Q19" s="1">
        <f t="shared" si="4"/>
        <v>1272999</v>
      </c>
      <c r="U19" s="1">
        <f t="shared" ref="U19:AA19" si="5">+U18+U17</f>
        <v>2219531</v>
      </c>
      <c r="V19" s="1">
        <f t="shared" si="5"/>
        <v>2457449</v>
      </c>
      <c r="W19" s="1">
        <f t="shared" si="5"/>
        <v>2756163</v>
      </c>
      <c r="X19" s="1">
        <f t="shared" si="5"/>
        <v>2398123</v>
      </c>
      <c r="Y19" s="1">
        <f t="shared" si="5"/>
        <v>3463946</v>
      </c>
      <c r="Z19" s="1">
        <f t="shared" si="5"/>
        <v>4014919</v>
      </c>
      <c r="AA19" s="1">
        <f t="shared" si="5"/>
        <v>4631672</v>
      </c>
    </row>
    <row r="20" spans="2:27" x14ac:dyDescent="0.25">
      <c r="B20" t="s">
        <v>22</v>
      </c>
      <c r="C20" s="1">
        <v>251482</v>
      </c>
      <c r="D20" s="1">
        <v>295504</v>
      </c>
      <c r="E20" s="1">
        <v>298164</v>
      </c>
      <c r="F20" s="1">
        <v>311478</v>
      </c>
      <c r="G20" s="1">
        <v>337396</v>
      </c>
      <c r="H20" s="1">
        <v>347041</v>
      </c>
      <c r="I20" s="1">
        <v>342032</v>
      </c>
      <c r="J20" s="1">
        <v>351723</v>
      </c>
      <c r="K20" s="1">
        <v>410711</v>
      </c>
      <c r="L20" s="1">
        <v>401204</v>
      </c>
      <c r="M20" s="1">
        <v>386184</v>
      </c>
      <c r="N20" s="1">
        <v>395753</v>
      </c>
      <c r="O20" s="1">
        <v>445091</v>
      </c>
      <c r="P20" s="1">
        <v>436001</v>
      </c>
      <c r="Q20" s="1">
        <v>424566</v>
      </c>
      <c r="U20" s="1">
        <v>721550</v>
      </c>
      <c r="V20" s="1">
        <v>795300</v>
      </c>
      <c r="W20" s="1">
        <v>883357</v>
      </c>
      <c r="X20" s="1">
        <v>780646</v>
      </c>
      <c r="Y20" s="1">
        <v>1156628</v>
      </c>
      <c r="Z20" s="1">
        <v>1378192</v>
      </c>
      <c r="AA20" s="1">
        <v>1593852</v>
      </c>
    </row>
    <row r="21" spans="2:27" x14ac:dyDescent="0.25">
      <c r="B21" t="s">
        <v>23</v>
      </c>
      <c r="C21" s="1">
        <v>258036</v>
      </c>
      <c r="D21" s="1">
        <v>288147</v>
      </c>
      <c r="E21" s="1">
        <v>286593</v>
      </c>
      <c r="F21" s="1">
        <v>290227</v>
      </c>
      <c r="G21" s="1">
        <v>321871</v>
      </c>
      <c r="H21" s="1">
        <v>333042</v>
      </c>
      <c r="I21" s="1">
        <v>330219</v>
      </c>
      <c r="J21" s="1">
        <v>334827</v>
      </c>
      <c r="K21" s="1">
        <v>385819</v>
      </c>
      <c r="L21" s="1">
        <v>391337</v>
      </c>
      <c r="M21" s="1">
        <v>378814</v>
      </c>
      <c r="N21" s="1">
        <v>383154</v>
      </c>
      <c r="O21" s="1">
        <v>427547</v>
      </c>
      <c r="P21" s="1">
        <v>438212</v>
      </c>
      <c r="Q21" s="1">
        <v>427470</v>
      </c>
      <c r="U21" s="1">
        <v>687545</v>
      </c>
      <c r="V21" s="1">
        <v>793384</v>
      </c>
      <c r="W21" s="1">
        <v>905614</v>
      </c>
      <c r="X21" s="1">
        <v>875764</v>
      </c>
      <c r="Y21" s="1">
        <v>1123003</v>
      </c>
      <c r="Z21" s="1">
        <v>1319959</v>
      </c>
      <c r="AA21" s="1">
        <v>1539124</v>
      </c>
    </row>
    <row r="22" spans="2:27" x14ac:dyDescent="0.25">
      <c r="B22" t="s">
        <v>24</v>
      </c>
      <c r="C22" s="1">
        <v>14452</v>
      </c>
      <c r="D22" s="1">
        <v>14956</v>
      </c>
      <c r="E22" s="1">
        <v>15089</v>
      </c>
      <c r="F22" s="1">
        <v>15508</v>
      </c>
      <c r="G22" s="1">
        <v>16368</v>
      </c>
      <c r="H22" s="1">
        <v>16714</v>
      </c>
      <c r="I22" s="1">
        <v>16703</v>
      </c>
      <c r="J22" s="1">
        <v>17049</v>
      </c>
      <c r="K22" s="1">
        <v>17828</v>
      </c>
      <c r="L22" s="1">
        <v>17996</v>
      </c>
      <c r="M22" s="1">
        <v>18177</v>
      </c>
      <c r="N22" s="1">
        <v>18765</v>
      </c>
      <c r="O22" s="1">
        <v>19425</v>
      </c>
      <c r="P22" s="1">
        <v>19956</v>
      </c>
      <c r="Q22" s="1">
        <v>20162</v>
      </c>
      <c r="U22" s="1">
        <v>44807</v>
      </c>
      <c r="V22" s="1">
        <v>48791</v>
      </c>
      <c r="W22" s="1">
        <v>52531</v>
      </c>
      <c r="X22" s="1">
        <v>54401</v>
      </c>
      <c r="Y22" s="1">
        <v>60005</v>
      </c>
      <c r="Z22" s="1">
        <v>66834</v>
      </c>
      <c r="AA22" s="1">
        <v>72766</v>
      </c>
    </row>
    <row r="23" spans="2:27" x14ac:dyDescent="0.25">
      <c r="B23" t="s">
        <v>25</v>
      </c>
      <c r="C23" s="1">
        <v>123379</v>
      </c>
      <c r="D23" s="1">
        <v>135606</v>
      </c>
      <c r="E23" s="1">
        <v>127769</v>
      </c>
      <c r="F23" s="1">
        <v>131054</v>
      </c>
      <c r="G23" s="1">
        <v>144154</v>
      </c>
      <c r="H23" s="1">
        <v>152524</v>
      </c>
      <c r="I23" s="1">
        <v>146036</v>
      </c>
      <c r="J23" s="1">
        <v>153591</v>
      </c>
      <c r="K23" s="1">
        <v>167529</v>
      </c>
      <c r="L23" s="1">
        <v>171092</v>
      </c>
      <c r="M23" s="1">
        <v>169225</v>
      </c>
      <c r="N23" s="1">
        <v>183002</v>
      </c>
      <c r="O23" s="1">
        <v>193642</v>
      </c>
      <c r="P23" s="1">
        <v>196862</v>
      </c>
      <c r="Q23" s="1">
        <v>191011</v>
      </c>
      <c r="U23" s="1">
        <v>342702</v>
      </c>
      <c r="V23" s="1">
        <v>375477</v>
      </c>
      <c r="W23" s="1">
        <v>418448</v>
      </c>
      <c r="X23" s="1">
        <v>403726</v>
      </c>
      <c r="Y23" s="1">
        <v>517808</v>
      </c>
      <c r="Z23" s="1">
        <v>596305</v>
      </c>
      <c r="AA23" s="1">
        <v>690848</v>
      </c>
    </row>
    <row r="24" spans="2:27" x14ac:dyDescent="0.25">
      <c r="B24" t="s">
        <v>26</v>
      </c>
      <c r="C24" s="1">
        <v>4268</v>
      </c>
      <c r="D24" s="1">
        <v>6319</v>
      </c>
      <c r="E24" s="1">
        <v>6740</v>
      </c>
      <c r="F24" s="1">
        <v>7008</v>
      </c>
      <c r="G24" s="1">
        <v>4291</v>
      </c>
      <c r="H24" s="1">
        <v>5323</v>
      </c>
      <c r="I24" s="1">
        <v>5701</v>
      </c>
      <c r="J24" s="1">
        <v>6568</v>
      </c>
      <c r="K24" s="1">
        <v>5377</v>
      </c>
      <c r="L24" s="1">
        <v>5671</v>
      </c>
      <c r="M24" s="1">
        <v>8663</v>
      </c>
      <c r="N24" s="1">
        <v>9523</v>
      </c>
      <c r="O24" s="1">
        <v>8095</v>
      </c>
      <c r="P24" s="1">
        <v>6202</v>
      </c>
      <c r="Q24" s="1">
        <v>7282</v>
      </c>
      <c r="U24" s="1">
        <v>19274</v>
      </c>
      <c r="V24" s="1">
        <v>19051</v>
      </c>
      <c r="W24" s="1">
        <v>20156</v>
      </c>
      <c r="X24" s="1">
        <v>20099</v>
      </c>
      <c r="Y24" s="1">
        <v>24335</v>
      </c>
      <c r="Z24" s="1">
        <v>21883</v>
      </c>
      <c r="AA24" s="1">
        <v>29234</v>
      </c>
    </row>
    <row r="25" spans="2:27" x14ac:dyDescent="0.25">
      <c r="B25" t="s">
        <v>27</v>
      </c>
      <c r="C25" s="1">
        <v>30869</v>
      </c>
      <c r="D25" s="1">
        <v>31650</v>
      </c>
      <c r="E25" s="1">
        <v>31627</v>
      </c>
      <c r="F25" s="1">
        <v>32615</v>
      </c>
      <c r="G25" s="1">
        <v>33620</v>
      </c>
      <c r="H25" s="1">
        <v>34420</v>
      </c>
      <c r="I25" s="1">
        <v>33735</v>
      </c>
      <c r="J25" s="1">
        <v>35462</v>
      </c>
      <c r="K25" s="1">
        <v>36227</v>
      </c>
      <c r="L25" s="1">
        <v>37413</v>
      </c>
      <c r="M25" s="1">
        <v>39124</v>
      </c>
      <c r="N25" s="1">
        <v>40438</v>
      </c>
      <c r="O25" s="1">
        <v>41493</v>
      </c>
      <c r="P25" s="1">
        <v>42915</v>
      </c>
      <c r="Q25" s="1">
        <v>44510</v>
      </c>
      <c r="U25" s="1">
        <v>93499</v>
      </c>
      <c r="V25" s="1">
        <v>101216</v>
      </c>
      <c r="W25" s="1">
        <v>115544</v>
      </c>
      <c r="X25" s="1">
        <v>117877</v>
      </c>
      <c r="Y25" s="1">
        <v>126761</v>
      </c>
      <c r="Z25" s="1">
        <v>137237</v>
      </c>
      <c r="AA25" s="1">
        <v>153202</v>
      </c>
    </row>
    <row r="26" spans="2:27" x14ac:dyDescent="0.25">
      <c r="B26" t="s">
        <v>28</v>
      </c>
      <c r="C26" s="1">
        <v>504</v>
      </c>
      <c r="D26" s="1">
        <v>17</v>
      </c>
      <c r="E26" s="1">
        <v>29</v>
      </c>
      <c r="F26" s="1">
        <v>184</v>
      </c>
      <c r="G26" s="1">
        <v>-646</v>
      </c>
      <c r="H26" s="1">
        <v>411</v>
      </c>
      <c r="I26" s="1">
        <v>772</v>
      </c>
      <c r="J26" s="1">
        <v>1063</v>
      </c>
      <c r="K26" s="1">
        <v>55</v>
      </c>
      <c r="L26" s="1">
        <v>78</v>
      </c>
      <c r="M26" s="1">
        <v>-2</v>
      </c>
      <c r="N26" s="1">
        <v>144</v>
      </c>
      <c r="O26" s="1">
        <v>201</v>
      </c>
      <c r="P26" s="1">
        <v>90</v>
      </c>
      <c r="Q26" s="1">
        <v>844</v>
      </c>
      <c r="U26" s="1">
        <v>654</v>
      </c>
      <c r="V26" s="1">
        <v>278</v>
      </c>
      <c r="W26" s="1">
        <v>-899</v>
      </c>
      <c r="X26" s="1">
        <v>2263</v>
      </c>
      <c r="Y26" s="1">
        <v>734</v>
      </c>
      <c r="Z26" s="1">
        <v>1600</v>
      </c>
      <c r="AA26" s="1">
        <v>275</v>
      </c>
    </row>
    <row r="27" spans="2:27" x14ac:dyDescent="0.25">
      <c r="B27" t="s">
        <v>29</v>
      </c>
      <c r="C27" s="1">
        <v>36712</v>
      </c>
      <c r="D27" s="1">
        <v>36861</v>
      </c>
      <c r="E27" s="1">
        <v>41234</v>
      </c>
      <c r="F27" s="1">
        <v>42673</v>
      </c>
      <c r="G27" s="1">
        <v>40294</v>
      </c>
      <c r="H27" s="1">
        <v>49213</v>
      </c>
      <c r="I27" s="1">
        <v>42812</v>
      </c>
      <c r="J27" s="1">
        <v>40393</v>
      </c>
      <c r="K27" s="1">
        <v>49865</v>
      </c>
      <c r="L27" s="1">
        <v>51000</v>
      </c>
      <c r="M27" s="1">
        <v>47708</v>
      </c>
      <c r="N27" s="1">
        <v>49809</v>
      </c>
      <c r="O27" s="1">
        <v>52595</v>
      </c>
      <c r="P27" s="1">
        <v>58148</v>
      </c>
      <c r="Q27" s="1">
        <v>55131</v>
      </c>
      <c r="U27" s="1">
        <v>123294</v>
      </c>
      <c r="V27" s="1">
        <v>136163</v>
      </c>
      <c r="W27" s="1">
        <v>149389</v>
      </c>
      <c r="X27" s="1">
        <v>119503</v>
      </c>
      <c r="Y27" s="1">
        <v>157480</v>
      </c>
      <c r="Z27" s="1">
        <v>172712</v>
      </c>
      <c r="AA27" s="1">
        <v>198382</v>
      </c>
    </row>
    <row r="28" spans="2:27" x14ac:dyDescent="0.25">
      <c r="B28" t="s">
        <v>30</v>
      </c>
      <c r="C28" s="1">
        <f t="shared" ref="C28:Q28" si="6">SUM(C20:C27)</f>
        <v>719702</v>
      </c>
      <c r="D28" s="1">
        <f t="shared" si="6"/>
        <v>809060</v>
      </c>
      <c r="E28" s="1">
        <f t="shared" si="6"/>
        <v>807245</v>
      </c>
      <c r="F28" s="1">
        <f t="shared" si="6"/>
        <v>830747</v>
      </c>
      <c r="G28" s="1">
        <f t="shared" si="6"/>
        <v>897348</v>
      </c>
      <c r="H28" s="1">
        <f t="shared" si="6"/>
        <v>938688</v>
      </c>
      <c r="I28" s="1">
        <f t="shared" si="6"/>
        <v>918010</v>
      </c>
      <c r="J28" s="1">
        <f t="shared" si="6"/>
        <v>940676</v>
      </c>
      <c r="K28" s="1">
        <f t="shared" si="6"/>
        <v>1073411</v>
      </c>
      <c r="L28" s="1">
        <f t="shared" si="6"/>
        <v>1075791</v>
      </c>
      <c r="M28" s="1">
        <f t="shared" si="6"/>
        <v>1047893</v>
      </c>
      <c r="N28" s="1">
        <f t="shared" si="6"/>
        <v>1080588</v>
      </c>
      <c r="O28" s="1">
        <f t="shared" si="6"/>
        <v>1188089</v>
      </c>
      <c r="P28" s="1">
        <f t="shared" si="6"/>
        <v>1198386</v>
      </c>
      <c r="Q28" s="1">
        <f>SUM(Q20:Q27)</f>
        <v>1170976</v>
      </c>
      <c r="U28" s="1">
        <f>SUM(U20:U27)</f>
        <v>2033325</v>
      </c>
      <c r="V28" s="1">
        <f>SUM(V20:V27)</f>
        <v>2269660</v>
      </c>
      <c r="W28" s="1">
        <f>SUM(W20:W27)</f>
        <v>2544140</v>
      </c>
      <c r="X28" s="1">
        <f>SUM(X20:X27)</f>
        <v>2374279</v>
      </c>
      <c r="Y28" s="1">
        <f>SUM(Y20:Y27)</f>
        <v>3166754</v>
      </c>
      <c r="Z28" s="1">
        <f t="shared" ref="Y28:AA28" si="7">SUM(Z20:Z27)</f>
        <v>3694722</v>
      </c>
      <c r="AA28" s="1">
        <f t="shared" si="7"/>
        <v>4277683</v>
      </c>
    </row>
    <row r="29" spans="2:27" x14ac:dyDescent="0.25">
      <c r="B29" t="s">
        <v>31</v>
      </c>
      <c r="C29" s="1">
        <f>C19-C28-1460-217</f>
        <v>79250</v>
      </c>
      <c r="D29" s="1">
        <f>D19-D28-975+239</f>
        <v>88992</v>
      </c>
      <c r="E29" s="1">
        <f>E19-E28-604+266</f>
        <v>61360</v>
      </c>
      <c r="F29" s="1">
        <f>F19-F28-624-925</f>
        <v>63290</v>
      </c>
      <c r="G29" s="1">
        <f>G19-G28-397+334</f>
        <v>90075</v>
      </c>
      <c r="H29" s="1">
        <f>H19-H28-395+545</f>
        <v>86068</v>
      </c>
      <c r="I29" s="1">
        <f>I19-I28-85+190</f>
        <v>75393</v>
      </c>
      <c r="J29" s="1">
        <f>J19-J28+753+170</f>
        <v>69776</v>
      </c>
      <c r="K29" s="1">
        <f>K19-K28+1238+755</f>
        <v>102938</v>
      </c>
      <c r="L29" s="1">
        <f>L19-L28+996+287</f>
        <v>96695</v>
      </c>
      <c r="M29" s="1">
        <f>M19-M28+496+139</f>
        <v>74494</v>
      </c>
      <c r="N29" s="1">
        <f>N19-N28+254+170</f>
        <v>84197</v>
      </c>
      <c r="O29" s="1">
        <f>O19-O28+1408+257</f>
        <v>134793</v>
      </c>
      <c r="P29" s="1">
        <f>P19-P28+1683+286</f>
        <v>144785</v>
      </c>
      <c r="Q29" s="1">
        <f>Q19-Q28+1916+235</f>
        <v>104174</v>
      </c>
      <c r="U29" s="1">
        <f>U19-U28-1577+1488</f>
        <v>186117</v>
      </c>
      <c r="V29" s="1">
        <f>V19-V28-591+1353</f>
        <v>188551</v>
      </c>
      <c r="W29" s="1">
        <f>W19-W28+1514+378</f>
        <v>213915</v>
      </c>
      <c r="X29" s="1">
        <f>X19-X28-4091-500</f>
        <v>19253</v>
      </c>
      <c r="Y29" s="1">
        <f>Y19-Y28-3663-637</f>
        <v>292892</v>
      </c>
      <c r="Z29" s="1">
        <f>Z19-Z28-124+1239</f>
        <v>321312</v>
      </c>
      <c r="AA29" s="1">
        <f>AA19-AA28+2984+1351</f>
        <v>358324</v>
      </c>
    </row>
    <row r="30" spans="2:27" x14ac:dyDescent="0.25">
      <c r="B30" t="s">
        <v>32</v>
      </c>
      <c r="C30" s="1">
        <v>12820</v>
      </c>
      <c r="D30" s="1">
        <v>11067</v>
      </c>
      <c r="E30" s="1">
        <v>7144</v>
      </c>
      <c r="F30" s="1">
        <v>8547</v>
      </c>
      <c r="G30" s="1">
        <v>12747</v>
      </c>
      <c r="H30" s="1">
        <v>11531</v>
      </c>
      <c r="I30" s="1">
        <v>11430</v>
      </c>
      <c r="J30" s="1">
        <v>8007</v>
      </c>
      <c r="K30" s="1">
        <v>14334</v>
      </c>
      <c r="L30" s="1">
        <v>12270</v>
      </c>
      <c r="M30" s="1">
        <v>8870</v>
      </c>
      <c r="N30" s="1">
        <v>9175</v>
      </c>
      <c r="O30" s="1">
        <v>18803</v>
      </c>
      <c r="P30" s="1">
        <v>21710</v>
      </c>
      <c r="Q30" s="1">
        <v>17400</v>
      </c>
      <c r="U30" s="1">
        <v>48581</v>
      </c>
      <c r="V30" s="1">
        <v>24257</v>
      </c>
      <c r="W30" s="1">
        <v>32397</v>
      </c>
      <c r="X30" s="1">
        <v>-15672</v>
      </c>
      <c r="Y30" s="1">
        <v>39678</v>
      </c>
      <c r="Z30" s="1">
        <v>43715</v>
      </c>
      <c r="AA30" s="1">
        <v>44649</v>
      </c>
    </row>
    <row r="31" spans="2:27" x14ac:dyDescent="0.25">
      <c r="B31" t="s">
        <v>34</v>
      </c>
      <c r="C31" s="1">
        <v>2280</v>
      </c>
      <c r="D31" s="2">
        <v>2445</v>
      </c>
      <c r="E31" s="2">
        <v>1610</v>
      </c>
      <c r="F31" s="1">
        <v>1685</v>
      </c>
      <c r="G31" s="1">
        <v>2126</v>
      </c>
      <c r="H31" s="1">
        <v>2118</v>
      </c>
      <c r="I31" s="1">
        <v>1635</v>
      </c>
      <c r="J31" s="1">
        <v>1900</v>
      </c>
      <c r="K31" s="1">
        <v>2217</v>
      </c>
      <c r="L31" s="1">
        <v>2154</v>
      </c>
      <c r="M31" s="1">
        <v>1836</v>
      </c>
      <c r="N31" s="1">
        <v>2592</v>
      </c>
      <c r="O31" s="1">
        <v>2784</v>
      </c>
      <c r="P31" s="1">
        <v>2934</v>
      </c>
      <c r="Q31" s="1">
        <v>2362</v>
      </c>
      <c r="U31" s="1">
        <v>6010</v>
      </c>
      <c r="V31" s="1">
        <v>6069</v>
      </c>
      <c r="W31" s="1">
        <v>7066</v>
      </c>
      <c r="X31" s="1">
        <v>3670</v>
      </c>
      <c r="Y31" s="1">
        <v>8020</v>
      </c>
      <c r="Z31" s="1">
        <v>7779</v>
      </c>
      <c r="AA31" s="1">
        <v>8799</v>
      </c>
    </row>
    <row r="32" spans="2:27" x14ac:dyDescent="0.25">
      <c r="B32" t="s">
        <v>35</v>
      </c>
      <c r="C32" s="1">
        <f t="shared" ref="C32:Q32" si="8">+C29-C30-C31</f>
        <v>64150</v>
      </c>
      <c r="D32" s="1">
        <f t="shared" si="8"/>
        <v>75480</v>
      </c>
      <c r="E32" s="1">
        <f t="shared" si="8"/>
        <v>52606</v>
      </c>
      <c r="F32" s="1">
        <f t="shared" si="8"/>
        <v>53058</v>
      </c>
      <c r="G32" s="1">
        <f t="shared" si="8"/>
        <v>75202</v>
      </c>
      <c r="H32" s="1">
        <f t="shared" si="8"/>
        <v>72419</v>
      </c>
      <c r="I32" s="1">
        <f t="shared" si="8"/>
        <v>62328</v>
      </c>
      <c r="J32" s="1">
        <f t="shared" si="8"/>
        <v>59869</v>
      </c>
      <c r="K32" s="1">
        <f t="shared" si="8"/>
        <v>86387</v>
      </c>
      <c r="L32" s="1">
        <f t="shared" si="8"/>
        <v>82271</v>
      </c>
      <c r="M32" s="1">
        <f t="shared" si="8"/>
        <v>63788</v>
      </c>
      <c r="N32" s="1">
        <f t="shared" si="8"/>
        <v>72430</v>
      </c>
      <c r="O32" s="1">
        <f t="shared" si="8"/>
        <v>113206</v>
      </c>
      <c r="P32" s="1">
        <f t="shared" si="8"/>
        <v>120141</v>
      </c>
      <c r="Q32" s="1">
        <f t="shared" si="8"/>
        <v>84412</v>
      </c>
      <c r="U32" s="1">
        <f>+U29-U30-U31</f>
        <v>131526</v>
      </c>
      <c r="V32" s="1">
        <f>+V29-V30-V31</f>
        <v>158225</v>
      </c>
      <c r="W32" s="1">
        <f>+W29-W30-W31</f>
        <v>174452</v>
      </c>
      <c r="X32" s="1">
        <f>+X29-X30-X31</f>
        <v>31255</v>
      </c>
      <c r="Y32" s="1">
        <f t="shared" ref="X32:AA32" si="9">+Y29-Y30-Y31</f>
        <v>245194</v>
      </c>
      <c r="Z32" s="1">
        <f t="shared" si="9"/>
        <v>269818</v>
      </c>
      <c r="AA32" s="1">
        <f t="shared" si="9"/>
        <v>304876</v>
      </c>
    </row>
    <row r="33" spans="2:27" x14ac:dyDescent="0.25">
      <c r="B33" t="s">
        <v>33</v>
      </c>
      <c r="C33" s="2">
        <f t="shared" ref="C33:Q33" si="10">+C32/C34</f>
        <v>0.91463849323466928</v>
      </c>
      <c r="D33" s="8">
        <f t="shared" si="10"/>
        <v>1.075811348184889</v>
      </c>
      <c r="E33" s="8">
        <f t="shared" si="10"/>
        <v>0.74995010406865681</v>
      </c>
      <c r="F33" s="2">
        <f t="shared" si="10"/>
        <v>0.75830725035372804</v>
      </c>
      <c r="G33" s="2">
        <f t="shared" si="10"/>
        <v>1.0840240439364017</v>
      </c>
      <c r="H33" s="2">
        <f t="shared" si="10"/>
        <v>1.0667108557961409</v>
      </c>
      <c r="I33" s="2">
        <f t="shared" si="10"/>
        <v>0.92806623088491491</v>
      </c>
      <c r="J33" s="2">
        <f t="shared" si="10"/>
        <v>0.88998067489222532</v>
      </c>
      <c r="K33" s="2">
        <f t="shared" si="10"/>
        <v>1.2837442230246832</v>
      </c>
      <c r="L33" s="2">
        <f t="shared" si="10"/>
        <v>1.223742730071844</v>
      </c>
      <c r="M33" s="2">
        <f t="shared" si="10"/>
        <v>0.95186080520488259</v>
      </c>
      <c r="N33" s="2">
        <f t="shared" si="10"/>
        <v>1.0797877098303468</v>
      </c>
      <c r="O33" s="2">
        <f t="shared" si="10"/>
        <v>1.6885329037646919</v>
      </c>
      <c r="P33" s="2">
        <f t="shared" si="10"/>
        <v>1.7919724360121712</v>
      </c>
      <c r="Q33" s="2">
        <f t="shared" si="10"/>
        <v>1.2609533483710023</v>
      </c>
      <c r="Y33" s="2">
        <f>Y32/Y34</f>
        <v>3.4978744044052612</v>
      </c>
      <c r="Z33" s="2">
        <f>Z32/Z34</f>
        <v>3.972585394581861</v>
      </c>
      <c r="AA33" s="2">
        <f>AA32/AA34</f>
        <v>4.5402909946536809</v>
      </c>
    </row>
    <row r="34" spans="2:27" x14ac:dyDescent="0.25">
      <c r="B34" t="s">
        <v>1</v>
      </c>
      <c r="C34" s="1">
        <v>70137</v>
      </c>
      <c r="D34" s="1">
        <v>70161</v>
      </c>
      <c r="E34" s="1">
        <v>70146</v>
      </c>
      <c r="F34" s="1">
        <v>69969</v>
      </c>
      <c r="G34" s="1">
        <v>69373</v>
      </c>
      <c r="H34" s="1">
        <v>67890</v>
      </c>
      <c r="I34" s="1">
        <v>67159</v>
      </c>
      <c r="J34" s="1">
        <v>67270</v>
      </c>
      <c r="K34" s="1">
        <v>67293</v>
      </c>
      <c r="L34" s="1">
        <v>67229</v>
      </c>
      <c r="M34" s="1">
        <v>67014</v>
      </c>
      <c r="N34" s="1">
        <v>67078</v>
      </c>
      <c r="O34" s="1">
        <v>67044</v>
      </c>
      <c r="P34" s="1">
        <v>67044</v>
      </c>
      <c r="Q34" s="1">
        <v>66943</v>
      </c>
      <c r="Y34" s="1">
        <f>70098</f>
        <v>70098</v>
      </c>
      <c r="Z34" s="1">
        <f>67920</f>
        <v>67920</v>
      </c>
      <c r="AA34" s="1">
        <f>67149</f>
        <v>67149</v>
      </c>
    </row>
    <row r="36" spans="2:27" x14ac:dyDescent="0.25">
      <c r="B36" t="s">
        <v>36</v>
      </c>
      <c r="C36" s="1">
        <f>C32</f>
        <v>64150</v>
      </c>
      <c r="D36" s="1">
        <f>D32</f>
        <v>75480</v>
      </c>
      <c r="E36" s="1">
        <f>E32</f>
        <v>52606</v>
      </c>
      <c r="F36" s="1">
        <f>F32</f>
        <v>53058</v>
      </c>
      <c r="G36" s="1">
        <f>G32</f>
        <v>75202</v>
      </c>
      <c r="H36" s="1">
        <f>H32</f>
        <v>72419</v>
      </c>
      <c r="I36" s="1">
        <f>I32</f>
        <v>62328</v>
      </c>
      <c r="J36" s="1">
        <f>J32</f>
        <v>59869</v>
      </c>
      <c r="K36" s="1">
        <f>K32</f>
        <v>86387</v>
      </c>
      <c r="L36" s="1">
        <f>L32</f>
        <v>82271</v>
      </c>
      <c r="M36" s="1">
        <f>M32</f>
        <v>63788</v>
      </c>
      <c r="N36" s="1">
        <f>N32</f>
        <v>72430</v>
      </c>
      <c r="O36" s="1">
        <f>O32</f>
        <v>113206</v>
      </c>
      <c r="P36" s="1">
        <f>P32</f>
        <v>120141</v>
      </c>
      <c r="Q36" s="1">
        <f>Q32</f>
        <v>84412</v>
      </c>
      <c r="Y36" s="1">
        <f>Y32</f>
        <v>245194</v>
      </c>
      <c r="Z36" s="1">
        <f>Z32</f>
        <v>269818</v>
      </c>
      <c r="AA36" s="1">
        <f>AA32</f>
        <v>304876</v>
      </c>
    </row>
    <row r="37" spans="2:27" x14ac:dyDescent="0.25">
      <c r="B37" t="s">
        <v>37</v>
      </c>
      <c r="F37" s="1">
        <f>253314-SUM(C36:E36)</f>
        <v>61078</v>
      </c>
      <c r="J37" s="1">
        <f>277597-SUM(G36:I36)</f>
        <v>67648</v>
      </c>
      <c r="Y37" s="1">
        <f>253314</f>
        <v>253314</v>
      </c>
      <c r="Z37" s="1">
        <f>277597</f>
        <v>277597</v>
      </c>
      <c r="AA37" s="1">
        <f>313675</f>
        <v>313675</v>
      </c>
    </row>
    <row r="38" spans="2:27" x14ac:dyDescent="0.25">
      <c r="Y38" s="1"/>
      <c r="Z38" s="1"/>
      <c r="AA38" s="1"/>
    </row>
    <row r="39" spans="2:27" x14ac:dyDescent="0.25">
      <c r="B39" t="s">
        <v>43</v>
      </c>
      <c r="C39" s="1">
        <v>66430</v>
      </c>
      <c r="D39" s="1">
        <f>144355-C39</f>
        <v>77925</v>
      </c>
      <c r="E39" s="1">
        <f>198571-SUM(C39:D39)</f>
        <v>54216</v>
      </c>
      <c r="F39" s="1">
        <f>253314-SUM(C39:E39)</f>
        <v>54743</v>
      </c>
      <c r="G39" s="1">
        <f>77328</f>
        <v>77328</v>
      </c>
      <c r="H39" s="1">
        <f>151865-G39</f>
        <v>74537</v>
      </c>
      <c r="I39" s="1">
        <f>215828-SUM(G39:H39)</f>
        <v>63963</v>
      </c>
      <c r="J39" s="1">
        <f>277597-SUM(G39:I39)</f>
        <v>61769</v>
      </c>
      <c r="K39" s="10">
        <v>88604</v>
      </c>
      <c r="L39" s="1">
        <f>173029-K39</f>
        <v>84425</v>
      </c>
      <c r="M39" s="1">
        <f>238653-SUM(K39:L39)</f>
        <v>65624</v>
      </c>
      <c r="N39" s="1">
        <f>313675-SUM(K39:M39)</f>
        <v>75022</v>
      </c>
      <c r="O39" s="1">
        <v>115990</v>
      </c>
      <c r="P39" s="1">
        <f>239065-SUM(O39)</f>
        <v>123075</v>
      </c>
      <c r="Q39" s="1">
        <f>325839-SUM(O39:P39)</f>
        <v>86774</v>
      </c>
      <c r="Y39" s="1">
        <v>253314</v>
      </c>
      <c r="Z39" s="1">
        <f>277597</f>
        <v>277597</v>
      </c>
      <c r="AA39" s="1">
        <v>313675</v>
      </c>
    </row>
    <row r="40" spans="2:27" x14ac:dyDescent="0.25">
      <c r="B40" t="s">
        <v>38</v>
      </c>
      <c r="C40" s="1">
        <v>30869</v>
      </c>
      <c r="D40" s="1">
        <f>62519-C40</f>
        <v>31650</v>
      </c>
      <c r="E40" s="1">
        <f>94146-SUM(C40:D40)</f>
        <v>31627</v>
      </c>
      <c r="F40" s="1">
        <f>126761-SUM(C40:E40)</f>
        <v>32615</v>
      </c>
      <c r="G40" s="1">
        <v>33620</v>
      </c>
      <c r="H40" s="1">
        <f>68040-G40</f>
        <v>34420</v>
      </c>
      <c r="I40" s="1">
        <f>101775-SUM(G40:H40)</f>
        <v>33735</v>
      </c>
      <c r="J40" s="1">
        <f>137237-SUM(G40:I40)</f>
        <v>35462</v>
      </c>
      <c r="K40" s="10">
        <v>36227</v>
      </c>
      <c r="L40" s="1">
        <f>73640-K40</f>
        <v>37413</v>
      </c>
      <c r="M40" s="1">
        <f>112764-SUM(K40:L40)</f>
        <v>39124</v>
      </c>
      <c r="N40" s="1">
        <f>153202-SUM(K40:M40)</f>
        <v>40438</v>
      </c>
      <c r="O40" s="1">
        <v>41493</v>
      </c>
      <c r="P40" s="1">
        <f>84408-SUM(O40)</f>
        <v>42915</v>
      </c>
      <c r="Q40" s="1">
        <f>128918-SUM(O40:P40)</f>
        <v>44510</v>
      </c>
      <c r="Y40" s="1">
        <v>126761</v>
      </c>
      <c r="Z40" s="1">
        <v>137237</v>
      </c>
      <c r="AA40" s="1">
        <v>153202</v>
      </c>
    </row>
    <row r="41" spans="2:27" x14ac:dyDescent="0.25">
      <c r="B41" t="s">
        <v>40</v>
      </c>
      <c r="C41" s="1">
        <v>9908</v>
      </c>
      <c r="D41" s="1">
        <f>19817-C41</f>
        <v>9909</v>
      </c>
      <c r="E41" s="1">
        <f>30787-SUM(C41:D41)</f>
        <v>10970</v>
      </c>
      <c r="F41" s="1">
        <f>38139--SUM(C41:E41)</f>
        <v>68926</v>
      </c>
      <c r="G41" s="1">
        <v>9120</v>
      </c>
      <c r="H41" s="1">
        <f>18612-G41</f>
        <v>9492</v>
      </c>
      <c r="I41" s="1">
        <f>28192-SUM(G41:H41)</f>
        <v>9580</v>
      </c>
      <c r="J41" s="1">
        <f>36663-SUM(G41:I41)</f>
        <v>8471</v>
      </c>
      <c r="K41" s="10">
        <v>8154</v>
      </c>
      <c r="L41" s="1">
        <f>16744-K41</f>
        <v>8590</v>
      </c>
      <c r="M41" s="1">
        <f>25266-SUM(K41:L41)</f>
        <v>8522</v>
      </c>
      <c r="N41" s="1">
        <f>34230-SUM(K41:M41)</f>
        <v>8964</v>
      </c>
      <c r="O41" s="1">
        <v>9523</v>
      </c>
      <c r="P41" s="1">
        <f>18378-SUM(O41)</f>
        <v>8855</v>
      </c>
      <c r="Q41" s="1">
        <f>33154-SUM(O41:P41)</f>
        <v>14776</v>
      </c>
      <c r="Y41" s="1">
        <v>38139</v>
      </c>
      <c r="Z41" s="1">
        <v>36663</v>
      </c>
      <c r="AA41" s="1">
        <v>34230</v>
      </c>
    </row>
    <row r="42" spans="2:27" x14ac:dyDescent="0.25">
      <c r="B42" t="s">
        <v>39</v>
      </c>
      <c r="C42" s="1">
        <v>1025</v>
      </c>
      <c r="D42" s="1">
        <f>2948-C42</f>
        <v>1923</v>
      </c>
      <c r="E42" s="1">
        <f>-435-SUM(C42:D42)</f>
        <v>-3383</v>
      </c>
      <c r="F42" s="1">
        <f>8896-SUM(C42:E42)</f>
        <v>9331</v>
      </c>
      <c r="G42" s="1">
        <v>2630</v>
      </c>
      <c r="H42" s="1">
        <f>3906-G42</f>
        <v>1276</v>
      </c>
      <c r="I42" s="1">
        <f>5246-SUM(G42:H42)</f>
        <v>1340</v>
      </c>
      <c r="J42" s="1">
        <f>9456-SUM(G42:I42)</f>
        <v>4210</v>
      </c>
      <c r="K42" s="10">
        <v>2988</v>
      </c>
      <c r="L42" s="1">
        <f>1767-K42</f>
        <v>-1221</v>
      </c>
      <c r="M42" s="1">
        <f>2707-SUM(K42:L42)</f>
        <v>940</v>
      </c>
      <c r="N42" s="1">
        <f>3115-SUM(K42:M42)</f>
        <v>408</v>
      </c>
      <c r="O42" s="1">
        <v>202</v>
      </c>
      <c r="P42" s="1">
        <f>-4254-SUM(O42)</f>
        <v>-4456</v>
      </c>
      <c r="Q42" s="1">
        <f>-9592-SUM(O42:P42)</f>
        <v>-5338</v>
      </c>
      <c r="Y42" s="1">
        <v>8896</v>
      </c>
      <c r="Z42" s="1">
        <v>9456</v>
      </c>
      <c r="AA42" s="1">
        <v>3115</v>
      </c>
    </row>
    <row r="43" spans="2:27" x14ac:dyDescent="0.25">
      <c r="B43" t="s">
        <v>41</v>
      </c>
      <c r="C43" s="1">
        <v>1166</v>
      </c>
      <c r="D43" s="1">
        <f>1955-C43</f>
        <v>789</v>
      </c>
      <c r="E43" s="1">
        <f>3268-SUM(C43:D43)</f>
        <v>1313</v>
      </c>
      <c r="F43" s="1">
        <f>5555-SUM(C43:E43)</f>
        <v>2287</v>
      </c>
      <c r="G43" s="1">
        <v>1187</v>
      </c>
      <c r="H43" s="1">
        <f>2144-G43</f>
        <v>957</v>
      </c>
      <c r="I43" s="1">
        <f>4191-SUM(G43:H43)</f>
        <v>2047</v>
      </c>
      <c r="J43" s="1">
        <f>6792-SUM(G43:I43)</f>
        <v>2601</v>
      </c>
      <c r="K43" s="10">
        <v>666</v>
      </c>
      <c r="L43" s="1">
        <f>2831-K43</f>
        <v>2165</v>
      </c>
      <c r="M43" s="1">
        <f>3672-SUM(K43:L43)</f>
        <v>841</v>
      </c>
      <c r="N43" s="1">
        <f>3307-SUM(K43:M43)</f>
        <v>-365</v>
      </c>
      <c r="O43" s="1">
        <v>351</v>
      </c>
      <c r="P43" s="1">
        <f>1662-SUM(O43)</f>
        <v>1311</v>
      </c>
      <c r="Q43" s="1">
        <f>3667-SUM(O43:P43)</f>
        <v>2005</v>
      </c>
      <c r="Y43" s="1">
        <f>3167+637+1071+7</f>
        <v>4882</v>
      </c>
      <c r="Z43" s="1">
        <f>5206+1770-1239+1022+33</f>
        <v>6792</v>
      </c>
      <c r="AA43" s="1">
        <f>3783+200-1351+689-14</f>
        <v>3307</v>
      </c>
    </row>
    <row r="44" spans="2:27" x14ac:dyDescent="0.25">
      <c r="B44" t="s">
        <v>42</v>
      </c>
      <c r="C44" s="1">
        <v>68615</v>
      </c>
      <c r="D44" s="1">
        <f>65252-C44</f>
        <v>-3363</v>
      </c>
      <c r="E44" s="1">
        <f>22362-SUM(C44:D44)</f>
        <v>-42890</v>
      </c>
      <c r="F44" s="1">
        <f>36161-SUM(C44:E44)</f>
        <v>13799</v>
      </c>
      <c r="G44" s="1">
        <v>63884</v>
      </c>
      <c r="H44" s="1">
        <f>54136-G44</f>
        <v>-9748</v>
      </c>
      <c r="I44" s="1">
        <v>39825</v>
      </c>
      <c r="J44" s="1">
        <f>43980-SUM(G44:I44)</f>
        <v>-49981</v>
      </c>
      <c r="K44" s="10">
        <v>52342</v>
      </c>
      <c r="L44" s="1">
        <f>20222-K44</f>
        <v>-32120</v>
      </c>
      <c r="M44" s="1">
        <f>7677-SUM(K44:L44)</f>
        <v>-12545</v>
      </c>
      <c r="N44" s="1">
        <f>57455-SUM(K44:M44)</f>
        <v>49778</v>
      </c>
      <c r="O44" s="1">
        <v>75880</v>
      </c>
      <c r="P44" s="1">
        <f>38088-SUM(O44)</f>
        <v>-37792</v>
      </c>
      <c r="Q44" s="1">
        <f>34103-SUM(O44:P44)</f>
        <v>-3985</v>
      </c>
      <c r="Y44" s="1">
        <f>-62399-9231-2485-13918+27730+67845+12734-8973+8624+20352+5553-9671</f>
        <v>36161</v>
      </c>
      <c r="Z44" s="1">
        <f>11062-6099-6540+5775+5408+33799-10172+5953+1889+2147+5268-4510</f>
        <v>43980</v>
      </c>
      <c r="AA44" s="1">
        <f>-24420+105-5612-22617+23083+37347+13518+1514+6581-3460+6313+25103</f>
        <v>57455</v>
      </c>
    </row>
    <row r="45" spans="2:27" x14ac:dyDescent="0.25">
      <c r="B45" t="s">
        <v>44</v>
      </c>
      <c r="C45" s="1">
        <f t="shared" ref="C45:Q45" si="11">SUM(C39:C44)</f>
        <v>178013</v>
      </c>
      <c r="D45" s="1">
        <f t="shared" si="11"/>
        <v>118833</v>
      </c>
      <c r="E45" s="1">
        <f t="shared" si="11"/>
        <v>51853</v>
      </c>
      <c r="F45" s="1">
        <f t="shared" si="11"/>
        <v>181701</v>
      </c>
      <c r="G45" s="1">
        <f t="shared" si="11"/>
        <v>187769</v>
      </c>
      <c r="H45" s="1">
        <f t="shared" si="11"/>
        <v>110934</v>
      </c>
      <c r="I45" s="1">
        <f t="shared" si="11"/>
        <v>150490</v>
      </c>
      <c r="J45" s="1">
        <f t="shared" si="11"/>
        <v>62532</v>
      </c>
      <c r="K45" s="10">
        <f t="shared" si="11"/>
        <v>188981</v>
      </c>
      <c r="L45" s="1">
        <f t="shared" si="11"/>
        <v>99252</v>
      </c>
      <c r="M45" s="1">
        <f t="shared" si="11"/>
        <v>102506</v>
      </c>
      <c r="N45" s="1">
        <f t="shared" si="11"/>
        <v>174245</v>
      </c>
      <c r="O45" s="1">
        <f t="shared" si="11"/>
        <v>243439</v>
      </c>
      <c r="P45" s="1">
        <f t="shared" si="11"/>
        <v>133908</v>
      </c>
      <c r="Q45" s="1">
        <f t="shared" si="11"/>
        <v>138742</v>
      </c>
      <c r="Y45" s="1">
        <f t="shared" ref="Y45:AA45" si="12">SUM(Y39:Y44)</f>
        <v>468153</v>
      </c>
      <c r="Z45" s="1">
        <f t="shared" si="12"/>
        <v>511725</v>
      </c>
      <c r="AA45" s="1">
        <f t="shared" si="12"/>
        <v>564984</v>
      </c>
    </row>
    <row r="46" spans="2:27" x14ac:dyDescent="0.25">
      <c r="K46" s="11"/>
      <c r="L46" s="11"/>
      <c r="M46" s="11"/>
      <c r="N46" s="11"/>
      <c r="Y46" s="1"/>
      <c r="Z46" s="1"/>
      <c r="AA46" s="1"/>
    </row>
    <row r="47" spans="2:27" x14ac:dyDescent="0.25">
      <c r="B47" t="s">
        <v>61</v>
      </c>
      <c r="C47" s="1">
        <v>-38666</v>
      </c>
      <c r="D47" s="1">
        <f>(85068+C47)*-1</f>
        <v>-46402</v>
      </c>
      <c r="E47" s="1">
        <f>(139001+D47+C47)*-1</f>
        <v>-53933</v>
      </c>
      <c r="F47" s="1">
        <f>(200692+SUM(C47:E47))*-1</f>
        <v>-61691</v>
      </c>
      <c r="G47" s="1">
        <v>-49029</v>
      </c>
      <c r="H47" s="1">
        <f>(108567+G47)*-1</f>
        <v>-59538</v>
      </c>
      <c r="I47" s="1">
        <f>(174194+H47+G47)*-1</f>
        <v>-65627</v>
      </c>
      <c r="J47" s="1">
        <f>(246121+I47+H47+G47)*-1</f>
        <v>-71927</v>
      </c>
      <c r="K47" s="12">
        <v>-66733</v>
      </c>
      <c r="L47" s="12">
        <f>(154580+K47) * -1</f>
        <v>-87847</v>
      </c>
      <c r="M47" s="12">
        <f>(243895+L47+K47) *-1</f>
        <v>-89315</v>
      </c>
      <c r="N47" s="12">
        <f>(347034+M47+L47) *-1</f>
        <v>-169872</v>
      </c>
      <c r="O47" s="1">
        <v>-77672</v>
      </c>
      <c r="P47" s="1">
        <f>(155478+O47)*-1</f>
        <v>-77806</v>
      </c>
      <c r="Q47" s="1">
        <f>(246539+P47+O47)*-1</f>
        <v>-91061</v>
      </c>
      <c r="Y47" s="1">
        <v>-200692</v>
      </c>
      <c r="Z47" s="1">
        <v>-246121</v>
      </c>
      <c r="AA47" s="1">
        <v>-347034</v>
      </c>
    </row>
    <row r="48" spans="2:27" x14ac:dyDescent="0.25">
      <c r="B48" t="s">
        <v>62</v>
      </c>
      <c r="C48" s="1">
        <f>C45+C47</f>
        <v>139347</v>
      </c>
      <c r="D48" s="1">
        <f>D45+D47</f>
        <v>72431</v>
      </c>
      <c r="E48" s="1">
        <f>E45+E47</f>
        <v>-2080</v>
      </c>
      <c r="F48" s="1">
        <f t="shared" ref="F48:Q48" si="13">F45+F47</f>
        <v>120010</v>
      </c>
      <c r="G48" s="1">
        <f t="shared" si="13"/>
        <v>138740</v>
      </c>
      <c r="H48" s="1">
        <f t="shared" si="13"/>
        <v>51396</v>
      </c>
      <c r="I48" s="1">
        <f t="shared" si="13"/>
        <v>84863</v>
      </c>
      <c r="J48" s="1">
        <f t="shared" si="13"/>
        <v>-9395</v>
      </c>
      <c r="K48" s="12">
        <f t="shared" si="13"/>
        <v>122248</v>
      </c>
      <c r="L48" s="12">
        <f t="shared" si="13"/>
        <v>11405</v>
      </c>
      <c r="M48" s="12">
        <f t="shared" si="13"/>
        <v>13191</v>
      </c>
      <c r="N48" s="12">
        <f t="shared" si="13"/>
        <v>4373</v>
      </c>
      <c r="O48" s="1">
        <f t="shared" si="13"/>
        <v>165767</v>
      </c>
      <c r="P48" s="1">
        <f t="shared" si="13"/>
        <v>56102</v>
      </c>
      <c r="Q48" s="1">
        <f t="shared" si="13"/>
        <v>47681</v>
      </c>
      <c r="Y48" s="1">
        <f>Y45+Y47</f>
        <v>267461</v>
      </c>
      <c r="Z48" s="1">
        <f>Z45+Z47</f>
        <v>265604</v>
      </c>
      <c r="AA48" s="1">
        <f>AA45+AA47</f>
        <v>217950</v>
      </c>
    </row>
    <row r="49" spans="2:27" x14ac:dyDescent="0.25">
      <c r="K49" s="11"/>
      <c r="L49" s="11"/>
      <c r="M49" s="11"/>
      <c r="N49" s="11"/>
      <c r="Y49" s="1"/>
      <c r="Z49" s="1"/>
      <c r="AA49" s="1"/>
    </row>
    <row r="50" spans="2:27" x14ac:dyDescent="0.25">
      <c r="B50" t="s">
        <v>45</v>
      </c>
      <c r="E50" s="3"/>
      <c r="F50" s="3"/>
      <c r="G50" s="3">
        <f t="shared" ref="G50:Q50" si="14">+G19/C17-1</f>
        <v>0.2422410724057551</v>
      </c>
      <c r="H50" s="3">
        <f t="shared" si="14"/>
        <v>0.14808996418822917</v>
      </c>
      <c r="I50" s="3">
        <f t="shared" si="14"/>
        <v>0.15130679901756805</v>
      </c>
      <c r="J50" s="3">
        <f t="shared" si="14"/>
        <v>0.13551175859229825</v>
      </c>
      <c r="K50" s="13">
        <f t="shared" si="14"/>
        <v>0.19713508642448518</v>
      </c>
      <c r="L50" s="13">
        <f t="shared" si="14"/>
        <v>0.15042969106837822</v>
      </c>
      <c r="M50" s="13">
        <f t="shared" si="14"/>
        <v>0.13652800053495495</v>
      </c>
      <c r="N50" s="13">
        <f t="shared" si="14"/>
        <v>0.16115273499321381</v>
      </c>
      <c r="O50" s="3">
        <f t="shared" si="14"/>
        <v>0.13158293671627619</v>
      </c>
      <c r="P50" s="3">
        <f t="shared" si="14"/>
        <v>0.15185441241513753</v>
      </c>
      <c r="Q50" s="3">
        <f t="shared" si="14"/>
        <v>0.14147382050601487</v>
      </c>
      <c r="Y50" s="1"/>
      <c r="Z50" s="1"/>
      <c r="AA50" s="1"/>
    </row>
    <row r="51" spans="2:27" x14ac:dyDescent="0.25">
      <c r="B51" t="s">
        <v>46</v>
      </c>
      <c r="C51" s="4">
        <f t="shared" ref="C51:Q51" si="15">C32/C19</f>
        <v>8.0124502110215837E-2</v>
      </c>
      <c r="D51" s="4">
        <f t="shared" si="15"/>
        <v>8.3979759409337912E-2</v>
      </c>
      <c r="E51" s="4">
        <f t="shared" si="15"/>
        <v>6.0540219554101937E-2</v>
      </c>
      <c r="F51" s="4">
        <f t="shared" si="15"/>
        <v>5.9243891708892278E-2</v>
      </c>
      <c r="G51" s="4">
        <f t="shared" si="15"/>
        <v>7.6155003716508379E-2</v>
      </c>
      <c r="H51" s="4">
        <f t="shared" si="15"/>
        <v>7.0679851572214097E-2</v>
      </c>
      <c r="I51" s="4">
        <f t="shared" si="15"/>
        <v>6.2748540719904808E-2</v>
      </c>
      <c r="J51" s="4">
        <f t="shared" si="15"/>
        <v>5.9303893201681182E-2</v>
      </c>
      <c r="K51" s="14">
        <f t="shared" si="15"/>
        <v>7.3561168844881786E-2</v>
      </c>
      <c r="L51" s="14">
        <f t="shared" si="15"/>
        <v>7.0244867883705903E-2</v>
      </c>
      <c r="M51" s="14">
        <f t="shared" si="15"/>
        <v>5.6864618917550402E-2</v>
      </c>
      <c r="N51" s="14">
        <f t="shared" si="15"/>
        <v>6.2205793564023532E-2</v>
      </c>
      <c r="O51" s="4">
        <f t="shared" si="15"/>
        <v>8.5683123968280761E-2</v>
      </c>
      <c r="P51" s="4">
        <f t="shared" si="15"/>
        <v>8.9577110681314229E-2</v>
      </c>
      <c r="Q51" s="4">
        <f t="shared" si="15"/>
        <v>6.6309557195253097E-2</v>
      </c>
      <c r="Y51" s="1"/>
      <c r="Z51" s="1"/>
      <c r="AA5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2024-10-29T18:25:19Z</dcterms:modified>
</cp:coreProperties>
</file>