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odel" sheetId="2" r:id="rId5"/>
  </sheets>
  <definedNames/>
  <calcPr/>
  <extLst>
    <ext uri="GoogleSheetsCustomDataVersion2">
      <go:sheetsCustomData xmlns:go="http://customooxmlschemas.google.com/" r:id="rId6" roundtripDataChecksum="5lPMs2IlMl8wj1Vjh1QDRKHEGZQbbbYjhR8qAAbvJKQ="/>
    </ext>
  </extLst>
</workbook>
</file>

<file path=xl/sharedStrings.xml><?xml version="1.0" encoding="utf-8"?>
<sst xmlns="http://schemas.openxmlformats.org/spreadsheetml/2006/main" count="81" uniqueCount="71">
  <si>
    <t>Fiscal Year: May 1 (current) - April 30 (next year)</t>
  </si>
  <si>
    <t>Price</t>
  </si>
  <si>
    <t>Companies:</t>
  </si>
  <si>
    <t>Skypersonic, Inc.</t>
  </si>
  <si>
    <t>Shares</t>
  </si>
  <si>
    <t>FQ125</t>
  </si>
  <si>
    <t>Teal Drones, Inc.</t>
  </si>
  <si>
    <t>MC</t>
  </si>
  <si>
    <t>Red Cat Propware</t>
  </si>
  <si>
    <t>Cash</t>
  </si>
  <si>
    <t>Rptpr Riot LLC</t>
  </si>
  <si>
    <t>Debt</t>
  </si>
  <si>
    <t>Fat Shark Holdings</t>
  </si>
  <si>
    <t>EV</t>
  </si>
  <si>
    <t>Products:</t>
  </si>
  <si>
    <t>Black Widow</t>
  </si>
  <si>
    <t>Teal 2</t>
  </si>
  <si>
    <t xml:space="preserve">U.S. Army's Short Range Reconnaissance (SRR) winner </t>
  </si>
  <si>
    <t>Edge 130 Blue (Flight Wave)</t>
  </si>
  <si>
    <t>Partnership with $PLTR</t>
  </si>
  <si>
    <t>$1m contract for Edge 130 Blue drones</t>
  </si>
  <si>
    <t>Acquired Flight Wave</t>
  </si>
  <si>
    <t>guidance of $80-$120m for calendar year 2025</t>
  </si>
  <si>
    <t>FQ124</t>
  </si>
  <si>
    <t>FQ224</t>
  </si>
  <si>
    <t>FQ324</t>
  </si>
  <si>
    <t>FQ424</t>
  </si>
  <si>
    <t>FY21</t>
  </si>
  <si>
    <t>FY22</t>
  </si>
  <si>
    <t>FY23</t>
  </si>
  <si>
    <t>FY24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</si>
  <si>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</si>
  <si>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</si>
  <si>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</si>
  <si>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</si>
  <si>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</si>
  <si>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</si>
  <si>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</si>
  <si>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</si>
  <si>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</si>
  <si>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Q424</t>
  </si>
  <si>
    <t>Revenue</t>
  </si>
  <si>
    <t>COGS</t>
  </si>
  <si>
    <t>Gross Profit</t>
  </si>
  <si>
    <t>R&amp;D</t>
  </si>
  <si>
    <t>S&amp;M</t>
  </si>
  <si>
    <t>G&amp;A</t>
  </si>
  <si>
    <t>Other</t>
  </si>
  <si>
    <t>Operating Expsenses</t>
  </si>
  <si>
    <t>Operating Income</t>
  </si>
  <si>
    <t>Other Expenses</t>
  </si>
  <si>
    <t>Net Income</t>
  </si>
  <si>
    <t>EPS</t>
  </si>
  <si>
    <t>Revenue Growth (YoY)</t>
  </si>
  <si>
    <t>Gross Margin</t>
  </si>
  <si>
    <t>Model NI</t>
  </si>
  <si>
    <t>Reported NI</t>
  </si>
  <si>
    <t>SBC</t>
  </si>
  <si>
    <t>Amortization</t>
  </si>
  <si>
    <t>Marketable Securities</t>
  </si>
  <si>
    <t>Depreciation</t>
  </si>
  <si>
    <t>Derivative fair value</t>
  </si>
  <si>
    <t>Note Receivable</t>
  </si>
  <si>
    <t>Equity loss</t>
  </si>
  <si>
    <t>Intangible assets</t>
  </si>
  <si>
    <t xml:space="preserve"> </t>
  </si>
  <si>
    <t>Convertible note</t>
  </si>
  <si>
    <t>WC</t>
  </si>
  <si>
    <t>CFFO</t>
  </si>
  <si>
    <t>CapEx</t>
  </si>
  <si>
    <t>FCF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</si>
</sst>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m/dd/yyyy"/>
    <numFmt numFmtId="166" formatCode="m/d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u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medium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Border="1" applyFont="1"/>
    <xf borderId="0" fillId="0" fontId="1" numFmtId="3" xfId="0" applyFont="1" applyNumberFormat="1"/>
    <xf borderId="1" fillId="0" fontId="2" numFmtId="3" xfId="0" applyBorder="1" applyFont="1" applyNumberFormat="1"/>
    <xf borderId="0" fillId="0" fontId="1" numFmtId="3" xfId="0" applyAlignment="1" applyFont="1" applyNumberFormat="1">
      <alignment readingOrder="0"/>
    </xf>
    <xf borderId="1" fillId="0" fontId="1" numFmtId="3" xfId="0" applyBorder="1" applyFont="1" applyNumberFormat="1"/>
    <xf borderId="0" fillId="0" fontId="2" numFmtId="4" xfId="0" applyFont="1" applyNumberFormat="1"/>
    <xf borderId="1" fillId="0" fontId="2" numFmtId="4" xfId="0" applyBorder="1" applyFont="1" applyNumberFormat="1"/>
    <xf borderId="1" fillId="0" fontId="2" numFmtId="3" xfId="0" applyAlignment="1" applyBorder="1" applyFont="1" applyNumberFormat="1">
      <alignment readingOrder="0"/>
    </xf>
    <xf borderId="0" fillId="0" fontId="2" numFmtId="10" xfId="0" applyFont="1" applyNumberFormat="1"/>
    <xf borderId="1" fillId="0" fontId="2" numFmtId="10" xfId="0" applyBorder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>
      <c r="B1" s="1" t="s">
        <v>0</v>
      </c>
    </row>
    <row r="3">
      <c r="J3" s="2" t="s">
        <v>1</v>
      </c>
      <c r="K3" s="1">
        <v>10.73</v>
      </c>
    </row>
    <row r="4">
      <c r="B4" s="1" t="s">
        <v>2</v>
      </c>
      <c r="C4" s="2" t="s">
        <v>3</v>
      </c>
      <c r="J4" s="2" t="s">
        <v>4</v>
      </c>
      <c r="K4" s="3">
        <v>80.160782</v>
      </c>
      <c r="L4" s="1" t="s">
        <v>5</v>
      </c>
    </row>
    <row r="5">
      <c r="C5" s="2" t="s">
        <v>6</v>
      </c>
      <c r="J5" s="2" t="s">
        <v>7</v>
      </c>
      <c r="K5" s="4">
        <f>+K3*K4</f>
        <v>860.1251909</v>
      </c>
      <c r="L5" s="1" t="s">
        <v>5</v>
      </c>
    </row>
    <row r="6">
      <c r="C6" s="2" t="s">
        <v>8</v>
      </c>
      <c r="J6" s="2" t="s">
        <v>9</v>
      </c>
      <c r="K6" s="5">
        <f>4.611092</f>
        <v>4.611092</v>
      </c>
      <c r="L6" s="1" t="s">
        <v>5</v>
      </c>
    </row>
    <row r="7">
      <c r="C7" s="2" t="s">
        <v>10</v>
      </c>
      <c r="J7" s="2" t="s">
        <v>11</v>
      </c>
      <c r="K7" s="3">
        <v>8.177969</v>
      </c>
      <c r="L7" s="1" t="s">
        <v>5</v>
      </c>
    </row>
    <row r="8">
      <c r="C8" s="2" t="s">
        <v>12</v>
      </c>
      <c r="J8" s="2" t="s">
        <v>13</v>
      </c>
      <c r="K8" s="4">
        <f>+K5-K6+K7</f>
        <v>863.6920679</v>
      </c>
      <c r="L8" s="1" t="s">
        <v>5</v>
      </c>
    </row>
    <row r="10">
      <c r="B10" s="1" t="s">
        <v>14</v>
      </c>
      <c r="C10" s="1" t="s">
        <v>15</v>
      </c>
    </row>
    <row r="11">
      <c r="C11" s="1" t="s">
        <v>16</v>
      </c>
      <c r="I11" s="1" t="s">
        <v>5</v>
      </c>
      <c r="J11" s="1" t="s">
        <v>17</v>
      </c>
    </row>
    <row r="12">
      <c r="C12" s="1" t="s">
        <v>18</v>
      </c>
      <c r="D12" s="1"/>
      <c r="J12" s="1" t="s">
        <v>19</v>
      </c>
    </row>
    <row r="13">
      <c r="J13" s="1" t="s">
        <v>20</v>
      </c>
    </row>
    <row r="14">
      <c r="J14" s="1" t="s">
        <v>21</v>
      </c>
    </row>
    <row r="15">
      <c r="J15" s="6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8.71"/>
    <col customWidth="1" min="2" max="2" width="23.43"/>
    <col customWidth="1" min="3" max="10" width="8.71"/>
    <col customWidth="1" min="11" max="11" width="10.14"/>
    <col customWidth="1" min="12" max="12" width="10.86"/>
    <col customWidth="1" min="13" max="15" width="11.29"/>
    <col customWidth="1" min="16" max="16" width="13.57"/>
    <col customWidth="1" min="17" max="17" width="11.29"/>
    <col customWidth="1" min="18" max="20" width="8.71"/>
    <col customWidth="1" min="21" max="21" width="10.71"/>
    <col customWidth="1" min="22" max="25" width="11.29"/>
    <col customWidth="1" min="26" max="26" width="10.71"/>
    <col customWidth="1" min="27" max="29" width="8.71"/>
  </cols>
  <sheetData>
    <row r="1">
      <c r="L1" s="1" t="s">
        <v>23</v>
      </c>
      <c r="M1" s="1" t="s">
        <v>24</v>
      </c>
      <c r="N1" s="1" t="s">
        <v>25</v>
      </c>
      <c r="O1" s="1" t="s">
        <v>26</v>
      </c>
      <c r="P1" s="1" t="s">
        <v>26</v>
      </c>
      <c r="Q1" s="1" t="s">
        <v>5</v>
      </c>
      <c r="U1" s="7"/>
      <c r="V1" s="7" t="s">
        <v>27</v>
      </c>
      <c r="W1" s="7" t="s">
        <v>28</v>
      </c>
      <c r="X1" s="7" t="s">
        <v>29</v>
      </c>
      <c r="Y1" s="8" t="s">
        <v>30</v>
      </c>
      <c r="Z1" s="7"/>
      <c r="AA1" s="7"/>
      <c r="AB1" s="7"/>
      <c r="AC1" s="7"/>
    </row>
    <row r="2"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9">
        <v>45187.0</v>
      </c>
      <c r="M2" s="10">
        <v>45272.0</v>
      </c>
      <c r="N2" s="9">
        <v>45366.0</v>
      </c>
      <c r="O2" s="9">
        <v>45512.0</v>
      </c>
      <c r="P2" s="9">
        <v>45554.0</v>
      </c>
      <c r="Q2" s="10">
        <v>45642.0</v>
      </c>
      <c r="R2" s="2" t="s">
        <v>40</v>
      </c>
      <c r="U2" s="1">
        <v>2020.0</v>
      </c>
      <c r="V2" s="2">
        <f t="shared" ref="V2:Y2" si="1">U2+1</f>
        <v>2021</v>
      </c>
      <c r="W2" s="2">
        <f t="shared" si="1"/>
        <v>2022</v>
      </c>
      <c r="X2" s="2">
        <f t="shared" si="1"/>
        <v>2023</v>
      </c>
      <c r="Y2" s="11">
        <f t="shared" si="1"/>
        <v>2024</v>
      </c>
    </row>
    <row r="3">
      <c r="Y3" s="11"/>
    </row>
    <row r="4">
      <c r="Y4" s="11"/>
    </row>
    <row r="5">
      <c r="B5" s="2" t="s">
        <v>41</v>
      </c>
      <c r="C5" s="4"/>
      <c r="D5" s="4"/>
      <c r="E5" s="4"/>
      <c r="F5" s="4"/>
      <c r="G5" s="4"/>
      <c r="H5" s="4"/>
      <c r="I5" s="4"/>
      <c r="J5" s="4"/>
      <c r="K5" s="4">
        <v>1667683.0</v>
      </c>
      <c r="L5" s="4">
        <v>1748129.0</v>
      </c>
      <c r="M5" s="3">
        <v>3930868.0</v>
      </c>
      <c r="N5" s="4">
        <v>5847933.0</v>
      </c>
      <c r="O5" s="12">
        <f>17836382-SUM(L5:N5)</f>
        <v>6309452</v>
      </c>
      <c r="P5" s="4">
        <v>2776535.0</v>
      </c>
      <c r="Q5" s="4">
        <v>1534727.0</v>
      </c>
      <c r="R5" s="4"/>
      <c r="U5" s="3">
        <v>403940.0</v>
      </c>
      <c r="V5" s="3">
        <v>4999517.0</v>
      </c>
      <c r="W5" s="3">
        <v>6428963.0</v>
      </c>
      <c r="X5" s="4">
        <v>9911780.0</v>
      </c>
      <c r="Y5" s="13">
        <v>1.7836382E7</v>
      </c>
      <c r="Z5" s="4">
        <v>8.0E7</v>
      </c>
      <c r="AA5" s="3"/>
      <c r="AB5" s="3"/>
      <c r="AC5" s="3"/>
    </row>
    <row r="6">
      <c r="B6" s="2" t="s">
        <v>42</v>
      </c>
      <c r="C6" s="4"/>
      <c r="D6" s="4"/>
      <c r="E6" s="4"/>
      <c r="F6" s="4"/>
      <c r="G6" s="4"/>
      <c r="H6" s="4"/>
      <c r="I6" s="4"/>
      <c r="J6" s="4"/>
      <c r="K6" s="4">
        <v>1764612.0</v>
      </c>
      <c r="L6" s="4">
        <v>1573464.0</v>
      </c>
      <c r="M6" s="3">
        <v>2730286.0</v>
      </c>
      <c r="N6" s="4">
        <v>4746282.0</v>
      </c>
      <c r="O6" s="12">
        <f>14155836-SUM(L6:N6)</f>
        <v>5105804</v>
      </c>
      <c r="P6" s="4">
        <v>3259926.0</v>
      </c>
      <c r="Q6" s="4">
        <f>1558202</f>
        <v>1558202</v>
      </c>
      <c r="R6" s="4"/>
      <c r="U6" s="3">
        <v>325379.0</v>
      </c>
      <c r="V6" s="3">
        <v>3929832.0</v>
      </c>
      <c r="W6" s="3">
        <v>5503448.0</v>
      </c>
      <c r="X6" s="4">
        <v>1.0248575E7</v>
      </c>
      <c r="Y6" s="13">
        <v>1.4155836E7</v>
      </c>
      <c r="Z6" s="4"/>
      <c r="AA6" s="3"/>
      <c r="AB6" s="3"/>
      <c r="AC6" s="3"/>
    </row>
    <row r="7">
      <c r="B7" s="2" t="s">
        <v>43</v>
      </c>
      <c r="C7" s="4"/>
      <c r="D7" s="4"/>
      <c r="E7" s="4"/>
      <c r="F7" s="4"/>
      <c r="G7" s="4"/>
      <c r="H7" s="4"/>
      <c r="I7" s="4"/>
      <c r="J7" s="4"/>
      <c r="K7" s="4">
        <f t="shared" ref="K7:Q7" si="2">+K5-K6</f>
        <v>-96929</v>
      </c>
      <c r="L7" s="4">
        <f t="shared" si="2"/>
        <v>174665</v>
      </c>
      <c r="M7" s="4">
        <f t="shared" si="2"/>
        <v>1200582</v>
      </c>
      <c r="N7" s="4">
        <f t="shared" si="2"/>
        <v>1101651</v>
      </c>
      <c r="O7" s="4">
        <f t="shared" si="2"/>
        <v>1203648</v>
      </c>
      <c r="P7" s="4">
        <f t="shared" si="2"/>
        <v>-483391</v>
      </c>
      <c r="Q7" s="4">
        <f t="shared" si="2"/>
        <v>-23475</v>
      </c>
      <c r="R7" s="4"/>
      <c r="U7" s="4">
        <f t="shared" ref="U7:Y7" si="3">U5-U6</f>
        <v>78561</v>
      </c>
      <c r="V7" s="4">
        <f t="shared" si="3"/>
        <v>1069685</v>
      </c>
      <c r="W7" s="4">
        <f t="shared" si="3"/>
        <v>925515</v>
      </c>
      <c r="X7" s="4">
        <f t="shared" si="3"/>
        <v>-336795</v>
      </c>
      <c r="Y7" s="13">
        <f t="shared" si="3"/>
        <v>3680546</v>
      </c>
      <c r="Z7" s="4"/>
      <c r="AA7" s="4"/>
      <c r="AB7" s="4"/>
      <c r="AC7" s="4"/>
    </row>
    <row r="8">
      <c r="B8" s="2" t="s">
        <v>44</v>
      </c>
      <c r="C8" s="4"/>
      <c r="D8" s="4"/>
      <c r="E8" s="4"/>
      <c r="F8" s="4"/>
      <c r="G8" s="4"/>
      <c r="H8" s="4"/>
      <c r="I8" s="4"/>
      <c r="J8" s="4"/>
      <c r="K8" s="4">
        <v>1221738.0</v>
      </c>
      <c r="L8" s="3">
        <v>1138127.0</v>
      </c>
      <c r="M8" s="4">
        <f>1987890</f>
        <v>1987890</v>
      </c>
      <c r="N8" s="4">
        <v>2125268.0</v>
      </c>
      <c r="O8" s="12">
        <f>5896037-N8-M8-L8</f>
        <v>644752</v>
      </c>
      <c r="P8" s="4">
        <v>1626440.0</v>
      </c>
      <c r="Q8" s="4">
        <f>2231470</f>
        <v>2231470</v>
      </c>
      <c r="R8" s="4"/>
      <c r="U8" s="3">
        <v>488990.0</v>
      </c>
      <c r="V8" s="3">
        <v>516084.0</v>
      </c>
      <c r="W8" s="3">
        <v>2606141.0</v>
      </c>
      <c r="X8" s="4">
        <f>5248336</f>
        <v>5248336</v>
      </c>
      <c r="Y8" s="13">
        <v>5896037.0</v>
      </c>
      <c r="Z8" s="4"/>
      <c r="AA8" s="3"/>
      <c r="AB8" s="3"/>
      <c r="AC8" s="3"/>
    </row>
    <row r="9">
      <c r="B9" s="2" t="s">
        <v>45</v>
      </c>
      <c r="C9" s="4"/>
      <c r="D9" s="4"/>
      <c r="E9" s="4"/>
      <c r="F9" s="4"/>
      <c r="G9" s="4"/>
      <c r="H9" s="4"/>
      <c r="I9" s="4"/>
      <c r="J9" s="4"/>
      <c r="K9" s="4">
        <v>1015412.0</v>
      </c>
      <c r="L9" s="3">
        <v>986908.0</v>
      </c>
      <c r="M9" s="3">
        <v>675490.0</v>
      </c>
      <c r="N9" s="4">
        <v>883982.0</v>
      </c>
      <c r="O9" s="12">
        <f>4568617-N9-M9-L9</f>
        <v>2022237</v>
      </c>
      <c r="P9" s="4">
        <v>2041511.0</v>
      </c>
      <c r="Q9" s="4">
        <f>2343779</f>
        <v>2343779</v>
      </c>
      <c r="R9" s="4"/>
      <c r="U9" s="3">
        <v>0.0</v>
      </c>
      <c r="V9" s="3">
        <v>172182.0</v>
      </c>
      <c r="W9" s="3">
        <v>1127532.0</v>
      </c>
      <c r="X9" s="3">
        <v>4028007.0</v>
      </c>
      <c r="Y9" s="13">
        <v>4568617.0</v>
      </c>
      <c r="Z9" s="4"/>
      <c r="AA9" s="3"/>
      <c r="AB9" s="3"/>
      <c r="AC9" s="3"/>
    </row>
    <row r="10">
      <c r="B10" s="2" t="s">
        <v>46</v>
      </c>
      <c r="C10" s="4"/>
      <c r="D10" s="4"/>
      <c r="E10" s="4"/>
      <c r="F10" s="4"/>
      <c r="G10" s="4"/>
      <c r="H10" s="4"/>
      <c r="I10" s="4"/>
      <c r="J10" s="4"/>
      <c r="K10" s="4">
        <v>1397667.0</v>
      </c>
      <c r="L10" s="3">
        <v>1443156.0</v>
      </c>
      <c r="M10" s="3">
        <v>1460073.0</v>
      </c>
      <c r="N10" s="4">
        <v>1426531.0</v>
      </c>
      <c r="O10" s="12">
        <f>10679105-N10-M10-L10</f>
        <v>6349345</v>
      </c>
      <c r="P10" s="4">
        <v>3483095.0</v>
      </c>
      <c r="Q10" s="4">
        <f>4517695</f>
        <v>4517695</v>
      </c>
      <c r="R10" s="4"/>
      <c r="U10" s="3">
        <v>1248717.0</v>
      </c>
      <c r="V10" s="3">
        <v>1279471.0</v>
      </c>
      <c r="W10" s="3">
        <v>5548589.0</v>
      </c>
      <c r="X10" s="3">
        <v>6618596.0</v>
      </c>
      <c r="Y10" s="13">
        <v>1.0679105E7</v>
      </c>
      <c r="Z10" s="4"/>
      <c r="AA10" s="3"/>
      <c r="AB10" s="3"/>
      <c r="AC10" s="3"/>
    </row>
    <row r="11">
      <c r="B11" s="2" t="s">
        <v>47</v>
      </c>
      <c r="C11" s="4"/>
      <c r="D11" s="4"/>
      <c r="E11" s="4"/>
      <c r="F11" s="4"/>
      <c r="G11" s="4"/>
      <c r="H11" s="4"/>
      <c r="I11" s="4"/>
      <c r="J11" s="4"/>
      <c r="K11" s="12">
        <f>663668+788691</f>
        <v>1452359</v>
      </c>
      <c r="L11" s="14">
        <f>707903+911606-26520+239490+21857+319913</f>
        <v>2174249</v>
      </c>
      <c r="M11" s="12">
        <f>1196325+440445</f>
        <v>1636770</v>
      </c>
      <c r="N11" s="12">
        <f>527447+585771</f>
        <v>1113218</v>
      </c>
      <c r="O11" s="12">
        <v>412999.0</v>
      </c>
      <c r="P11" s="12">
        <v>93050.0</v>
      </c>
      <c r="Q11" s="12">
        <v>0.0</v>
      </c>
      <c r="R11" s="4"/>
      <c r="U11" s="14">
        <v>0.0</v>
      </c>
      <c r="V11" s="12">
        <f>590342+3388216</f>
        <v>3978558</v>
      </c>
      <c r="W11" s="12">
        <f>1353904+3291635</f>
        <v>4645539</v>
      </c>
      <c r="X11" s="12">
        <f>4411685+3656724+2826918</f>
        <v>10895327</v>
      </c>
      <c r="Y11" s="15">
        <v>412999.0</v>
      </c>
      <c r="Z11" s="12"/>
      <c r="AA11" s="12"/>
      <c r="AB11" s="12"/>
      <c r="AC11" s="12"/>
    </row>
    <row r="12">
      <c r="B12" s="2" t="s">
        <v>48</v>
      </c>
      <c r="C12" s="4"/>
      <c r="D12" s="4"/>
      <c r="E12" s="4"/>
      <c r="F12" s="4"/>
      <c r="G12" s="4"/>
      <c r="H12" s="4"/>
      <c r="I12" s="4"/>
      <c r="J12" s="4"/>
      <c r="K12" s="4">
        <f>SUM(K8:K11)-157575-65110+28667+345836</f>
        <v>5238994</v>
      </c>
      <c r="L12" s="4">
        <f>SUM(L8:L11)</f>
        <v>5742440</v>
      </c>
      <c r="M12" s="4">
        <f>SUM(M8:M11)-162482+333867+19696+331095</f>
        <v>6282399</v>
      </c>
      <c r="N12" s="4">
        <f>SUM(N8:N11)-113819+160340+15507-320043</f>
        <v>5290984</v>
      </c>
      <c r="O12" s="12">
        <f>SUM(O8:O11) -(-9642427+11353875+503625+651943+68609+714859)</f>
        <v>5778849</v>
      </c>
      <c r="P12" s="4">
        <f>SUM(P8:P11)+4008357+734143-24554-29057</f>
        <v>11932985</v>
      </c>
      <c r="Q12" s="4">
        <f>SUM(Q8:Q11)</f>
        <v>9092944</v>
      </c>
      <c r="R12" s="4"/>
      <c r="U12" s="4">
        <f t="shared" ref="U12:Y12" si="4">SUM(U8:U11)</f>
        <v>1737707</v>
      </c>
      <c r="V12" s="4">
        <f t="shared" si="4"/>
        <v>5946295</v>
      </c>
      <c r="W12" s="4">
        <f t="shared" si="4"/>
        <v>13927801</v>
      </c>
      <c r="X12" s="4">
        <f t="shared" si="4"/>
        <v>26790266</v>
      </c>
      <c r="Y12" s="13">
        <f t="shared" si="4"/>
        <v>21556758</v>
      </c>
      <c r="Z12" s="4"/>
      <c r="AA12" s="4"/>
      <c r="AB12" s="4"/>
      <c r="AC12" s="4"/>
    </row>
    <row r="13">
      <c r="B13" s="2" t="s">
        <v>49</v>
      </c>
      <c r="C13" s="4"/>
      <c r="D13" s="4"/>
      <c r="E13" s="4"/>
      <c r="F13" s="4"/>
      <c r="G13" s="4"/>
      <c r="H13" s="4"/>
      <c r="I13" s="4"/>
      <c r="J13" s="4"/>
      <c r="K13" s="4">
        <f t="shared" ref="K13:Q13" si="5">+K7-K12</f>
        <v>-5335923</v>
      </c>
      <c r="L13" s="4">
        <f t="shared" si="5"/>
        <v>-5567775</v>
      </c>
      <c r="M13" s="4">
        <f t="shared" si="5"/>
        <v>-5081817</v>
      </c>
      <c r="N13" s="4">
        <f t="shared" si="5"/>
        <v>-4189333</v>
      </c>
      <c r="O13" s="4">
        <f t="shared" si="5"/>
        <v>-4575201</v>
      </c>
      <c r="P13" s="4">
        <f t="shared" si="5"/>
        <v>-12416376</v>
      </c>
      <c r="Q13" s="4">
        <f t="shared" si="5"/>
        <v>-9116419</v>
      </c>
      <c r="R13" s="4"/>
      <c r="U13" s="4">
        <f t="shared" ref="U13:Y13" si="6">U7-U12</f>
        <v>-1659146</v>
      </c>
      <c r="V13" s="4">
        <f t="shared" si="6"/>
        <v>-4876610</v>
      </c>
      <c r="W13" s="4">
        <f t="shared" si="6"/>
        <v>-13002286</v>
      </c>
      <c r="X13" s="4">
        <f t="shared" si="6"/>
        <v>-27127061</v>
      </c>
      <c r="Y13" s="13">
        <f t="shared" si="6"/>
        <v>-17876212</v>
      </c>
      <c r="Z13" s="4"/>
      <c r="AA13" s="4"/>
      <c r="AB13" s="4"/>
      <c r="AC13" s="4"/>
    </row>
    <row r="14">
      <c r="B14" s="2" t="s">
        <v>50</v>
      </c>
      <c r="C14" s="4"/>
      <c r="D14" s="4"/>
      <c r="E14" s="4"/>
      <c r="F14" s="4"/>
      <c r="G14" s="4"/>
      <c r="H14" s="4"/>
      <c r="I14" s="4"/>
      <c r="J14" s="4"/>
      <c r="K14" s="4">
        <v>-330079.0</v>
      </c>
      <c r="L14" s="3">
        <v>-242573.0</v>
      </c>
      <c r="M14" s="3">
        <v>-599511.0</v>
      </c>
      <c r="N14" s="4">
        <v>-1299205.0</v>
      </c>
      <c r="O14" s="14">
        <f>-2525933-N14-M14-L14</f>
        <v>-384644</v>
      </c>
      <c r="P14" s="3">
        <v>0.0</v>
      </c>
      <c r="Q14" s="4">
        <f>4230307-14634+2526</f>
        <v>4218199</v>
      </c>
      <c r="R14" s="4"/>
      <c r="U14" s="3">
        <v>-57215.0</v>
      </c>
      <c r="V14" s="4">
        <f>4630288+2492894+1223767+12616</f>
        <v>8359565</v>
      </c>
      <c r="W14" s="4">
        <f>-1042129-355769+147724-62984</f>
        <v>-1313158</v>
      </c>
      <c r="X14" s="4">
        <f>-1019292-137787+122004+995751</f>
        <v>-39324</v>
      </c>
      <c r="Y14" s="13">
        <f>-9642427+11353875+503625+651943+68609+714859+2525933</f>
        <v>6176417</v>
      </c>
      <c r="Z14" s="4"/>
      <c r="AA14" s="4"/>
      <c r="AB14" s="4"/>
      <c r="AC14" s="4"/>
    </row>
    <row r="15">
      <c r="B15" s="2" t="s">
        <v>51</v>
      </c>
      <c r="C15" s="4"/>
      <c r="D15" s="4"/>
      <c r="E15" s="4"/>
      <c r="F15" s="4"/>
      <c r="G15" s="4"/>
      <c r="H15" s="4"/>
      <c r="I15" s="4"/>
      <c r="J15" s="4"/>
      <c r="K15" s="4">
        <f t="shared" ref="K15:O15" si="7">+K13+K14</f>
        <v>-5666002</v>
      </c>
      <c r="L15" s="4">
        <f t="shared" si="7"/>
        <v>-5810348</v>
      </c>
      <c r="M15" s="4">
        <f t="shared" si="7"/>
        <v>-5681328</v>
      </c>
      <c r="N15" s="4">
        <f t="shared" si="7"/>
        <v>-5488538</v>
      </c>
      <c r="O15" s="4">
        <f t="shared" si="7"/>
        <v>-4959845</v>
      </c>
      <c r="P15" s="4">
        <f>P13</f>
        <v>-12416376</v>
      </c>
      <c r="Q15" s="4">
        <f>+Q13-Q14</f>
        <v>-13334618</v>
      </c>
      <c r="R15" s="4"/>
      <c r="U15" s="4">
        <f t="shared" ref="U15:Y15" si="8">U13-U14</f>
        <v>-1601931</v>
      </c>
      <c r="V15" s="4">
        <f t="shared" si="8"/>
        <v>-13236175</v>
      </c>
      <c r="W15" s="4">
        <f t="shared" si="8"/>
        <v>-11689128</v>
      </c>
      <c r="X15" s="4">
        <f t="shared" si="8"/>
        <v>-27087737</v>
      </c>
      <c r="Y15" s="13">
        <f t="shared" si="8"/>
        <v>-24052629</v>
      </c>
      <c r="Z15" s="4"/>
      <c r="AA15" s="4"/>
      <c r="AB15" s="4"/>
      <c r="AC15" s="4"/>
    </row>
    <row r="16">
      <c r="B16" s="2" t="s">
        <v>52</v>
      </c>
      <c r="C16" s="16"/>
      <c r="D16" s="16"/>
      <c r="E16" s="16"/>
      <c r="F16" s="16"/>
      <c r="G16" s="16"/>
      <c r="H16" s="16"/>
      <c r="I16" s="16"/>
      <c r="J16" s="16"/>
      <c r="K16" s="16">
        <f t="shared" ref="K16:N16" si="9">+K15/K17</f>
        <v>-0.1043575698</v>
      </c>
      <c r="L16" s="16">
        <f t="shared" si="9"/>
        <v>-0.1057670364</v>
      </c>
      <c r="M16" s="16">
        <f t="shared" si="9"/>
        <v>-0.1021705152</v>
      </c>
      <c r="N16" s="16">
        <f t="shared" si="9"/>
        <v>-0.09855851825</v>
      </c>
      <c r="O16" s="16">
        <f>-0.4-N16-M16-L16</f>
        <v>-0.0935039301</v>
      </c>
      <c r="P16" s="16">
        <f t="shared" ref="P16:Q16" si="10">+P15/P17</f>
        <v>-0.1666616913</v>
      </c>
      <c r="Q16" s="16">
        <f t="shared" si="10"/>
        <v>-0.1750299538</v>
      </c>
      <c r="R16" s="16"/>
      <c r="U16" s="16">
        <f t="shared" ref="U16:Y16" si="11">U15/U17</f>
        <v>-0.1166550456</v>
      </c>
      <c r="V16" s="16">
        <f t="shared" si="11"/>
        <v>-0.5595332601</v>
      </c>
      <c r="W16" s="16">
        <f t="shared" si="11"/>
        <v>-0.2424111108</v>
      </c>
      <c r="X16" s="16">
        <f t="shared" si="11"/>
        <v>-0.5029267902</v>
      </c>
      <c r="Y16" s="17">
        <f t="shared" si="11"/>
        <v>-0.4000858136</v>
      </c>
      <c r="Z16" s="16"/>
      <c r="AA16" s="16"/>
      <c r="AB16" s="16"/>
      <c r="AC16" s="16"/>
    </row>
    <row r="17">
      <c r="B17" s="2" t="s">
        <v>4</v>
      </c>
      <c r="C17" s="4"/>
      <c r="D17" s="4"/>
      <c r="E17" s="4"/>
      <c r="F17" s="4"/>
      <c r="G17" s="4"/>
      <c r="H17" s="4"/>
      <c r="I17" s="4"/>
      <c r="J17" s="4"/>
      <c r="K17" s="4">
        <v>5.4294116E7</v>
      </c>
      <c r="L17" s="4">
        <v>5.4935339E7</v>
      </c>
      <c r="M17" s="3">
        <v>5.5606336E7</v>
      </c>
      <c r="N17" s="4">
        <v>5.5688114E7</v>
      </c>
      <c r="O17" s="4">
        <v>6.0118675E7</v>
      </c>
      <c r="P17" s="4">
        <v>7.450048E7</v>
      </c>
      <c r="Q17" s="3">
        <v>7.6184777E7</v>
      </c>
      <c r="R17" s="4"/>
      <c r="U17" s="3">
        <v>1.3732205E7</v>
      </c>
      <c r="V17" s="3">
        <v>2.3655743E7</v>
      </c>
      <c r="W17" s="3">
        <v>4.8220265E7</v>
      </c>
      <c r="X17" s="3">
        <v>5.3860199E7</v>
      </c>
      <c r="Y17" s="18">
        <v>6.0118675E7</v>
      </c>
      <c r="Z17" s="3"/>
      <c r="AA17" s="3"/>
      <c r="AB17" s="3"/>
      <c r="AC17" s="3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  <c r="R18" s="4"/>
      <c r="U18" s="4"/>
      <c r="V18" s="4"/>
      <c r="W18" s="4"/>
      <c r="X18" s="4"/>
      <c r="Y18" s="13"/>
      <c r="Z18" s="4"/>
      <c r="AA18" s="4"/>
      <c r="AB18" s="4"/>
      <c r="AC18" s="4"/>
    </row>
    <row r="19">
      <c r="B19" s="2" t="s">
        <v>53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9">
        <f>+N5/K5-1</f>
        <v>2.506621462</v>
      </c>
      <c r="P19" s="19">
        <f>+P5/L5-1</f>
        <v>0.588289537</v>
      </c>
      <c r="Q19" s="19"/>
      <c r="R19" s="19"/>
      <c r="U19" s="19"/>
      <c r="V19" s="19"/>
      <c r="W19" s="19"/>
      <c r="X19" s="19"/>
      <c r="Y19" s="20"/>
      <c r="Z19" s="19"/>
      <c r="AA19" s="19"/>
      <c r="AB19" s="19"/>
      <c r="AC19" s="19"/>
    </row>
    <row r="20">
      <c r="B20" s="2" t="s">
        <v>54</v>
      </c>
      <c r="C20" s="4"/>
      <c r="D20" s="4"/>
      <c r="E20" s="4"/>
      <c r="F20" s="4"/>
      <c r="G20" s="4"/>
      <c r="H20" s="4"/>
      <c r="I20" s="4"/>
      <c r="J20" s="4"/>
      <c r="K20" s="19">
        <f t="shared" ref="K20:Q20" si="12">+K7/K5</f>
        <v>-0.05812195723</v>
      </c>
      <c r="L20" s="19">
        <f t="shared" si="12"/>
        <v>0.09991539526</v>
      </c>
      <c r="M20" s="19">
        <f t="shared" si="12"/>
        <v>0.3054241455</v>
      </c>
      <c r="N20" s="19">
        <f t="shared" si="12"/>
        <v>0.1883829722</v>
      </c>
      <c r="O20" s="19">
        <f t="shared" si="12"/>
        <v>0.190769024</v>
      </c>
      <c r="P20" s="19">
        <f t="shared" si="12"/>
        <v>-0.1740986517</v>
      </c>
      <c r="Q20" s="19">
        <f t="shared" si="12"/>
        <v>-0.01529587998</v>
      </c>
      <c r="R20" s="19"/>
      <c r="U20" s="19">
        <f t="shared" ref="U20:Y20" si="13">U7/U5</f>
        <v>0.194486805</v>
      </c>
      <c r="V20" s="19">
        <f t="shared" si="13"/>
        <v>0.2139576683</v>
      </c>
      <c r="W20" s="19">
        <f t="shared" si="13"/>
        <v>0.1439602312</v>
      </c>
      <c r="X20" s="19">
        <f t="shared" si="13"/>
        <v>-0.03397926508</v>
      </c>
      <c r="Y20" s="20">
        <f t="shared" si="13"/>
        <v>0.2063504807</v>
      </c>
      <c r="Z20" s="19"/>
      <c r="AA20" s="19"/>
      <c r="AB20" s="19"/>
      <c r="AC20" s="19"/>
    </row>
    <row r="21" ht="15.75" customHeight="1">
      <c r="Y21" s="11"/>
    </row>
    <row r="22" ht="15.75" customHeight="1">
      <c r="B22" s="2" t="s">
        <v>55</v>
      </c>
      <c r="L22" s="4">
        <f>+L15</f>
        <v>-5810348</v>
      </c>
      <c r="M22" s="4">
        <f>M15</f>
        <v>-5681328</v>
      </c>
      <c r="N22" s="4">
        <f>+N15</f>
        <v>-5488538</v>
      </c>
      <c r="P22" s="4">
        <f>+P13</f>
        <v>-12416376</v>
      </c>
      <c r="Q22" s="4">
        <f>Q15</f>
        <v>-13334618</v>
      </c>
      <c r="R22" s="4"/>
      <c r="U22" s="4">
        <f t="shared" ref="U22:Y22" si="14">U15</f>
        <v>-1601931</v>
      </c>
      <c r="V22" s="4">
        <f t="shared" si="14"/>
        <v>-13236175</v>
      </c>
      <c r="W22" s="4">
        <f t="shared" si="14"/>
        <v>-11689128</v>
      </c>
      <c r="X22" s="4">
        <f t="shared" si="14"/>
        <v>-27087737</v>
      </c>
      <c r="Y22" s="13">
        <f t="shared" si="14"/>
        <v>-24052629</v>
      </c>
      <c r="Z22" s="4"/>
      <c r="AA22" s="4"/>
      <c r="AB22" s="4"/>
      <c r="AC22" s="4"/>
    </row>
    <row r="23" ht="15.75" customHeight="1">
      <c r="B23" s="2" t="s">
        <v>56</v>
      </c>
      <c r="L23" s="4">
        <f>-5810348+242573</f>
        <v>-5567775</v>
      </c>
      <c r="M23" s="4">
        <f>-11491676+842084-L23</f>
        <v>-5081817</v>
      </c>
      <c r="N23" s="4">
        <f>-16980214+2141289-L23 -M23</f>
        <v>-4189333</v>
      </c>
      <c r="O23" s="4"/>
      <c r="P23" s="4">
        <v>-1.2416376E7</v>
      </c>
      <c r="Q23" s="4">
        <f>-25750994-P23</f>
        <v>-13334618</v>
      </c>
      <c r="R23" s="4"/>
      <c r="U23" s="4">
        <f>-1601931</f>
        <v>-1601931</v>
      </c>
      <c r="V23" s="4">
        <f>-13236175</f>
        <v>-13236175</v>
      </c>
      <c r="W23" s="4">
        <f>-11689128</f>
        <v>-11689128</v>
      </c>
      <c r="X23" s="4">
        <f>-27087737</f>
        <v>-27087737</v>
      </c>
      <c r="Y23" s="13">
        <f>-24052629+2525933</f>
        <v>-21526696</v>
      </c>
      <c r="Z23" s="4"/>
      <c r="AA23" s="4"/>
      <c r="AB23" s="4"/>
      <c r="AC23" s="4"/>
    </row>
    <row r="24" ht="15.75" customHeight="1">
      <c r="B24" s="2" t="s">
        <v>57</v>
      </c>
      <c r="L24" s="4">
        <f>629426+282180</f>
        <v>911606</v>
      </c>
      <c r="M24" s="4">
        <f>(1606305+501626)-L24</f>
        <v>1196325</v>
      </c>
      <c r="N24" s="4">
        <f>+1955547+738155-SUM(L24:M24)</f>
        <v>585771</v>
      </c>
      <c r="O24" s="4"/>
      <c r="P24" s="4">
        <f>357258+1088780</f>
        <v>1446038</v>
      </c>
      <c r="Q24" s="4">
        <f>(815632+1934443)-P24</f>
        <v>1304037</v>
      </c>
      <c r="R24" s="4"/>
      <c r="U24" s="4">
        <f>269895+204000</f>
        <v>473895</v>
      </c>
      <c r="V24" s="4">
        <f>3388216</f>
        <v>3388216</v>
      </c>
      <c r="W24" s="4">
        <f>2789026+502609+250400</f>
        <v>3542035</v>
      </c>
      <c r="X24" s="4">
        <f>2038742+1617982</f>
        <v>3656724</v>
      </c>
      <c r="Y24" s="13">
        <f>2619501+989766</f>
        <v>3609267</v>
      </c>
      <c r="Z24" s="4"/>
      <c r="AA24" s="4"/>
      <c r="AB24" s="4"/>
      <c r="AC24" s="4"/>
    </row>
    <row r="25" ht="15.75" customHeight="1">
      <c r="B25" s="2" t="s">
        <v>58</v>
      </c>
      <c r="L25" s="4">
        <v>217368.0</v>
      </c>
      <c r="M25" s="4">
        <f>434735-L25</f>
        <v>217367</v>
      </c>
      <c r="N25" s="4">
        <f>+650769-M25-L25</f>
        <v>216034</v>
      </c>
      <c r="O25" s="4"/>
      <c r="P25" s="4">
        <v>177329.0</v>
      </c>
      <c r="Q25" s="4">
        <f>354658-P25</f>
        <v>177329</v>
      </c>
      <c r="R25" s="4"/>
      <c r="U25" s="4"/>
      <c r="V25" s="4">
        <f>36831+1100000</f>
        <v>1136831</v>
      </c>
      <c r="W25" s="4">
        <f>224638</f>
        <v>224638</v>
      </c>
      <c r="X25" s="4">
        <f>654527</f>
        <v>654527</v>
      </c>
      <c r="Y25" s="13">
        <f>854311</f>
        <v>854311</v>
      </c>
      <c r="Z25" s="4"/>
      <c r="AA25" s="4"/>
      <c r="AB25" s="4"/>
      <c r="AC25" s="4"/>
    </row>
    <row r="26" ht="15.75" customHeight="1">
      <c r="B26" s="2" t="s">
        <v>59</v>
      </c>
      <c r="L26" s="4">
        <v>292636.0</v>
      </c>
      <c r="M26" s="4">
        <f>646300-L26</f>
        <v>353664</v>
      </c>
      <c r="N26" s="4">
        <f>851986-M26-L26</f>
        <v>205686</v>
      </c>
      <c r="O26" s="4"/>
      <c r="P26" s="4">
        <v>0.0</v>
      </c>
      <c r="Q26" s="4"/>
      <c r="R26" s="4"/>
      <c r="U26" s="4"/>
      <c r="V26" s="3"/>
      <c r="W26" s="3">
        <v>0.0</v>
      </c>
      <c r="X26" s="4">
        <f>296012</f>
        <v>296012</v>
      </c>
      <c r="Y26" s="13">
        <f>851986</f>
        <v>851986</v>
      </c>
      <c r="Z26" s="4"/>
      <c r="AA26" s="3"/>
      <c r="AB26" s="3"/>
      <c r="AC26" s="3"/>
    </row>
    <row r="27" ht="15.75" customHeight="1">
      <c r="B27" s="2" t="s">
        <v>60</v>
      </c>
      <c r="L27" s="4">
        <v>101001.0</v>
      </c>
      <c r="M27" s="4">
        <f>222431-L27</f>
        <v>121430</v>
      </c>
      <c r="N27" s="4">
        <f>357289-M27-L27</f>
        <v>134858</v>
      </c>
      <c r="O27" s="4"/>
      <c r="P27" s="4">
        <v>296722.0</v>
      </c>
      <c r="Q27" s="4">
        <f>491618-P27</f>
        <v>194896</v>
      </c>
      <c r="R27" s="4"/>
      <c r="U27" s="4"/>
      <c r="V27" s="3"/>
      <c r="W27" s="3">
        <v>40165.0</v>
      </c>
      <c r="X27" s="4">
        <f>311545</f>
        <v>311545</v>
      </c>
      <c r="Y27" s="13">
        <f>568813</f>
        <v>568813</v>
      </c>
      <c r="Z27" s="4"/>
      <c r="AA27" s="3"/>
      <c r="AB27" s="3"/>
      <c r="AC27" s="3"/>
    </row>
    <row r="28" ht="15.75" customHeight="1">
      <c r="B28" s="1" t="s">
        <v>61</v>
      </c>
      <c r="L28" s="3">
        <v>-26520.0</v>
      </c>
      <c r="M28" s="3">
        <f>-189002-L28</f>
        <v>-162482</v>
      </c>
      <c r="N28" s="3">
        <f>-302821-M28-L28</f>
        <v>-113819</v>
      </c>
      <c r="O28" s="3"/>
      <c r="P28" s="3"/>
      <c r="Q28" s="3"/>
      <c r="R28" s="4"/>
      <c r="U28" s="3"/>
      <c r="V28" s="2">
        <f>2492894</f>
        <v>2492894</v>
      </c>
      <c r="W28" s="3">
        <v>-1042129.0</v>
      </c>
      <c r="X28" s="3">
        <v>-1019292.0</v>
      </c>
      <c r="Y28" s="18">
        <v>0.0</v>
      </c>
      <c r="Z28" s="3"/>
    </row>
    <row r="29" ht="15.75" customHeight="1">
      <c r="B29" s="2" t="s">
        <v>62</v>
      </c>
      <c r="L29" s="4"/>
      <c r="M29" s="4"/>
      <c r="N29" s="4"/>
      <c r="O29" s="4"/>
      <c r="P29" s="4">
        <v>4008357.0</v>
      </c>
      <c r="Q29" s="4"/>
      <c r="R29" s="4"/>
      <c r="U29" s="4"/>
      <c r="V29" s="4"/>
      <c r="W29" s="3">
        <v>0.0</v>
      </c>
      <c r="X29" s="3">
        <v>0.0</v>
      </c>
      <c r="Y29" s="18">
        <v>0.0</v>
      </c>
      <c r="Z29" s="3"/>
      <c r="AA29" s="4"/>
      <c r="AB29" s="4"/>
      <c r="AC29" s="4"/>
    </row>
    <row r="30" ht="15.75" customHeight="1">
      <c r="B30" s="2" t="s">
        <v>63</v>
      </c>
      <c r="L30" s="4"/>
      <c r="M30" s="4"/>
      <c r="N30" s="4"/>
      <c r="O30" s="4"/>
      <c r="P30" s="4">
        <v>734143.0</v>
      </c>
      <c r="Q30" s="4"/>
      <c r="R30" s="4"/>
      <c r="U30" s="4"/>
      <c r="V30" s="4"/>
      <c r="W30" s="3">
        <v>0.0</v>
      </c>
      <c r="X30" s="3">
        <v>0.0</v>
      </c>
      <c r="Y30" s="18">
        <v>503625.0</v>
      </c>
      <c r="Z30" s="3"/>
      <c r="AA30" s="4"/>
      <c r="AB30" s="4"/>
      <c r="AC30" s="4"/>
    </row>
    <row r="31" ht="15.75" customHeight="1">
      <c r="B31" s="2" t="s">
        <v>64</v>
      </c>
      <c r="L31" s="4"/>
      <c r="M31" s="4"/>
      <c r="N31" s="4"/>
      <c r="O31" s="4"/>
      <c r="P31" s="4">
        <v>93050.0</v>
      </c>
      <c r="Q31" s="4"/>
      <c r="R31" s="4"/>
      <c r="U31" s="4"/>
      <c r="V31" s="4"/>
      <c r="W31" s="3">
        <v>0.0</v>
      </c>
      <c r="X31" s="3">
        <v>0.0</v>
      </c>
      <c r="Y31" s="18">
        <v>412999.0</v>
      </c>
      <c r="Z31" s="3" t="s">
        <v>65</v>
      </c>
      <c r="AA31" s="4"/>
      <c r="AB31" s="4"/>
      <c r="AC31" s="4"/>
    </row>
    <row r="32" ht="15.75" customHeight="1">
      <c r="B32" s="1" t="s">
        <v>66</v>
      </c>
      <c r="C32" s="4"/>
      <c r="D32" s="4"/>
      <c r="E32" s="4"/>
      <c r="F32" s="4"/>
      <c r="G32" s="4"/>
      <c r="H32" s="4"/>
      <c r="I32" s="4"/>
      <c r="J32" s="4"/>
      <c r="K32" s="4"/>
      <c r="Q32" s="2">
        <v>4230307.0</v>
      </c>
      <c r="R32" s="4"/>
      <c r="W32" s="1">
        <v>0.0</v>
      </c>
      <c r="X32" s="1">
        <v>0.0</v>
      </c>
      <c r="Y32" s="21">
        <v>0.0</v>
      </c>
      <c r="Z32" s="1"/>
    </row>
    <row r="33" ht="15.75" customHeight="1">
      <c r="B33" s="1" t="s">
        <v>47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U33" s="4"/>
      <c r="V33" s="3">
        <f>4630288</f>
        <v>4630288</v>
      </c>
      <c r="W33" s="3">
        <v>0.0</v>
      </c>
      <c r="X33" s="4">
        <f>38638+2826918</f>
        <v>2865556</v>
      </c>
      <c r="Y33" s="13">
        <f>-9642427+11353875</f>
        <v>1711448</v>
      </c>
      <c r="Z33" s="4"/>
      <c r="AA33" s="3"/>
      <c r="AB33" s="3"/>
      <c r="AC33" s="3"/>
    </row>
    <row r="34" ht="15.75" customHeight="1">
      <c r="B34" s="2" t="s">
        <v>67</v>
      </c>
      <c r="C34" s="4"/>
      <c r="D34" s="4"/>
      <c r="E34" s="4"/>
      <c r="F34" s="4"/>
      <c r="G34" s="4"/>
      <c r="H34" s="4"/>
      <c r="I34" s="4"/>
      <c r="J34" s="4"/>
      <c r="K34" s="4"/>
      <c r="L34" s="4">
        <f>-780-455871-1756973-458-110863-569876+40436</f>
        <v>-2854385</v>
      </c>
      <c r="M34" s="4">
        <f>(-2269192-335125-1576157-1115-94181+225801+236807)-L34</f>
        <v>-958777</v>
      </c>
      <c r="N34" s="4">
        <f>(-4371862-172697-1534558-2210-103690+889324+528759)-M34-L34</f>
        <v>-953772</v>
      </c>
      <c r="O34" s="4"/>
      <c r="P34" s="4">
        <f>3679315-2455697+1369374-662-3900+501146+222749</f>
        <v>3312325</v>
      </c>
      <c r="Q34" s="4">
        <f>(3394692-3860393+999423-7913-29035+9887+94412)-P34</f>
        <v>-2711252</v>
      </c>
      <c r="R34" s="4"/>
      <c r="U34" s="4">
        <f>+48761+124979+38419+68068+36225</f>
        <v>316452</v>
      </c>
      <c r="V34" s="4">
        <f>-72534-60042-291646-17517+13818+616866</f>
        <v>188945</v>
      </c>
      <c r="W34" s="4">
        <f>-74317-2229487-3634604+24300+328841-1173472-336162</f>
        <v>-7094901</v>
      </c>
      <c r="X34" s="4">
        <f>-285463-8090657-978289+23387-37256+980675-489152</f>
        <v>-8876755</v>
      </c>
      <c r="Y34" s="13">
        <f>-3641228+913336-2688264-4180-102047+187872+661695</f>
        <v>-4672816</v>
      </c>
      <c r="Z34" s="4"/>
      <c r="AA34" s="4"/>
      <c r="AB34" s="4"/>
      <c r="AC34" s="4"/>
    </row>
    <row r="35" ht="15.75" customHeight="1">
      <c r="B35" s="2" t="s">
        <v>68</v>
      </c>
      <c r="C35" s="4"/>
      <c r="D35" s="4"/>
      <c r="E35" s="4"/>
      <c r="F35" s="4"/>
      <c r="G35" s="4"/>
      <c r="H35" s="4"/>
      <c r="I35" s="4"/>
      <c r="J35" s="4"/>
      <c r="K35" s="4"/>
      <c r="L35" s="4">
        <f t="shared" ref="L35:N35" si="15">SUM(L23:L34)</f>
        <v>-6926069</v>
      </c>
      <c r="M35" s="4">
        <f t="shared" si="15"/>
        <v>-4314290</v>
      </c>
      <c r="N35" s="4">
        <f t="shared" si="15"/>
        <v>-4114575</v>
      </c>
      <c r="O35" s="4"/>
      <c r="P35" s="4">
        <f t="shared" ref="P35:Q35" si="16">SUM(P23:P34)</f>
        <v>-2348412</v>
      </c>
      <c r="Q35" s="4">
        <f t="shared" si="16"/>
        <v>-10139301</v>
      </c>
      <c r="R35" s="4"/>
      <c r="U35" s="4">
        <f t="shared" ref="U35:Y35" si="17">SUM(U23:U34)</f>
        <v>-811584</v>
      </c>
      <c r="V35" s="4">
        <f t="shared" si="17"/>
        <v>-1399001</v>
      </c>
      <c r="W35" s="4">
        <f t="shared" si="17"/>
        <v>-16019320</v>
      </c>
      <c r="X35" s="4">
        <f t="shared" si="17"/>
        <v>-29199420</v>
      </c>
      <c r="Y35" s="13">
        <f t="shared" si="17"/>
        <v>-17687063</v>
      </c>
      <c r="Z35" s="4"/>
      <c r="AA35" s="4"/>
      <c r="AB35" s="4"/>
      <c r="AC35" s="4"/>
    </row>
    <row r="36" ht="15.75" customHeight="1">
      <c r="Y36" s="11"/>
    </row>
    <row r="37" ht="15.75" customHeight="1">
      <c r="B37" s="2" t="s">
        <v>68</v>
      </c>
      <c r="C37" s="4"/>
      <c r="D37" s="4"/>
      <c r="E37" s="4"/>
      <c r="F37" s="4"/>
      <c r="G37" s="4"/>
      <c r="H37" s="4"/>
      <c r="I37" s="4"/>
      <c r="J37" s="4"/>
      <c r="K37" s="4"/>
      <c r="L37" s="4">
        <v>-6926069.0</v>
      </c>
      <c r="M37" s="4">
        <f>-11240359-L37</f>
        <v>-4314290</v>
      </c>
      <c r="N37" s="3">
        <f>-15354934-M37-L37</f>
        <v>-4114575</v>
      </c>
      <c r="O37" s="4"/>
      <c r="P37" s="4">
        <v>-2348412.0</v>
      </c>
      <c r="Q37" s="3">
        <f>-12487713-P37</f>
        <v>-10139301</v>
      </c>
      <c r="R37" s="4"/>
      <c r="U37" s="3">
        <f>-811584</f>
        <v>-811584</v>
      </c>
      <c r="V37" s="3">
        <f>-1399001</f>
        <v>-1399001</v>
      </c>
      <c r="W37" s="3">
        <f>-16019320</f>
        <v>-16019320</v>
      </c>
      <c r="X37" s="3">
        <f>-29199420</f>
        <v>-29199420</v>
      </c>
      <c r="Y37" s="18">
        <f>-17687063</f>
        <v>-17687063</v>
      </c>
      <c r="Z37" s="3"/>
      <c r="AA37" s="3"/>
      <c r="AB37" s="3"/>
      <c r="AC37" s="3"/>
    </row>
    <row r="38" ht="15.75" customHeight="1">
      <c r="B38" s="2" t="s">
        <v>69</v>
      </c>
      <c r="C38" s="4"/>
      <c r="D38" s="4"/>
      <c r="E38" s="4"/>
      <c r="F38" s="4"/>
      <c r="G38" s="4"/>
      <c r="H38" s="4"/>
      <c r="I38" s="4"/>
      <c r="J38" s="4"/>
      <c r="K38" s="4"/>
      <c r="L38" s="4">
        <v>-5054.0</v>
      </c>
      <c r="M38" s="4">
        <f>-139860-L38</f>
        <v>-134806</v>
      </c>
      <c r="N38" s="4">
        <f>-184532-M38-L38</f>
        <v>-44672</v>
      </c>
      <c r="O38" s="4"/>
      <c r="P38" s="4">
        <v>-99957.0</v>
      </c>
      <c r="Q38" s="3">
        <f>123793-P38</f>
        <v>223750</v>
      </c>
      <c r="R38" s="4"/>
      <c r="U38" s="3">
        <v>46327.0</v>
      </c>
      <c r="V38" s="3">
        <v>-48368.0</v>
      </c>
      <c r="W38" s="3">
        <v>-363689.0</v>
      </c>
      <c r="X38" s="3">
        <v>-2450213.0</v>
      </c>
      <c r="Y38" s="18">
        <v>-259139.0</v>
      </c>
      <c r="Z38" s="3"/>
      <c r="AA38" s="3"/>
      <c r="AB38" s="3"/>
      <c r="AC38" s="3"/>
    </row>
    <row r="39" ht="15.75" customHeight="1">
      <c r="B39" s="2" t="s">
        <v>70</v>
      </c>
      <c r="C39" s="4"/>
      <c r="D39" s="4"/>
      <c r="E39" s="4"/>
      <c r="F39" s="4"/>
      <c r="G39" s="4"/>
      <c r="H39" s="4"/>
      <c r="I39" s="4"/>
      <c r="J39" s="4"/>
      <c r="K39" s="4"/>
      <c r="L39" s="4">
        <f t="shared" ref="L39:N39" si="18">+L37+L38</f>
        <v>-6931123</v>
      </c>
      <c r="M39" s="4">
        <f t="shared" si="18"/>
        <v>-4449096</v>
      </c>
      <c r="N39" s="4">
        <f t="shared" si="18"/>
        <v>-4159247</v>
      </c>
      <c r="O39" s="4"/>
      <c r="P39" s="4">
        <f t="shared" ref="P39:Q39" si="19">+P37+P38</f>
        <v>-2448369</v>
      </c>
      <c r="Q39" s="4">
        <f t="shared" si="19"/>
        <v>-9915551</v>
      </c>
      <c r="R39" s="4"/>
      <c r="U39" s="4">
        <f t="shared" ref="U39:Y39" si="20">U37+U38</f>
        <v>-765257</v>
      </c>
      <c r="V39" s="4">
        <f t="shared" si="20"/>
        <v>-1447369</v>
      </c>
      <c r="W39" s="4">
        <f t="shared" si="20"/>
        <v>-16383009</v>
      </c>
      <c r="X39" s="4">
        <f t="shared" si="20"/>
        <v>-31649633</v>
      </c>
      <c r="Y39" s="13">
        <f t="shared" si="20"/>
        <v>-17946202</v>
      </c>
      <c r="Z39" s="4"/>
      <c r="AA39" s="4"/>
      <c r="AB39" s="4"/>
      <c r="AC39" s="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