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44455\OneDrive - Eastman Chemical Company\Desktop\personal\"/>
    </mc:Choice>
  </mc:AlternateContent>
  <bookViews>
    <workbookView xWindow="14400" yWindow="0" windowWidth="14400" windowHeight="15600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K9" i="2"/>
  <c r="H46" i="2"/>
  <c r="I46" i="2"/>
  <c r="L46" i="2"/>
  <c r="M46" i="2"/>
  <c r="M47" i="2"/>
  <c r="M9" i="2"/>
  <c r="M39" i="2"/>
  <c r="I39" i="2"/>
  <c r="I35" i="2"/>
  <c r="I33" i="2"/>
  <c r="I14" i="2"/>
  <c r="I15" i="2"/>
  <c r="I21" i="2"/>
  <c r="M35" i="2"/>
  <c r="M33" i="2"/>
  <c r="M32" i="2"/>
  <c r="M19" i="2"/>
  <c r="M21" i="2" s="1"/>
  <c r="M15" i="2"/>
  <c r="M12" i="2"/>
  <c r="M14" i="2" s="1"/>
  <c r="M16" i="2" s="1"/>
  <c r="I40" i="2" l="1"/>
  <c r="I43" i="2" s="1"/>
  <c r="M40" i="2"/>
  <c r="M43" i="2" s="1"/>
  <c r="M45" i="2"/>
  <c r="I16" i="2"/>
  <c r="M22" i="2"/>
  <c r="M24" i="2" s="1"/>
  <c r="T39" i="2"/>
  <c r="T35" i="2"/>
  <c r="T33" i="2"/>
  <c r="T32" i="2"/>
  <c r="U39" i="2"/>
  <c r="U35" i="2"/>
  <c r="U33" i="2"/>
  <c r="U32" i="2"/>
  <c r="V39" i="2"/>
  <c r="V40" i="2" s="1"/>
  <c r="V43" i="2" s="1"/>
  <c r="V35" i="2"/>
  <c r="V32" i="2"/>
  <c r="V33" i="2"/>
  <c r="T15" i="2"/>
  <c r="T21" i="2"/>
  <c r="T14" i="2"/>
  <c r="T16" i="2" s="1"/>
  <c r="T47" i="2" s="1"/>
  <c r="U15" i="2"/>
  <c r="U21" i="2"/>
  <c r="U14" i="2"/>
  <c r="U45" i="2" l="1"/>
  <c r="M25" i="2"/>
  <c r="M28" i="2"/>
  <c r="I22" i="2"/>
  <c r="I24" i="2" s="1"/>
  <c r="I47" i="2"/>
  <c r="T22" i="2"/>
  <c r="T24" i="2" s="1"/>
  <c r="T28" i="2" s="1"/>
  <c r="T40" i="2"/>
  <c r="T43" i="2" s="1"/>
  <c r="U40" i="2"/>
  <c r="U43" i="2" s="1"/>
  <c r="T25" i="2"/>
  <c r="U16" i="2"/>
  <c r="V21" i="2"/>
  <c r="L21" i="2"/>
  <c r="V15" i="2"/>
  <c r="V14" i="2"/>
  <c r="V45" i="2" s="1"/>
  <c r="G39" i="2"/>
  <c r="G40" i="2" s="1"/>
  <c r="G35" i="2"/>
  <c r="G33" i="2"/>
  <c r="K39" i="2"/>
  <c r="K35" i="2"/>
  <c r="K33" i="2"/>
  <c r="K40" i="2" s="1"/>
  <c r="K43" i="2" s="1"/>
  <c r="S2" i="2"/>
  <c r="T2" i="2" s="1"/>
  <c r="U2" i="2" s="1"/>
  <c r="V2" i="2" s="1"/>
  <c r="W2" i="2" s="1"/>
  <c r="I25" i="2" l="1"/>
  <c r="I28" i="2"/>
  <c r="V16" i="2"/>
  <c r="U22" i="2"/>
  <c r="U24" i="2" s="1"/>
  <c r="U47" i="2"/>
  <c r="G43" i="2"/>
  <c r="H39" i="2"/>
  <c r="H35" i="2"/>
  <c r="H33" i="2"/>
  <c r="H40" i="2" s="1"/>
  <c r="H43" i="2" s="1"/>
  <c r="L39" i="2"/>
  <c r="L35" i="2"/>
  <c r="L33" i="2"/>
  <c r="L40" i="2" s="1"/>
  <c r="L43" i="2" s="1"/>
  <c r="K26" i="2"/>
  <c r="G26" i="2"/>
  <c r="G21" i="2"/>
  <c r="G15" i="2"/>
  <c r="G14" i="2"/>
  <c r="G16" i="2" s="1"/>
  <c r="K15" i="2"/>
  <c r="K14" i="2"/>
  <c r="K21" i="2"/>
  <c r="H15" i="2"/>
  <c r="H21" i="2"/>
  <c r="H14" i="2"/>
  <c r="L15" i="2"/>
  <c r="L14" i="2"/>
  <c r="K7" i="1"/>
  <c r="V22" i="2" l="1"/>
  <c r="V24" i="2" s="1"/>
  <c r="V47" i="2"/>
  <c r="G22" i="2"/>
  <c r="G47" i="2"/>
  <c r="L45" i="2"/>
  <c r="L16" i="2"/>
  <c r="U25" i="2"/>
  <c r="U28" i="2"/>
  <c r="K16" i="2"/>
  <c r="K47" i="2" s="1"/>
  <c r="K45" i="2"/>
  <c r="K22" i="2"/>
  <c r="K24" i="2" s="1"/>
  <c r="H16" i="2"/>
  <c r="H47" i="2" s="1"/>
  <c r="K5" i="1"/>
  <c r="K8" i="1" s="1"/>
  <c r="V25" i="2" l="1"/>
  <c r="V28" i="2"/>
  <c r="G24" i="2"/>
  <c r="G25" i="2" s="1"/>
  <c r="L22" i="2"/>
  <c r="L24" i="2" s="1"/>
  <c r="L47" i="2"/>
  <c r="K28" i="2"/>
  <c r="K25" i="2"/>
  <c r="H22" i="2"/>
  <c r="H24" i="2" s="1"/>
  <c r="G28" i="2" l="1"/>
  <c r="H25" i="2"/>
  <c r="H28" i="2"/>
  <c r="L28" i="2"/>
  <c r="L25" i="2" l="1"/>
</calcChain>
</file>

<file path=xl/sharedStrings.xml><?xml version="1.0" encoding="utf-8"?>
<sst xmlns="http://schemas.openxmlformats.org/spreadsheetml/2006/main" count="74" uniqueCount="66">
  <si>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</si>
  <si>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</si>
  <si>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</si>
  <si>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</si>
  <si>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</si>
  <si>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</si>
  <si>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</si>
  <si>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</si>
  <si>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</si>
  <si>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</si>
  <si>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</si>
  <si>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</si>
  <si>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</si>
  <si>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</si>
  <si>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Gross Profit</t>
  </si>
  <si>
    <t>COGS</t>
  </si>
  <si>
    <t>G&amp;A</t>
  </si>
  <si>
    <t>Operating Expenses</t>
  </si>
  <si>
    <t>Operating Income</t>
  </si>
  <si>
    <t>Taxes</t>
  </si>
  <si>
    <t>Net Income</t>
  </si>
  <si>
    <t>EPS</t>
  </si>
  <si>
    <t>Revenue y/y</t>
  </si>
  <si>
    <t>Gross Margin</t>
  </si>
  <si>
    <t>CFFO</t>
  </si>
  <si>
    <t>Capex</t>
  </si>
  <si>
    <t>FCF</t>
  </si>
  <si>
    <t>Q422</t>
  </si>
  <si>
    <t>Q322</t>
  </si>
  <si>
    <t>Q222</t>
  </si>
  <si>
    <t>Q122</t>
  </si>
  <si>
    <t>R&amp;D</t>
  </si>
  <si>
    <t>Other Expense</t>
  </si>
  <si>
    <t>Interest Expense</t>
  </si>
  <si>
    <t>Industrial Automation</t>
  </si>
  <si>
    <t>Productivity Solutions &amp; Services</t>
  </si>
  <si>
    <t>Warehouse &amp; Workflow Sol.</t>
  </si>
  <si>
    <t>Process Sol.</t>
  </si>
  <si>
    <t>Sensing &amp; Safety Tech</t>
  </si>
  <si>
    <t>Aerospace Technologies</t>
  </si>
  <si>
    <t>Commercial Aviation Equipment</t>
  </si>
  <si>
    <t>Commercial Aviation Aftermarket</t>
  </si>
  <si>
    <t>Defense &amp; Space</t>
  </si>
  <si>
    <t>Building Automation</t>
  </si>
  <si>
    <t>Products</t>
  </si>
  <si>
    <t>Building Sol.</t>
  </si>
  <si>
    <t>Energy &amp; Sustainability</t>
  </si>
  <si>
    <t>UOP</t>
  </si>
  <si>
    <t>Advanced Materials</t>
  </si>
  <si>
    <t>Corporate &amp; Other</t>
  </si>
  <si>
    <t>Model NI</t>
  </si>
  <si>
    <t>Reported NI</t>
  </si>
  <si>
    <t>Depreciation</t>
  </si>
  <si>
    <t>SBC</t>
  </si>
  <si>
    <t xml:space="preserve">Repositioning </t>
  </si>
  <si>
    <t>Amoprtization</t>
  </si>
  <si>
    <t>WC</t>
  </si>
  <si>
    <t>NARCO</t>
  </si>
  <si>
    <t>Pension</t>
  </si>
  <si>
    <t>Deferred Income tax</t>
  </si>
  <si>
    <t>Other</t>
  </si>
  <si>
    <t>Product Sales</t>
  </si>
  <si>
    <t>Service Sales</t>
  </si>
  <si>
    <t>Q324</t>
  </si>
  <si>
    <t>Aerospace Tech y/y</t>
  </si>
  <si>
    <t>Profit  Margin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</si>
</sst>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9" fontId="3" fillId="0" borderId="0" xfId="1" applyFont="1"/>
    <xf numFmtId="0" fontId="0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2</xdr:row>
      <xdr:rowOff>6446</xdr:rowOff>
    </xdr:from>
    <xdr:to>
      <xdr:col>17</xdr:col>
      <xdr:colOff>19050</xdr:colOff>
      <xdr:row>4</xdr:row>
      <xdr:rowOff>3080</xdr:rowOff>
    </xdr:to>
    <xdr:pic>
      <xdr:nvPicPr>
        <xdr:cNvPr id="2" name="Picture 1" descr="x2_c93457a01a0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387446"/>
          <a:ext cx="1828800" cy="37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16565</xdr:rowOff>
    </xdr:from>
    <xdr:to>
      <xdr:col>12</xdr:col>
      <xdr:colOff>0</xdr:colOff>
      <xdr:row>46</xdr:row>
      <xdr:rowOff>157370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A63ADF2-606D-CC97-25E7-95DDD3998914}"/>
            </a:ext>
          </a:extLst>
        </xdr:cNvPr>
        <xdr:cNvCxnSpPr/>
      </xdr:nvCxnSpPr>
      <xdr:spPr>
        <a:xfrm>
          <a:off x="10229022" y="182217"/>
          <a:ext cx="0" cy="693254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M13" sqref="M13"/>
    </sheetView>
  </sheetViews>
  <sheetFormatPr defaultRowHeight="15" x14ac:dyDescent="0.25"/>
  <cols>
    <col min="2" max="2" width="30.7109375" bestFit="1" customWidth="1"/>
    <col min="11" max="11" width="13.85546875" bestFit="1" customWidth="1"/>
  </cols>
  <sheetData>
    <row r="2" spans="2:12" x14ac:dyDescent="0.25">
      <c r="B2" s="1" t="s">
        <v>39</v>
      </c>
    </row>
    <row r="3" spans="2:12" x14ac:dyDescent="0.25">
      <c r="B3" s="3" t="s">
        <v>40</v>
      </c>
      <c r="J3" s="1" t="s">
        <v>0</v>
      </c>
      <c r="K3">
        <v>222</v>
      </c>
    </row>
    <row r="4" spans="2:12" x14ac:dyDescent="0.25">
      <c r="B4" s="3" t="s">
        <v>41</v>
      </c>
      <c r="J4" t="s">
        <v>1</v>
      </c>
      <c r="K4" s="2">
        <v>649.6712</v>
      </c>
      <c r="L4" s="3" t="s">
        <v>6</v>
      </c>
    </row>
    <row r="5" spans="2:12" x14ac:dyDescent="0.25">
      <c r="B5" s="3" t="s">
        <v>42</v>
      </c>
      <c r="J5" t="s">
        <v>2</v>
      </c>
      <c r="K5" s="2">
        <f>+K4*K3</f>
        <v>144227.00640000001</v>
      </c>
    </row>
    <row r="6" spans="2:12" x14ac:dyDescent="0.25">
      <c r="J6" t="s">
        <v>3</v>
      </c>
      <c r="K6" s="2">
        <v>9576</v>
      </c>
      <c r="L6" s="3" t="s">
        <v>6</v>
      </c>
    </row>
    <row r="7" spans="2:12" x14ac:dyDescent="0.25">
      <c r="B7" s="1" t="s">
        <v>34</v>
      </c>
      <c r="J7" t="s">
        <v>4</v>
      </c>
      <c r="K7" s="2">
        <f>20865+7507</f>
        <v>28372</v>
      </c>
      <c r="L7" s="3" t="s">
        <v>6</v>
      </c>
    </row>
    <row r="8" spans="2:12" x14ac:dyDescent="0.25">
      <c r="B8" s="3" t="s">
        <v>38</v>
      </c>
      <c r="J8" t="s">
        <v>5</v>
      </c>
      <c r="K8" s="2">
        <f>+K5-K6+K7</f>
        <v>163023.00640000001</v>
      </c>
    </row>
    <row r="9" spans="2:12" x14ac:dyDescent="0.25">
      <c r="B9" s="3" t="s">
        <v>35</v>
      </c>
    </row>
    <row r="10" spans="2:12" x14ac:dyDescent="0.25">
      <c r="B10" s="3" t="s">
        <v>37</v>
      </c>
    </row>
    <row r="11" spans="2:12" x14ac:dyDescent="0.25">
      <c r="B11" s="3" t="s">
        <v>36</v>
      </c>
    </row>
    <row r="13" spans="2:12" x14ac:dyDescent="0.25">
      <c r="B13" s="1" t="s">
        <v>43</v>
      </c>
    </row>
    <row r="14" spans="2:12" x14ac:dyDescent="0.25">
      <c r="B14" s="8" t="s">
        <v>44</v>
      </c>
    </row>
    <row r="15" spans="2:12" x14ac:dyDescent="0.25">
      <c r="B15" s="8" t="s">
        <v>45</v>
      </c>
    </row>
    <row r="17" spans="2:2" x14ac:dyDescent="0.25">
      <c r="B17" s="1" t="s">
        <v>46</v>
      </c>
    </row>
    <row r="18" spans="2:2" x14ac:dyDescent="0.25">
      <c r="B18" s="3" t="s">
        <v>47</v>
      </c>
    </row>
    <row r="19" spans="2:2" x14ac:dyDescent="0.25">
      <c r="B19" s="3" t="s">
        <v>48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P9" sqref="P9"/>
    </sheetView>
  </sheetViews>
  <sheetFormatPr defaultRowHeight="12.75" x14ac:dyDescent="0.2"/>
  <cols>
    <col min="1" max="1" width="9.140625" style="4"/>
    <col min="2" max="2" width="21.7109375" style="4" bestFit="1" customWidth="1"/>
    <col min="3" max="6" width="18.140625" style="4" customWidth="1"/>
    <col min="7" max="12" width="8.28515625" style="4" customWidth="1"/>
    <col min="13" max="16384" width="9.140625" style="4"/>
  </cols>
  <sheetData>
    <row r="1" spans="1:23" x14ac:dyDescent="0.2">
      <c r="A1" s="4" t="s">
        <v>7</v>
      </c>
    </row>
    <row r="2" spans="1:23" x14ac:dyDescent="0.2">
      <c r="C2" s="4" t="s">
        <v>30</v>
      </c>
      <c r="D2" s="4" t="s">
        <v>29</v>
      </c>
      <c r="E2" s="4" t="s">
        <v>28</v>
      </c>
      <c r="F2" s="4" t="s">
        <v>27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63</v>
      </c>
      <c r="R2" s="4">
        <v>2019</v>
      </c>
      <c r="S2" s="4">
        <f>R2+1</f>
        <v>2020</v>
      </c>
      <c r="T2" s="4">
        <f t="shared" ref="T2:W2" si="0">S2+1</f>
        <v>2021</v>
      </c>
      <c r="U2" s="4">
        <f t="shared" si="0"/>
        <v>2022</v>
      </c>
      <c r="V2" s="4">
        <f t="shared" si="0"/>
        <v>2023</v>
      </c>
      <c r="W2" s="4">
        <f t="shared" si="0"/>
        <v>2024</v>
      </c>
    </row>
    <row r="3" spans="1:23" x14ac:dyDescent="0.2">
      <c r="B3" s="4" t="s">
        <v>39</v>
      </c>
      <c r="C3" s="6"/>
      <c r="D3" s="6"/>
      <c r="E3" s="6"/>
      <c r="F3" s="6"/>
      <c r="G3" s="6">
        <v>3111</v>
      </c>
      <c r="H3" s="6">
        <v>3341</v>
      </c>
      <c r="I3" s="6">
        <v>3499</v>
      </c>
      <c r="J3" s="6"/>
      <c r="K3" s="6">
        <v>3669</v>
      </c>
      <c r="L3" s="6">
        <v>3891</v>
      </c>
      <c r="M3" s="4">
        <v>3912</v>
      </c>
    </row>
    <row r="4" spans="1:23" x14ac:dyDescent="0.2">
      <c r="B4" s="4" t="s">
        <v>34</v>
      </c>
      <c r="C4" s="6"/>
      <c r="D4" s="6"/>
      <c r="E4" s="6"/>
      <c r="F4" s="6"/>
      <c r="G4" s="6">
        <v>2803</v>
      </c>
      <c r="H4" s="6">
        <v>2727</v>
      </c>
      <c r="I4" s="6">
        <v>2630</v>
      </c>
      <c r="J4" s="6"/>
      <c r="K4" s="6">
        <v>2478</v>
      </c>
      <c r="L4" s="6">
        <v>2506</v>
      </c>
      <c r="M4" s="4">
        <v>2501</v>
      </c>
    </row>
    <row r="5" spans="1:23" x14ac:dyDescent="0.2">
      <c r="B5" s="4" t="s">
        <v>43</v>
      </c>
      <c r="G5" s="6">
        <v>1487</v>
      </c>
      <c r="H5" s="6">
        <v>1510</v>
      </c>
      <c r="I5" s="6">
        <v>1530</v>
      </c>
      <c r="J5" s="6"/>
      <c r="K5" s="6">
        <v>1426</v>
      </c>
      <c r="L5" s="6">
        <v>1571</v>
      </c>
      <c r="M5" s="4">
        <v>1745</v>
      </c>
    </row>
    <row r="6" spans="1:23" x14ac:dyDescent="0.2">
      <c r="B6" s="4" t="s">
        <v>46</v>
      </c>
      <c r="G6" s="6">
        <v>1461</v>
      </c>
      <c r="H6" s="6">
        <v>1604</v>
      </c>
      <c r="I6" s="6">
        <v>1551</v>
      </c>
      <c r="J6" s="6"/>
      <c r="K6" s="6">
        <v>1525</v>
      </c>
      <c r="L6" s="6">
        <v>1604</v>
      </c>
      <c r="M6" s="4">
        <v>1563</v>
      </c>
    </row>
    <row r="7" spans="1:23" x14ac:dyDescent="0.2">
      <c r="B7" s="4" t="s">
        <v>49</v>
      </c>
      <c r="G7" s="6">
        <v>2</v>
      </c>
      <c r="H7" s="6">
        <v>1</v>
      </c>
      <c r="I7" s="6">
        <v>2</v>
      </c>
      <c r="J7" s="6"/>
      <c r="K7" s="6">
        <v>7</v>
      </c>
      <c r="L7" s="6">
        <v>5</v>
      </c>
      <c r="M7" s="4">
        <v>7</v>
      </c>
    </row>
    <row r="8" spans="1:23" x14ac:dyDescent="0.2">
      <c r="G8" s="6"/>
      <c r="H8" s="6"/>
      <c r="I8" s="6"/>
      <c r="J8" s="6"/>
      <c r="K8" s="6"/>
      <c r="L8" s="6"/>
    </row>
    <row r="9" spans="1:23" x14ac:dyDescent="0.2">
      <c r="B9" s="4" t="s">
        <v>64</v>
      </c>
      <c r="G9" s="6"/>
      <c r="H9" s="11"/>
      <c r="I9" s="11"/>
      <c r="J9" s="6"/>
      <c r="K9" s="11">
        <f>+K3/G3-1</f>
        <v>0.17936354869816773</v>
      </c>
      <c r="L9" s="11">
        <f>+L3/H3-1</f>
        <v>0.16462137084705186</v>
      </c>
      <c r="M9" s="11">
        <f>+M3/I3-1</f>
        <v>0.11803372392112021</v>
      </c>
    </row>
    <row r="12" spans="1:23" x14ac:dyDescent="0.2">
      <c r="B12" s="4" t="s">
        <v>61</v>
      </c>
      <c r="I12" s="6">
        <v>6294</v>
      </c>
      <c r="M12" s="6">
        <f>6590</f>
        <v>6590</v>
      </c>
      <c r="T12" s="6">
        <v>25643</v>
      </c>
      <c r="U12" s="6">
        <v>25960</v>
      </c>
      <c r="V12" s="6">
        <v>25773</v>
      </c>
    </row>
    <row r="13" spans="1:23" x14ac:dyDescent="0.2">
      <c r="B13" s="4" t="s">
        <v>62</v>
      </c>
      <c r="I13" s="6">
        <v>2918</v>
      </c>
      <c r="M13" s="6">
        <v>3138</v>
      </c>
      <c r="T13" s="6">
        <v>8749</v>
      </c>
      <c r="U13" s="6">
        <v>9506</v>
      </c>
      <c r="V13" s="6">
        <v>10889</v>
      </c>
    </row>
    <row r="14" spans="1:23" x14ac:dyDescent="0.2">
      <c r="B14" s="9" t="s">
        <v>8</v>
      </c>
      <c r="F14" s="6"/>
      <c r="G14" s="6">
        <f>6310+2554</f>
        <v>8864</v>
      </c>
      <c r="H14" s="6">
        <f>6441+2705</f>
        <v>9146</v>
      </c>
      <c r="I14" s="6">
        <f>+I13+I12</f>
        <v>9212</v>
      </c>
      <c r="J14" s="6"/>
      <c r="K14" s="6">
        <f>6263+2842</f>
        <v>9105</v>
      </c>
      <c r="L14" s="6">
        <f>6477+3100</f>
        <v>9577</v>
      </c>
      <c r="M14" s="6">
        <f>+M13+M12</f>
        <v>9728</v>
      </c>
      <c r="T14" s="6">
        <f>+T12+T13</f>
        <v>34392</v>
      </c>
      <c r="U14" s="6">
        <f>+U12+U13</f>
        <v>35466</v>
      </c>
      <c r="V14" s="6">
        <f>+V12+V13</f>
        <v>36662</v>
      </c>
    </row>
    <row r="15" spans="1:23" x14ac:dyDescent="0.2">
      <c r="B15" s="4" t="s">
        <v>15</v>
      </c>
      <c r="F15" s="6"/>
      <c r="G15" s="6">
        <f>4068+1430</f>
        <v>5498</v>
      </c>
      <c r="H15" s="6">
        <f>4133+1493</f>
        <v>5626</v>
      </c>
      <c r="I15" s="6">
        <f>4090+1580</f>
        <v>5670</v>
      </c>
      <c r="J15" s="6"/>
      <c r="K15" s="6">
        <f>4035+1548</f>
        <v>5583</v>
      </c>
      <c r="L15" s="6">
        <f>4247+1609</f>
        <v>5856</v>
      </c>
      <c r="M15" s="6">
        <f>4166+1813</f>
        <v>5979</v>
      </c>
      <c r="T15" s="6">
        <f>17082+4979</f>
        <v>22061</v>
      </c>
      <c r="U15" s="6">
        <f>16955+5392</f>
        <v>22347</v>
      </c>
      <c r="V15" s="6">
        <f>16977+6018</f>
        <v>22995</v>
      </c>
    </row>
    <row r="16" spans="1:23" x14ac:dyDescent="0.2">
      <c r="B16" s="4" t="s">
        <v>14</v>
      </c>
      <c r="F16" s="6"/>
      <c r="G16" s="6">
        <f>+G14-G15</f>
        <v>3366</v>
      </c>
      <c r="H16" s="6">
        <f>+H14-H15</f>
        <v>3520</v>
      </c>
      <c r="I16" s="6">
        <f>+I14-I15</f>
        <v>3542</v>
      </c>
      <c r="J16" s="6"/>
      <c r="K16" s="6">
        <f>+K14-K15</f>
        <v>3522</v>
      </c>
      <c r="L16" s="6">
        <f>+L14-L15</f>
        <v>3721</v>
      </c>
      <c r="M16" s="6">
        <f>+M14-M15</f>
        <v>3749</v>
      </c>
      <c r="T16" s="6">
        <f>+T14-T15</f>
        <v>12331</v>
      </c>
      <c r="U16" s="6">
        <f>+U14-U15</f>
        <v>13119</v>
      </c>
      <c r="V16" s="6">
        <f>+V14-V15</f>
        <v>13667</v>
      </c>
    </row>
    <row r="17" spans="2:22" x14ac:dyDescent="0.2">
      <c r="B17" s="4" t="s">
        <v>31</v>
      </c>
      <c r="F17" s="6"/>
      <c r="G17" s="6">
        <v>357</v>
      </c>
      <c r="H17" s="6">
        <v>375</v>
      </c>
      <c r="I17" s="6">
        <v>364</v>
      </c>
      <c r="J17" s="6"/>
      <c r="K17" s="6">
        <v>360</v>
      </c>
      <c r="L17" s="6">
        <v>382</v>
      </c>
      <c r="M17" s="6">
        <v>368</v>
      </c>
      <c r="T17" s="6">
        <v>1333</v>
      </c>
      <c r="U17" s="6">
        <v>1478</v>
      </c>
      <c r="V17" s="6">
        <v>1456</v>
      </c>
    </row>
    <row r="18" spans="2:22" x14ac:dyDescent="0.2">
      <c r="B18" s="4" t="s">
        <v>16</v>
      </c>
      <c r="F18" s="6"/>
      <c r="G18" s="6">
        <v>1317</v>
      </c>
      <c r="H18" s="6">
        <v>1262</v>
      </c>
      <c r="I18" s="6">
        <v>1252</v>
      </c>
      <c r="J18" s="6"/>
      <c r="K18" s="6">
        <v>1302</v>
      </c>
      <c r="L18" s="6">
        <v>1361</v>
      </c>
      <c r="M18" s="6">
        <v>1398</v>
      </c>
      <c r="T18" s="6">
        <v>4798</v>
      </c>
      <c r="U18" s="6">
        <v>5214</v>
      </c>
      <c r="V18" s="6">
        <v>5127</v>
      </c>
    </row>
    <row r="19" spans="2:22" x14ac:dyDescent="0.2">
      <c r="B19" s="4" t="s">
        <v>32</v>
      </c>
      <c r="F19" s="6"/>
      <c r="G19" s="6">
        <v>-260</v>
      </c>
      <c r="H19" s="6">
        <v>-208</v>
      </c>
      <c r="I19" s="6">
        <v>-247</v>
      </c>
      <c r="J19" s="6"/>
      <c r="K19" s="6">
        <v>-231</v>
      </c>
      <c r="L19" s="6">
        <v>-246</v>
      </c>
      <c r="M19" s="6">
        <f>125-263</f>
        <v>-138</v>
      </c>
      <c r="T19" s="6">
        <v>-1378</v>
      </c>
      <c r="U19" s="6">
        <v>-366</v>
      </c>
      <c r="V19" s="6">
        <v>-840</v>
      </c>
    </row>
    <row r="20" spans="2:22" x14ac:dyDescent="0.2">
      <c r="B20" s="4" t="s">
        <v>33</v>
      </c>
      <c r="F20" s="6"/>
      <c r="G20" s="6">
        <v>170</v>
      </c>
      <c r="H20" s="6">
        <v>187</v>
      </c>
      <c r="I20" s="6">
        <v>206</v>
      </c>
      <c r="J20" s="6"/>
      <c r="K20" s="6">
        <v>220</v>
      </c>
      <c r="L20" s="6">
        <v>250</v>
      </c>
      <c r="M20" s="6">
        <v>297</v>
      </c>
      <c r="T20" s="6">
        <v>343</v>
      </c>
      <c r="U20" s="6">
        <v>414</v>
      </c>
      <c r="V20" s="6">
        <v>765</v>
      </c>
    </row>
    <row r="21" spans="2:22" x14ac:dyDescent="0.2">
      <c r="B21" s="4" t="s">
        <v>17</v>
      </c>
      <c r="F21" s="6"/>
      <c r="G21" s="6">
        <f>+G17+G18+G19+G20</f>
        <v>1584</v>
      </c>
      <c r="H21" s="6">
        <f>+H17+H18+H19+H20</f>
        <v>1616</v>
      </c>
      <c r="I21" s="6">
        <f>+I17+I18+I19+I20</f>
        <v>1575</v>
      </c>
      <c r="J21" s="6"/>
      <c r="K21" s="6">
        <f>+K17+K18+K19+K20</f>
        <v>1651</v>
      </c>
      <c r="L21" s="6">
        <f>+L17+L18+L19+L20</f>
        <v>1747</v>
      </c>
      <c r="M21" s="6">
        <f>+M17+M18+M19+M20</f>
        <v>1925</v>
      </c>
      <c r="N21" s="6"/>
      <c r="T21" s="6">
        <f>+T17+T18+T19+T20</f>
        <v>5096</v>
      </c>
      <c r="U21" s="6">
        <f>+U17+U18+U19+U20</f>
        <v>6740</v>
      </c>
      <c r="V21" s="6">
        <f>+V17+V18+V19+V20</f>
        <v>6508</v>
      </c>
    </row>
    <row r="22" spans="2:22" x14ac:dyDescent="0.2">
      <c r="B22" s="4" t="s">
        <v>18</v>
      </c>
      <c r="F22" s="6"/>
      <c r="G22" s="6">
        <f>+G16-G21</f>
        <v>1782</v>
      </c>
      <c r="H22" s="6">
        <f>+H16-H21</f>
        <v>1904</v>
      </c>
      <c r="I22" s="6">
        <f>+I16-I21</f>
        <v>1967</v>
      </c>
      <c r="J22" s="6"/>
      <c r="K22" s="6">
        <f>+K16-K21</f>
        <v>1871</v>
      </c>
      <c r="L22" s="6">
        <f>+L16-L21</f>
        <v>1974</v>
      </c>
      <c r="M22" s="6">
        <f>+M16-M21</f>
        <v>1824</v>
      </c>
      <c r="T22" s="6">
        <f>+T16-T21</f>
        <v>7235</v>
      </c>
      <c r="U22" s="6">
        <f>+U16-U21</f>
        <v>6379</v>
      </c>
      <c r="V22" s="6">
        <f>+V16-V21</f>
        <v>7159</v>
      </c>
    </row>
    <row r="23" spans="2:22" x14ac:dyDescent="0.2">
      <c r="B23" s="4" t="s">
        <v>19</v>
      </c>
      <c r="G23" s="6">
        <v>374</v>
      </c>
      <c r="H23" s="4">
        <v>403</v>
      </c>
      <c r="I23" s="4">
        <v>452</v>
      </c>
      <c r="K23" s="6">
        <v>396</v>
      </c>
      <c r="L23" s="6">
        <v>414</v>
      </c>
      <c r="M23" s="6">
        <v>409</v>
      </c>
      <c r="T23" s="6">
        <v>1625</v>
      </c>
      <c r="U23" s="6">
        <v>1412</v>
      </c>
      <c r="V23" s="6">
        <v>1487</v>
      </c>
    </row>
    <row r="24" spans="2:22" x14ac:dyDescent="0.2">
      <c r="B24" s="4" t="s">
        <v>20</v>
      </c>
      <c r="G24" s="6">
        <f>+G22-G23-14</f>
        <v>1394</v>
      </c>
      <c r="H24" s="6">
        <f>+H22-H23-14</f>
        <v>1487</v>
      </c>
      <c r="I24" s="6">
        <f>+I22-I23-1</f>
        <v>1514</v>
      </c>
      <c r="K24" s="6">
        <f>+K22-K23-12</f>
        <v>1463</v>
      </c>
      <c r="L24" s="6">
        <f>+L22-L23-16</f>
        <v>1544</v>
      </c>
      <c r="M24" s="6">
        <f>+M22-M23-2</f>
        <v>1413</v>
      </c>
      <c r="T24" s="6">
        <f>T22-T23-68</f>
        <v>5542</v>
      </c>
      <c r="U24" s="6">
        <f>U22-U23-1</f>
        <v>4966</v>
      </c>
      <c r="V24" s="6">
        <f>V22-V23-14</f>
        <v>5658</v>
      </c>
    </row>
    <row r="25" spans="2:22" x14ac:dyDescent="0.2">
      <c r="B25" s="4" t="s">
        <v>21</v>
      </c>
      <c r="F25" s="5"/>
      <c r="G25" s="5">
        <f>+G24/G26</f>
        <v>2.0713224368499259</v>
      </c>
      <c r="H25" s="5">
        <f>+H24/H26</f>
        <v>2.2187406744255447</v>
      </c>
      <c r="I25" s="5">
        <f>+I24/I26</f>
        <v>2.269865067466267</v>
      </c>
      <c r="J25" s="5"/>
      <c r="K25" s="5">
        <f>+K24/K26</f>
        <v>2.2281449893390191</v>
      </c>
      <c r="L25" s="5">
        <f>+L24/L26</f>
        <v>2.3601345154387037</v>
      </c>
      <c r="M25" s="5">
        <f>+M24/M26</f>
        <v>2.1602201498241858</v>
      </c>
      <c r="T25" s="5">
        <f>+T24/T26</f>
        <v>7.9126213592233015</v>
      </c>
      <c r="U25" s="5">
        <f>+U24/U26</f>
        <v>7.2697994437124871</v>
      </c>
      <c r="V25" s="5">
        <f>+V24/V26</f>
        <v>8.4675246932056272</v>
      </c>
    </row>
    <row r="26" spans="2:22" x14ac:dyDescent="0.2">
      <c r="B26" s="4" t="s">
        <v>1</v>
      </c>
      <c r="F26" s="6"/>
      <c r="G26" s="6">
        <f>673</f>
        <v>673</v>
      </c>
      <c r="H26" s="6">
        <v>670.2</v>
      </c>
      <c r="I26" s="6">
        <v>667</v>
      </c>
      <c r="J26" s="6"/>
      <c r="K26" s="6">
        <f>656.6</f>
        <v>656.6</v>
      </c>
      <c r="L26" s="6">
        <v>654.20000000000005</v>
      </c>
      <c r="M26" s="6">
        <v>654.1</v>
      </c>
      <c r="T26" s="6">
        <v>700.4</v>
      </c>
      <c r="U26" s="6">
        <v>683.1</v>
      </c>
      <c r="V26" s="6">
        <v>668.2</v>
      </c>
    </row>
    <row r="27" spans="2:22" x14ac:dyDescent="0.2">
      <c r="F27" s="7"/>
      <c r="G27" s="7"/>
      <c r="H27" s="7"/>
      <c r="J27" s="7"/>
      <c r="K27" s="7"/>
      <c r="L27" s="7"/>
      <c r="T27" s="6"/>
      <c r="U27" s="6"/>
      <c r="V27" s="6"/>
    </row>
    <row r="28" spans="2:22" x14ac:dyDescent="0.2">
      <c r="B28" s="4" t="s">
        <v>50</v>
      </c>
      <c r="G28" s="6">
        <f>+G24</f>
        <v>1394</v>
      </c>
      <c r="H28" s="6">
        <f>+H24</f>
        <v>1487</v>
      </c>
      <c r="I28" s="6">
        <f>+I24</f>
        <v>1514</v>
      </c>
      <c r="K28" s="6">
        <f>+K24</f>
        <v>1463</v>
      </c>
      <c r="L28" s="6">
        <f>+L24</f>
        <v>1544</v>
      </c>
      <c r="M28" s="6">
        <f>+M24</f>
        <v>1413</v>
      </c>
      <c r="T28" s="6">
        <f>+T24</f>
        <v>5542</v>
      </c>
      <c r="U28" s="6">
        <f>+U24</f>
        <v>4966</v>
      </c>
      <c r="V28" s="6">
        <f>+V24</f>
        <v>5658</v>
      </c>
    </row>
    <row r="29" spans="2:22" x14ac:dyDescent="0.2">
      <c r="B29" s="9" t="s">
        <v>51</v>
      </c>
      <c r="G29" s="6">
        <v>1394</v>
      </c>
      <c r="H29" s="6">
        <v>1487</v>
      </c>
      <c r="I29" s="6">
        <v>1514</v>
      </c>
      <c r="K29" s="6">
        <v>1463</v>
      </c>
      <c r="L29" s="10">
        <v>1544</v>
      </c>
      <c r="M29" s="4">
        <v>1413</v>
      </c>
      <c r="T29" s="6">
        <v>5542</v>
      </c>
      <c r="U29" s="6">
        <v>4996</v>
      </c>
      <c r="V29" s="6">
        <v>5658</v>
      </c>
    </row>
    <row r="31" spans="2:22" x14ac:dyDescent="0.2">
      <c r="B31" s="4" t="s">
        <v>52</v>
      </c>
      <c r="G31" s="4">
        <v>161</v>
      </c>
      <c r="H31" s="4">
        <v>166</v>
      </c>
      <c r="I31" s="4">
        <v>166</v>
      </c>
      <c r="K31" s="4">
        <v>166</v>
      </c>
      <c r="L31" s="4">
        <v>163</v>
      </c>
      <c r="M31" s="4">
        <v>171</v>
      </c>
      <c r="T31" s="4">
        <v>674</v>
      </c>
      <c r="U31" s="4">
        <v>657</v>
      </c>
      <c r="V31" s="4">
        <v>659</v>
      </c>
    </row>
    <row r="32" spans="2:22" x14ac:dyDescent="0.2">
      <c r="B32" s="4" t="s">
        <v>55</v>
      </c>
      <c r="G32" s="4">
        <v>122</v>
      </c>
      <c r="H32" s="4">
        <v>118</v>
      </c>
      <c r="I32" s="4">
        <v>142</v>
      </c>
      <c r="K32" s="4">
        <v>125</v>
      </c>
      <c r="L32" s="4">
        <v>146</v>
      </c>
      <c r="M32" s="4">
        <f>186+125</f>
        <v>311</v>
      </c>
      <c r="T32" s="4">
        <f>549-102</f>
        <v>447</v>
      </c>
      <c r="U32" s="4">
        <f>547-22</f>
        <v>525</v>
      </c>
      <c r="V32" s="4">
        <f>517-5</f>
        <v>512</v>
      </c>
    </row>
    <row r="33" spans="2:22" x14ac:dyDescent="0.2">
      <c r="B33" s="4" t="s">
        <v>54</v>
      </c>
      <c r="G33" s="4">
        <f>141-41</f>
        <v>100</v>
      </c>
      <c r="H33" s="4">
        <f>102-154</f>
        <v>-52</v>
      </c>
      <c r="I33" s="4">
        <f>88-128</f>
        <v>-40</v>
      </c>
      <c r="K33" s="4">
        <f>93-124</f>
        <v>-31</v>
      </c>
      <c r="L33" s="4">
        <f>44-87</f>
        <v>-43</v>
      </c>
      <c r="M33" s="4">
        <f>52-118</f>
        <v>-66</v>
      </c>
      <c r="T33" s="4">
        <f>569-692</f>
        <v>-123</v>
      </c>
      <c r="U33" s="4">
        <f>1266-512</f>
        <v>754</v>
      </c>
      <c r="V33" s="4">
        <f>860-459</f>
        <v>401</v>
      </c>
    </row>
    <row r="34" spans="2:22" x14ac:dyDescent="0.2">
      <c r="B34" s="4" t="s">
        <v>57</v>
      </c>
      <c r="G34" s="4">
        <v>-1325</v>
      </c>
      <c r="H34" s="4">
        <v>0</v>
      </c>
      <c r="I34" s="4">
        <v>0</v>
      </c>
      <c r="K34" s="4">
        <v>0</v>
      </c>
      <c r="L34" s="4">
        <v>0</v>
      </c>
      <c r="M34" s="4">
        <v>0</v>
      </c>
      <c r="T34" s="4">
        <v>0</v>
      </c>
      <c r="U34" s="4">
        <v>0</v>
      </c>
      <c r="V34" s="4">
        <v>-1325</v>
      </c>
    </row>
    <row r="35" spans="2:22" x14ac:dyDescent="0.2">
      <c r="B35" s="4" t="s">
        <v>58</v>
      </c>
      <c r="G35" s="4">
        <f>-136-15</f>
        <v>-151</v>
      </c>
      <c r="H35" s="4">
        <f>-137-8</f>
        <v>-145</v>
      </c>
      <c r="I35" s="4">
        <f>-137-2</f>
        <v>-139</v>
      </c>
      <c r="K35" s="4">
        <f>-151-8</f>
        <v>-159</v>
      </c>
      <c r="L35" s="4">
        <f>-144-7</f>
        <v>-151</v>
      </c>
      <c r="M35" s="4">
        <f>-148-10</f>
        <v>-158</v>
      </c>
      <c r="T35" s="4">
        <f>-1114-43</f>
        <v>-1157</v>
      </c>
      <c r="U35" s="4">
        <f>-510-23</f>
        <v>-533</v>
      </c>
      <c r="V35" s="4">
        <f>-406-38</f>
        <v>-444</v>
      </c>
    </row>
    <row r="36" spans="2:22" x14ac:dyDescent="0.2">
      <c r="B36" s="4" t="s">
        <v>53</v>
      </c>
      <c r="G36" s="4">
        <v>59</v>
      </c>
      <c r="H36" s="4">
        <v>50</v>
      </c>
      <c r="I36" s="4">
        <v>39</v>
      </c>
      <c r="K36" s="4">
        <v>53</v>
      </c>
      <c r="L36" s="4">
        <v>55</v>
      </c>
      <c r="M36" s="4">
        <v>45</v>
      </c>
      <c r="T36" s="4">
        <v>217</v>
      </c>
      <c r="U36" s="4">
        <v>188</v>
      </c>
      <c r="V36" s="4">
        <v>202</v>
      </c>
    </row>
    <row r="37" spans="2:22" x14ac:dyDescent="0.2">
      <c r="B37" s="4" t="s">
        <v>59</v>
      </c>
      <c r="G37" s="4">
        <v>225</v>
      </c>
      <c r="H37" s="4">
        <v>-29</v>
      </c>
      <c r="I37" s="4">
        <v>-28</v>
      </c>
      <c r="K37" s="4">
        <v>3</v>
      </c>
      <c r="L37" s="4">
        <v>-39</v>
      </c>
      <c r="M37" s="4">
        <v>-10</v>
      </c>
      <c r="T37" s="4">
        <v>178</v>
      </c>
      <c r="U37" s="4">
        <v>-180</v>
      </c>
      <c r="V37" s="4">
        <v>153</v>
      </c>
    </row>
    <row r="38" spans="2:22" x14ac:dyDescent="0.2">
      <c r="B38" s="4" t="s">
        <v>60</v>
      </c>
      <c r="G38" s="4">
        <v>-350</v>
      </c>
      <c r="H38" s="4">
        <v>-293</v>
      </c>
      <c r="I38" s="4">
        <v>89</v>
      </c>
      <c r="K38" s="4">
        <v>-163</v>
      </c>
      <c r="L38" s="4">
        <v>-420</v>
      </c>
      <c r="M38" s="4">
        <v>-58</v>
      </c>
      <c r="T38" s="4">
        <v>-28</v>
      </c>
      <c r="U38" s="4">
        <v>-358</v>
      </c>
      <c r="V38" s="4">
        <v>-837</v>
      </c>
    </row>
    <row r="39" spans="2:22" x14ac:dyDescent="0.2">
      <c r="B39" s="4" t="s">
        <v>56</v>
      </c>
      <c r="G39" s="4">
        <f>-422-238+110+114-583</f>
        <v>-1019</v>
      </c>
      <c r="H39" s="4">
        <f>-83-100+98+143</f>
        <v>58</v>
      </c>
      <c r="I39" s="4">
        <f>161-110-67-18+100</f>
        <v>66</v>
      </c>
      <c r="K39" s="4">
        <f>53-140+64-381-605</f>
        <v>-1009</v>
      </c>
      <c r="L39" s="4">
        <f>-202+63+163-42+134</f>
        <v>116</v>
      </c>
      <c r="M39" s="4">
        <f>-69-156-32+281+325</f>
        <v>349</v>
      </c>
      <c r="T39" s="4">
        <f>-8-685-276+744+513</f>
        <v>288</v>
      </c>
      <c r="U39" s="4">
        <f>-739-440+232-155+357</f>
        <v>-745</v>
      </c>
      <c r="V39" s="4">
        <f>-42-626+17+518+494</f>
        <v>361</v>
      </c>
    </row>
    <row r="40" spans="2:22" x14ac:dyDescent="0.2">
      <c r="B40" s="4" t="s">
        <v>24</v>
      </c>
      <c r="G40" s="6">
        <f>SUM(G29:G39)</f>
        <v>-784</v>
      </c>
      <c r="H40" s="6">
        <f>SUM(H29:H39)</f>
        <v>1360</v>
      </c>
      <c r="I40" s="6">
        <f>SUM(I29:I39)</f>
        <v>1809</v>
      </c>
      <c r="K40" s="6">
        <f>SUM(K29:K39)</f>
        <v>448</v>
      </c>
      <c r="L40" s="6">
        <f>SUM(L29:L39)</f>
        <v>1371</v>
      </c>
      <c r="M40" s="6">
        <f>SUM(M29:M39)</f>
        <v>1997</v>
      </c>
      <c r="T40" s="6">
        <f>SUM(T29:T39)</f>
        <v>6038</v>
      </c>
      <c r="U40" s="6">
        <f>SUM(U29:U39)</f>
        <v>5304</v>
      </c>
      <c r="V40" s="6">
        <f>SUM(V29:V39)</f>
        <v>5340</v>
      </c>
    </row>
    <row r="41" spans="2:22" x14ac:dyDescent="0.2">
      <c r="C41" s="6"/>
      <c r="D41" s="6"/>
      <c r="E41" s="6"/>
      <c r="F41" s="6"/>
      <c r="G41" s="6"/>
      <c r="H41" s="6"/>
      <c r="I41" s="6"/>
      <c r="J41" s="6"/>
      <c r="L41" s="6"/>
      <c r="T41" s="6"/>
      <c r="U41" s="6"/>
      <c r="V41" s="6"/>
    </row>
    <row r="42" spans="2:22" x14ac:dyDescent="0.2">
      <c r="B42" s="4" t="s">
        <v>25</v>
      </c>
      <c r="C42" s="6"/>
      <c r="D42" s="6"/>
      <c r="E42" s="6"/>
      <c r="F42" s="6"/>
      <c r="G42" s="6">
        <v>-193</v>
      </c>
      <c r="H42" s="6">
        <v>-233</v>
      </c>
      <c r="I42" s="6">
        <v>-249</v>
      </c>
      <c r="J42" s="6"/>
      <c r="K42" s="6">
        <v>-233</v>
      </c>
      <c r="L42" s="6">
        <v>-259</v>
      </c>
      <c r="M42" s="4">
        <v>-279</v>
      </c>
      <c r="T42" s="6">
        <v>-895</v>
      </c>
      <c r="U42" s="6">
        <v>-766</v>
      </c>
      <c r="V42" s="6">
        <v>-1039</v>
      </c>
    </row>
    <row r="43" spans="2:22" x14ac:dyDescent="0.2">
      <c r="B43" s="4" t="s">
        <v>26</v>
      </c>
      <c r="C43" s="6"/>
      <c r="D43" s="6"/>
      <c r="E43" s="6"/>
      <c r="F43" s="6"/>
      <c r="G43" s="6">
        <f>+G40+G42</f>
        <v>-977</v>
      </c>
      <c r="H43" s="6">
        <f>+H40+H42</f>
        <v>1127</v>
      </c>
      <c r="I43" s="6">
        <f>+I40+I42</f>
        <v>1560</v>
      </c>
      <c r="J43" s="6"/>
      <c r="K43" s="6">
        <f>+K40+K42</f>
        <v>215</v>
      </c>
      <c r="L43" s="6">
        <f>+L40+L42</f>
        <v>1112</v>
      </c>
      <c r="M43" s="6">
        <f>+M40+M42</f>
        <v>1718</v>
      </c>
      <c r="T43" s="6">
        <f>T40+T42</f>
        <v>5143</v>
      </c>
      <c r="U43" s="6">
        <f>U40+U42</f>
        <v>4538</v>
      </c>
      <c r="V43" s="6">
        <f>V40+V42</f>
        <v>4301</v>
      </c>
    </row>
    <row r="45" spans="2:22" x14ac:dyDescent="0.2">
      <c r="B45" s="4" t="s">
        <v>22</v>
      </c>
      <c r="H45" s="7"/>
      <c r="I45" s="7"/>
      <c r="J45" s="7"/>
      <c r="K45" s="7">
        <f>+K14/G14 - 1</f>
        <v>2.7188628158844708E-2</v>
      </c>
      <c r="L45" s="7">
        <f>+L14/H14 - 1</f>
        <v>4.7124425978569917E-2</v>
      </c>
      <c r="M45" s="7">
        <f>+M14/I14 - 1</f>
        <v>5.6013894919670015E-2</v>
      </c>
      <c r="T45" s="7"/>
      <c r="U45" s="7">
        <f>U14/T14-1</f>
        <v>3.1228192602930971E-2</v>
      </c>
      <c r="V45" s="7">
        <f>V14/U14-1</f>
        <v>3.3722438391699194E-2</v>
      </c>
    </row>
    <row r="46" spans="2:22" x14ac:dyDescent="0.2">
      <c r="B46" s="4" t="s">
        <v>65</v>
      </c>
      <c r="H46" s="7">
        <f>+H16/G16 -1</f>
        <v>4.5751633986928164E-2</v>
      </c>
      <c r="I46" s="7">
        <f>+I16/H16 -1</f>
        <v>6.2500000000000888E-3</v>
      </c>
      <c r="J46" s="7"/>
      <c r="K46" s="7"/>
      <c r="L46" s="7">
        <f>+L16/K16 -1</f>
        <v>5.6501987507098228E-2</v>
      </c>
      <c r="M46" s="7">
        <f>+M16/L16 -1</f>
        <v>7.5248589088954265E-3</v>
      </c>
      <c r="T46" s="7"/>
      <c r="U46" s="7"/>
      <c r="V46" s="7"/>
    </row>
    <row r="47" spans="2:22" x14ac:dyDescent="0.2">
      <c r="B47" s="4" t="s">
        <v>23</v>
      </c>
      <c r="F47" s="7"/>
      <c r="G47" s="7">
        <f>+G16/G14</f>
        <v>0.37973826714801445</v>
      </c>
      <c r="H47" s="7">
        <f>+H16/H14</f>
        <v>0.38486770172753115</v>
      </c>
      <c r="I47" s="7">
        <f>+I16/I14</f>
        <v>0.38449848024316108</v>
      </c>
      <c r="J47" s="7"/>
      <c r="K47" s="7">
        <f>+K16/K14</f>
        <v>0.3868204283360791</v>
      </c>
      <c r="L47" s="7">
        <f>+L16/L14</f>
        <v>0.38853503184713378</v>
      </c>
      <c r="M47" s="7">
        <f>+M16/M14</f>
        <v>0.38538240131578949</v>
      </c>
      <c r="T47" s="7">
        <f>T16/T14</f>
        <v>0.35854268434519654</v>
      </c>
      <c r="U47" s="7">
        <f>U16/U14</f>
        <v>0.36990356961597021</v>
      </c>
      <c r="V47" s="7">
        <f>V16/V14</f>
        <v>0.3727838088483989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Metadata/LabelInfo.xml><?xml version="1.0" encoding="utf-8"?>
<clbl:labelList xmlns:clbl="http://schemas.microsoft.com/office/2020/mipLabelMetadata">
  <clbl:label id="{86aeaee7-1dd3-447c-b847-acd05944d29f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Kirpach, Albert</cp:lastModifiedBy>
  <dcterms:created xsi:type="dcterms:W3CDTF">2015-06-05T18:17:20Z</dcterms:created>
  <dcterms:modified xsi:type="dcterms:W3CDTF">2024-10-24T13:56:31Z</dcterms:modified>
</cp:coreProperties>
</file>