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44455\Downloads\"/>
    </mc:Choice>
  </mc:AlternateContent>
  <bookViews>
    <workbookView xWindow="0" yWindow="0" windowWidth="24570" windowHeight="949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2" l="1"/>
  <c r="N39" i="2"/>
  <c r="N37" i="2"/>
  <c r="N36" i="2"/>
  <c r="N29" i="2"/>
  <c r="O43" i="2"/>
  <c r="O39" i="2"/>
  <c r="O37" i="2"/>
  <c r="O36" i="2"/>
  <c r="O29" i="2"/>
  <c r="P43" i="2"/>
  <c r="P39" i="2"/>
  <c r="I39" i="2"/>
  <c r="P37" i="2"/>
  <c r="P29" i="2"/>
  <c r="N26" i="2"/>
  <c r="O26" i="2"/>
  <c r="P26" i="2"/>
  <c r="C24" i="2"/>
  <c r="D24" i="2"/>
  <c r="E24" i="2"/>
  <c r="G24" i="2"/>
  <c r="H24" i="2"/>
  <c r="I24" i="2"/>
  <c r="N24" i="2"/>
  <c r="O24" i="2"/>
  <c r="P24" i="2"/>
  <c r="D23" i="2"/>
  <c r="E23" i="2"/>
  <c r="H23" i="2"/>
  <c r="I23" i="2"/>
  <c r="O23" i="2"/>
  <c r="P23" i="2"/>
  <c r="N20" i="2"/>
  <c r="O20" i="2"/>
  <c r="P20" i="2"/>
  <c r="N21" i="2"/>
  <c r="O21" i="2"/>
  <c r="P21" i="2"/>
  <c r="N13" i="2"/>
  <c r="N6" i="2"/>
  <c r="O13" i="2"/>
  <c r="O6" i="2"/>
  <c r="P19" i="2"/>
  <c r="I13" i="2"/>
  <c r="P13" i="2"/>
  <c r="P6" i="2"/>
  <c r="P14" i="2" s="1"/>
  <c r="P16" i="2" s="1"/>
  <c r="N14" i="2" l="1"/>
  <c r="N16" i="2" s="1"/>
  <c r="N19" i="2" s="1"/>
  <c r="O14" i="2"/>
  <c r="O16" i="2" s="1"/>
  <c r="O19" i="2" s="1"/>
  <c r="E43" i="2"/>
  <c r="E42" i="2"/>
  <c r="E37" i="2"/>
  <c r="E41" i="2"/>
  <c r="E30" i="2"/>
  <c r="D30" i="2"/>
  <c r="E29" i="2"/>
  <c r="D29" i="2"/>
  <c r="E28" i="2"/>
  <c r="E27" i="2"/>
  <c r="E38" i="2"/>
  <c r="D37" i="2"/>
  <c r="E36" i="2"/>
  <c r="D35" i="2"/>
  <c r="E35" i="2"/>
  <c r="E34" i="2"/>
  <c r="E33" i="2"/>
  <c r="E32" i="2"/>
  <c r="E31" i="2"/>
  <c r="D28" i="2"/>
  <c r="D27" i="2"/>
  <c r="H36" i="2"/>
  <c r="I36" i="2" s="1"/>
  <c r="H33" i="2"/>
  <c r="I33" i="2" s="1"/>
  <c r="E39" i="2" l="1"/>
  <c r="D42" i="2" l="1"/>
  <c r="D41" i="2"/>
  <c r="H38" i="2"/>
  <c r="I38" i="2" s="1"/>
  <c r="D38" i="2"/>
  <c r="D36" i="2"/>
  <c r="D34" i="2"/>
  <c r="D32" i="2"/>
  <c r="D31" i="2"/>
  <c r="D39" i="2"/>
  <c r="H41" i="2"/>
  <c r="I41" i="2" s="1"/>
  <c r="H42" i="2"/>
  <c r="H35" i="2"/>
  <c r="I35" i="2" s="1"/>
  <c r="H34" i="2"/>
  <c r="I34" i="2" s="1"/>
  <c r="H32" i="2"/>
  <c r="I32" i="2" s="1"/>
  <c r="H31" i="2"/>
  <c r="I31" i="2" s="1"/>
  <c r="H30" i="2"/>
  <c r="I30" i="2" s="1"/>
  <c r="H29" i="2"/>
  <c r="H28" i="2"/>
  <c r="I28" i="2" s="1"/>
  <c r="H27" i="2"/>
  <c r="I27" i="2" s="1"/>
  <c r="I29" i="2" s="1"/>
  <c r="D21" i="2"/>
  <c r="H21" i="2"/>
  <c r="D13" i="2"/>
  <c r="D6" i="2"/>
  <c r="H13" i="2"/>
  <c r="H6" i="2"/>
  <c r="C37" i="2"/>
  <c r="C43" i="2"/>
  <c r="C29" i="2"/>
  <c r="C39" i="2" s="1"/>
  <c r="G43" i="2"/>
  <c r="G29" i="2"/>
  <c r="G39" i="2" s="1"/>
  <c r="G37" i="2"/>
  <c r="H37" i="2" s="1"/>
  <c r="I37" i="2" s="1"/>
  <c r="C21" i="2"/>
  <c r="C13" i="2"/>
  <c r="C6" i="2"/>
  <c r="G21" i="2"/>
  <c r="G13" i="2"/>
  <c r="G6" i="2"/>
  <c r="E21" i="2"/>
  <c r="E13" i="2"/>
  <c r="E6" i="2"/>
  <c r="H39" i="2" l="1"/>
  <c r="H43" i="2"/>
  <c r="I42" i="2"/>
  <c r="I43" i="2" s="1"/>
  <c r="D43" i="2"/>
  <c r="D14" i="2"/>
  <c r="D16" i="2" s="1"/>
  <c r="D19" i="2" s="1"/>
  <c r="H14" i="2"/>
  <c r="H16" i="2" s="1"/>
  <c r="C14" i="2"/>
  <c r="C16" i="2" s="1"/>
  <c r="C19" i="2" s="1"/>
  <c r="G14" i="2"/>
  <c r="G16" i="2" s="1"/>
  <c r="G19" i="2" s="1"/>
  <c r="E14" i="2"/>
  <c r="E16" i="2" s="1"/>
  <c r="E19" i="2" s="1"/>
  <c r="H19" i="2" l="1"/>
  <c r="H26" i="2" s="1"/>
  <c r="D20" i="2"/>
  <c r="D26" i="2"/>
  <c r="E20" i="2"/>
  <c r="E26" i="2"/>
  <c r="G20" i="2"/>
  <c r="G26" i="2"/>
  <c r="C20" i="2"/>
  <c r="C26" i="2"/>
  <c r="H20" i="2" l="1"/>
  <c r="I21" i="2"/>
  <c r="I6" i="2" l="1"/>
  <c r="I14" i="2" s="1"/>
  <c r="I16" i="2" s="1"/>
  <c r="I19" i="2" s="1"/>
  <c r="I26" i="2" l="1"/>
  <c r="I20" i="2"/>
  <c r="K7" i="1"/>
  <c r="K6" i="1"/>
  <c r="K4" i="1"/>
  <c r="K5" i="1"/>
</calcChain>
</file>

<file path=xl/sharedStrings.xml><?xml version="1.0" encoding="utf-8"?>
<sst xmlns="http://schemas.openxmlformats.org/spreadsheetml/2006/main" count="52" uniqueCount="48">
  <si>
    <t>Price</t>
  </si>
  <si>
    <t>Shares</t>
  </si>
  <si>
    <t>MC</t>
  </si>
  <si>
    <t>Cash</t>
  </si>
  <si>
    <t>Debt</t>
  </si>
  <si>
    <t>EV</t>
  </si>
  <si>
    <t>Q324</t>
  </si>
  <si>
    <t>Q224</t>
  </si>
  <si>
    <t>Q124</t>
  </si>
  <si>
    <t>Q423</t>
  </si>
  <si>
    <t>Q323</t>
  </si>
  <si>
    <t>Q223</t>
  </si>
  <si>
    <t>Revenue</t>
  </si>
  <si>
    <t>in thousands</t>
  </si>
  <si>
    <t>Subscriptions</t>
  </si>
  <si>
    <t>Advertising</t>
  </si>
  <si>
    <t>Other</t>
  </si>
  <si>
    <t>Broadcasting &amp; Transmission</t>
  </si>
  <si>
    <t>S&amp;M</t>
  </si>
  <si>
    <t>T&amp;D</t>
  </si>
  <si>
    <t>SG&amp;A</t>
  </si>
  <si>
    <t>Subscriber Expense</t>
  </si>
  <si>
    <t>Operating Expense</t>
  </si>
  <si>
    <t>Operating Income</t>
  </si>
  <si>
    <t>Other Income (Expense)</t>
  </si>
  <si>
    <t>Pretax Income</t>
  </si>
  <si>
    <t>Taxes</t>
  </si>
  <si>
    <t>Net Income</t>
  </si>
  <si>
    <t>Discontinued earnings</t>
  </si>
  <si>
    <t>EPS</t>
  </si>
  <si>
    <t>Model NI</t>
  </si>
  <si>
    <t>Reported NI</t>
  </si>
  <si>
    <t>Q123</t>
  </si>
  <si>
    <t>WC</t>
  </si>
  <si>
    <t>CFFO</t>
  </si>
  <si>
    <t>CapEx</t>
  </si>
  <si>
    <t>FCF</t>
  </si>
  <si>
    <t>Discontinued Operation loss</t>
  </si>
  <si>
    <t>Operating Net Income</t>
  </si>
  <si>
    <t>SBC</t>
  </si>
  <si>
    <t>ROU assets</t>
  </si>
  <si>
    <t>Disc cash</t>
  </si>
  <si>
    <t>D&amp;A</t>
  </si>
  <si>
    <t>ADPD, Net</t>
  </si>
  <si>
    <t>GED</t>
  </si>
  <si>
    <t>Deferred tax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</si>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</sst>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7"/>
  <sheetViews>
    <sheetView workbookViewId="0">
      <selection activeCell="K7" sqref="K7"/>
    </sheetView>
  </sheetViews>
  <sheetFormatPr defaultRowHeight="15" x14ac:dyDescent="0.25"/>
  <cols>
    <col min="11" max="11" width="14.42578125" bestFit="1" customWidth="1"/>
  </cols>
  <sheetData>
    <row r="2" spans="10:11" x14ac:dyDescent="0.25">
      <c r="J2" t="s">
        <v>0</v>
      </c>
      <c r="K2">
        <v>5.46</v>
      </c>
    </row>
    <row r="3" spans="10:11" x14ac:dyDescent="0.25">
      <c r="J3" t="s">
        <v>1</v>
      </c>
      <c r="K3" s="1">
        <v>334092630</v>
      </c>
    </row>
    <row r="4" spans="10:11" x14ac:dyDescent="0.25">
      <c r="J4" t="s">
        <v>2</v>
      </c>
      <c r="K4" s="1">
        <f>K3*K2</f>
        <v>1824145759.8</v>
      </c>
    </row>
    <row r="5" spans="10:11" x14ac:dyDescent="0.25">
      <c r="J5" t="s">
        <v>3</v>
      </c>
      <c r="K5" s="1">
        <f>146175</f>
        <v>146175</v>
      </c>
    </row>
    <row r="6" spans="10:11" x14ac:dyDescent="0.25">
      <c r="J6" t="s">
        <v>4</v>
      </c>
      <c r="K6" s="1">
        <f>319597+1117+1671</f>
        <v>322385</v>
      </c>
    </row>
    <row r="7" spans="10:11" x14ac:dyDescent="0.25">
      <c r="J7" t="s">
        <v>5</v>
      </c>
      <c r="K7" s="1">
        <f>K4-K5+K6</f>
        <v>1824321969.8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RowHeight="15" x14ac:dyDescent="0.25"/>
  <cols>
    <col min="2" max="2" width="26.7109375" bestFit="1" customWidth="1"/>
    <col min="3" max="3" width="10.42578125" customWidth="1"/>
    <col min="5" max="5" width="11.140625" bestFit="1" customWidth="1"/>
    <col min="9" max="9" width="11.140625" bestFit="1" customWidth="1"/>
    <col min="16" max="16" width="10.140625" bestFit="1" customWidth="1"/>
  </cols>
  <sheetData>
    <row r="1" spans="2:22" x14ac:dyDescent="0.25">
      <c r="B1" s="2" t="s">
        <v>13</v>
      </c>
      <c r="C1" s="2"/>
    </row>
    <row r="2" spans="2:22" x14ac:dyDescent="0.25">
      <c r="C2" t="s">
        <v>32</v>
      </c>
      <c r="D2" t="s">
        <v>11</v>
      </c>
      <c r="E2" t="s">
        <v>10</v>
      </c>
      <c r="F2" t="s">
        <v>9</v>
      </c>
      <c r="G2" t="s">
        <v>8</v>
      </c>
      <c r="H2" t="s">
        <v>7</v>
      </c>
      <c r="I2" t="s">
        <v>6</v>
      </c>
      <c r="M2">
        <v>2020</v>
      </c>
      <c r="N2">
        <v>2021</v>
      </c>
      <c r="O2">
        <v>2022</v>
      </c>
      <c r="P2">
        <v>2023</v>
      </c>
      <c r="Q2">
        <v>2024</v>
      </c>
    </row>
    <row r="3" spans="2:22" x14ac:dyDescent="0.25">
      <c r="B3" t="s">
        <v>14</v>
      </c>
      <c r="C3" s="1">
        <v>300875</v>
      </c>
      <c r="D3" s="1">
        <v>288994</v>
      </c>
      <c r="E3" s="1">
        <v>289623</v>
      </c>
      <c r="G3" s="1">
        <v>373714</v>
      </c>
      <c r="H3" s="1">
        <v>362936</v>
      </c>
      <c r="I3" s="1">
        <v>356575</v>
      </c>
      <c r="M3" s="1"/>
      <c r="N3" s="1">
        <v>564441</v>
      </c>
      <c r="O3" s="1">
        <v>905886</v>
      </c>
      <c r="P3" s="1">
        <v>1249579</v>
      </c>
      <c r="Q3" s="1"/>
      <c r="R3" s="1"/>
      <c r="S3" s="1"/>
      <c r="T3" s="1"/>
      <c r="U3" s="1"/>
      <c r="V3" s="1"/>
    </row>
    <row r="4" spans="2:22" x14ac:dyDescent="0.25">
      <c r="B4" t="s">
        <v>15</v>
      </c>
      <c r="C4" s="1">
        <v>22721</v>
      </c>
      <c r="D4" s="1">
        <v>23070</v>
      </c>
      <c r="E4" s="1">
        <v>30592</v>
      </c>
      <c r="G4" s="1">
        <v>27469</v>
      </c>
      <c r="H4" s="1">
        <v>26285</v>
      </c>
      <c r="I4" s="1">
        <v>27054</v>
      </c>
      <c r="M4" s="1"/>
      <c r="N4" s="1">
        <v>73749</v>
      </c>
      <c r="O4" s="1">
        <v>101739</v>
      </c>
      <c r="P4" s="1">
        <v>115370</v>
      </c>
      <c r="Q4" s="1"/>
      <c r="R4" s="1"/>
      <c r="S4" s="1"/>
      <c r="T4" s="1"/>
      <c r="U4" s="1"/>
      <c r="V4" s="1"/>
    </row>
    <row r="5" spans="2:22" x14ac:dyDescent="0.25">
      <c r="B5" t="s">
        <v>16</v>
      </c>
      <c r="C5" s="1">
        <v>778</v>
      </c>
      <c r="D5" s="1">
        <v>671</v>
      </c>
      <c r="E5" s="1">
        <v>720</v>
      </c>
      <c r="G5" s="1">
        <v>1164</v>
      </c>
      <c r="H5" s="1">
        <v>1744</v>
      </c>
      <c r="I5" s="1">
        <v>2578</v>
      </c>
      <c r="M5" s="1"/>
      <c r="N5" s="1">
        <v>180</v>
      </c>
      <c r="O5" s="1">
        <v>1071</v>
      </c>
      <c r="P5" s="1">
        <v>3276</v>
      </c>
      <c r="Q5" s="1"/>
      <c r="R5" s="1"/>
      <c r="S5" s="1"/>
      <c r="T5" s="1"/>
      <c r="U5" s="1"/>
      <c r="V5" s="1"/>
    </row>
    <row r="6" spans="2:22" x14ac:dyDescent="0.25">
      <c r="B6" t="s">
        <v>12</v>
      </c>
      <c r="C6" s="1">
        <f>SUM(C3:C5)</f>
        <v>324374</v>
      </c>
      <c r="D6" s="1">
        <f>SUM(D3:D5)</f>
        <v>312735</v>
      </c>
      <c r="E6" s="1">
        <f>SUM(E3:E5)</f>
        <v>320935</v>
      </c>
      <c r="G6" s="1">
        <f>SUM(G3:G5)</f>
        <v>402347</v>
      </c>
      <c r="H6" s="1">
        <f>SUM(H3:H5)</f>
        <v>390965</v>
      </c>
      <c r="I6" s="1">
        <f>SUM(I3:I5)</f>
        <v>386207</v>
      </c>
      <c r="M6" s="1"/>
      <c r="N6" s="1">
        <f>SUM(N3:N5)</f>
        <v>638370</v>
      </c>
      <c r="O6" s="1">
        <f>SUM(O3:O5)</f>
        <v>1008696</v>
      </c>
      <c r="P6" s="1">
        <f>SUM(P3:P5)</f>
        <v>1368225</v>
      </c>
      <c r="Q6" s="1"/>
      <c r="R6" s="1"/>
      <c r="S6" s="1"/>
      <c r="T6" s="1"/>
      <c r="U6" s="1"/>
      <c r="V6" s="1"/>
    </row>
    <row r="7" spans="2:22" x14ac:dyDescent="0.25">
      <c r="B7" t="s">
        <v>21</v>
      </c>
      <c r="C7" s="1">
        <v>301378</v>
      </c>
      <c r="D7" s="1">
        <v>270953</v>
      </c>
      <c r="E7" s="1">
        <v>286068</v>
      </c>
      <c r="G7" s="1">
        <v>360170</v>
      </c>
      <c r="H7" s="1">
        <v>326499</v>
      </c>
      <c r="I7" s="1">
        <v>317692</v>
      </c>
      <c r="M7" s="1"/>
      <c r="N7" s="1">
        <v>593241</v>
      </c>
      <c r="O7" s="1">
        <v>976415</v>
      </c>
      <c r="P7" s="1">
        <v>1213253</v>
      </c>
      <c r="Q7" s="1"/>
      <c r="R7" s="1"/>
      <c r="S7" s="1"/>
      <c r="T7" s="1"/>
      <c r="U7" s="1"/>
      <c r="V7" s="1"/>
    </row>
    <row r="8" spans="2:22" x14ac:dyDescent="0.25">
      <c r="B8" t="s">
        <v>17</v>
      </c>
      <c r="C8" s="1">
        <v>19764</v>
      </c>
      <c r="D8" s="1">
        <v>18327</v>
      </c>
      <c r="E8" s="1">
        <v>15187</v>
      </c>
      <c r="G8" s="1">
        <v>14500</v>
      </c>
      <c r="H8" s="1">
        <v>15173</v>
      </c>
      <c r="I8" s="1">
        <v>14390</v>
      </c>
      <c r="M8" s="1"/>
      <c r="N8" s="1">
        <v>55563</v>
      </c>
      <c r="O8" s="1">
        <v>73377</v>
      </c>
      <c r="P8" s="1">
        <v>68824</v>
      </c>
      <c r="Q8" s="1"/>
      <c r="R8" s="1"/>
      <c r="S8" s="1"/>
      <c r="T8" s="1"/>
      <c r="U8" s="1"/>
      <c r="V8" s="1"/>
    </row>
    <row r="9" spans="2:22" x14ac:dyDescent="0.25">
      <c r="B9" t="s">
        <v>18</v>
      </c>
      <c r="C9" s="1">
        <v>42946</v>
      </c>
      <c r="D9" s="1">
        <v>33819</v>
      </c>
      <c r="E9" s="1">
        <v>60494</v>
      </c>
      <c r="G9" s="1">
        <v>43180</v>
      </c>
      <c r="H9" s="1">
        <v>35883</v>
      </c>
      <c r="I9" s="1">
        <v>55226</v>
      </c>
      <c r="M9" s="1"/>
      <c r="N9" s="1">
        <v>135720</v>
      </c>
      <c r="O9" s="1">
        <v>183615</v>
      </c>
      <c r="P9" s="1">
        <v>207045</v>
      </c>
      <c r="Q9" s="1"/>
      <c r="R9" s="1"/>
      <c r="S9" s="1"/>
      <c r="T9" s="1"/>
      <c r="U9" s="1"/>
      <c r="V9" s="1"/>
    </row>
    <row r="10" spans="2:22" x14ac:dyDescent="0.25">
      <c r="B10" t="s">
        <v>19</v>
      </c>
      <c r="C10" s="1">
        <v>18227</v>
      </c>
      <c r="D10" s="1">
        <v>17778</v>
      </c>
      <c r="E10" s="1">
        <v>17506</v>
      </c>
      <c r="G10" s="1">
        <v>20040</v>
      </c>
      <c r="H10" s="1">
        <v>19349</v>
      </c>
      <c r="I10" s="1">
        <v>21187</v>
      </c>
      <c r="M10" s="1"/>
      <c r="N10" s="1">
        <v>55418</v>
      </c>
      <c r="O10" s="1">
        <v>69264</v>
      </c>
      <c r="P10" s="1">
        <v>67675</v>
      </c>
      <c r="Q10" s="1"/>
      <c r="R10" s="1"/>
      <c r="S10" s="1"/>
      <c r="T10" s="1"/>
      <c r="U10" s="1"/>
      <c r="V10" s="1"/>
    </row>
    <row r="11" spans="2:22" x14ac:dyDescent="0.25">
      <c r="B11" t="s">
        <v>20</v>
      </c>
      <c r="C11" s="1">
        <v>14677</v>
      </c>
      <c r="D11" s="1">
        <v>15460</v>
      </c>
      <c r="E11" s="1">
        <v>15861</v>
      </c>
      <c r="G11" s="1">
        <v>18509</v>
      </c>
      <c r="H11" s="1">
        <v>20217</v>
      </c>
      <c r="I11" s="1">
        <v>26528</v>
      </c>
      <c r="M11" s="1"/>
      <c r="N11" s="1">
        <v>89039</v>
      </c>
      <c r="O11" s="1">
        <v>81151</v>
      </c>
      <c r="P11" s="1">
        <v>64282</v>
      </c>
      <c r="Q11" s="1"/>
      <c r="R11" s="1"/>
      <c r="S11" s="1"/>
      <c r="T11" s="1"/>
      <c r="U11" s="1"/>
      <c r="V11" s="1"/>
    </row>
    <row r="12" spans="2:22" x14ac:dyDescent="0.25">
      <c r="B12" t="s">
        <v>42</v>
      </c>
      <c r="C12" s="1">
        <v>8842</v>
      </c>
      <c r="D12" s="1">
        <v>8913</v>
      </c>
      <c r="E12" s="1">
        <v>9103</v>
      </c>
      <c r="G12" s="1">
        <v>9261</v>
      </c>
      <c r="H12" s="1">
        <v>9519</v>
      </c>
      <c r="I12" s="1">
        <v>9816</v>
      </c>
      <c r="M12" s="1"/>
      <c r="N12" s="1">
        <v>37666</v>
      </c>
      <c r="O12" s="1">
        <v>36731</v>
      </c>
      <c r="P12" s="1">
        <v>36496</v>
      </c>
      <c r="Q12" s="1"/>
      <c r="R12" s="1"/>
      <c r="S12" s="1"/>
      <c r="T12" s="1"/>
      <c r="U12" s="1"/>
      <c r="V12" s="1"/>
    </row>
    <row r="13" spans="2:22" x14ac:dyDescent="0.25">
      <c r="B13" t="s">
        <v>22</v>
      </c>
      <c r="C13" s="1">
        <f>SUM(C7:C12)</f>
        <v>405834</v>
      </c>
      <c r="D13" s="1">
        <f>SUM(D7:D12)</f>
        <v>365250</v>
      </c>
      <c r="E13" s="1">
        <f>SUM(E7:E12)</f>
        <v>404219</v>
      </c>
      <c r="G13" s="1">
        <f>SUM(G7:G12)</f>
        <v>465660</v>
      </c>
      <c r="H13" s="1">
        <f>SUM(H7:H12)</f>
        <v>426640</v>
      </c>
      <c r="I13" s="1">
        <f>SUM(I7:I12)</f>
        <v>444839</v>
      </c>
      <c r="M13" s="1"/>
      <c r="N13" s="1">
        <f>SUM(N7:N12)</f>
        <v>966647</v>
      </c>
      <c r="O13" s="1">
        <f>SUM(O7:O12)</f>
        <v>1420553</v>
      </c>
      <c r="P13" s="1">
        <f>SUM(P7:P12)</f>
        <v>1657575</v>
      </c>
      <c r="Q13" s="1"/>
      <c r="R13" s="1"/>
      <c r="S13" s="1"/>
      <c r="T13" s="1"/>
      <c r="U13" s="1"/>
      <c r="V13" s="1"/>
    </row>
    <row r="14" spans="2:22" x14ac:dyDescent="0.25">
      <c r="B14" t="s">
        <v>23</v>
      </c>
      <c r="C14" s="1">
        <f>C6-C13</f>
        <v>-81460</v>
      </c>
      <c r="D14" s="1">
        <f>D6-D13</f>
        <v>-52515</v>
      </c>
      <c r="E14" s="1">
        <f>E6-E13</f>
        <v>-83284</v>
      </c>
      <c r="G14" s="1">
        <f>G6-G13</f>
        <v>-63313</v>
      </c>
      <c r="H14" s="1">
        <f>H6-H13</f>
        <v>-35675</v>
      </c>
      <c r="I14" s="1">
        <f>I6-I13</f>
        <v>-58632</v>
      </c>
      <c r="M14" s="1"/>
      <c r="N14" s="1">
        <f>N6-N13</f>
        <v>-328277</v>
      </c>
      <c r="O14" s="1">
        <f>O6-O13</f>
        <v>-411857</v>
      </c>
      <c r="P14" s="1">
        <f>P6-P13</f>
        <v>-289350</v>
      </c>
      <c r="Q14" s="1"/>
      <c r="R14" s="1"/>
      <c r="S14" s="1"/>
      <c r="T14" s="1"/>
      <c r="U14" s="1"/>
      <c r="V14" s="1"/>
    </row>
    <row r="15" spans="2:22" x14ac:dyDescent="0.25">
      <c r="B15" t="s">
        <v>24</v>
      </c>
      <c r="C15" s="1">
        <v>-2022</v>
      </c>
      <c r="D15" s="1">
        <v>-1815</v>
      </c>
      <c r="E15" s="1">
        <v>-1448</v>
      </c>
      <c r="G15" s="1">
        <v>7097</v>
      </c>
      <c r="H15" s="1">
        <v>9941</v>
      </c>
      <c r="I15" s="1">
        <v>4143</v>
      </c>
      <c r="M15" s="1"/>
      <c r="N15" s="1">
        <v>-26190</v>
      </c>
      <c r="O15" s="1">
        <v>-14854</v>
      </c>
      <c r="P15" s="1">
        <v>-4631</v>
      </c>
      <c r="Q15" s="1"/>
      <c r="R15" s="1"/>
      <c r="S15" s="1"/>
      <c r="T15" s="1"/>
      <c r="U15" s="1"/>
      <c r="V15" s="1"/>
    </row>
    <row r="16" spans="2:22" x14ac:dyDescent="0.25">
      <c r="B16" t="s">
        <v>25</v>
      </c>
      <c r="C16" s="1">
        <f>+C14+C15</f>
        <v>-83482</v>
      </c>
      <c r="D16" s="1">
        <f>+D14+D15</f>
        <v>-54330</v>
      </c>
      <c r="E16" s="1">
        <f>+E14+E15</f>
        <v>-84732</v>
      </c>
      <c r="G16" s="1">
        <f>+G14+G15</f>
        <v>-56216</v>
      </c>
      <c r="H16" s="1">
        <f>+H14+H15</f>
        <v>-25734</v>
      </c>
      <c r="I16" s="1">
        <f>+I14+I15</f>
        <v>-54489</v>
      </c>
      <c r="M16" s="1"/>
      <c r="N16" s="1">
        <f>+N14+N15</f>
        <v>-354467</v>
      </c>
      <c r="O16" s="1">
        <f>+O14+O15</f>
        <v>-426711</v>
      </c>
      <c r="P16" s="1">
        <f>+P14+P15</f>
        <v>-293981</v>
      </c>
      <c r="Q16" s="1"/>
      <c r="R16" s="1"/>
      <c r="S16" s="1"/>
      <c r="T16" s="1"/>
      <c r="U16" s="1"/>
      <c r="V16" s="1"/>
    </row>
    <row r="17" spans="2:22" x14ac:dyDescent="0.25">
      <c r="B17" t="s">
        <v>26</v>
      </c>
      <c r="C17">
        <v>114</v>
      </c>
      <c r="D17">
        <v>121</v>
      </c>
      <c r="E17">
        <v>247</v>
      </c>
      <c r="G17">
        <v>-113</v>
      </c>
      <c r="H17">
        <v>-99</v>
      </c>
      <c r="I17">
        <v>-195</v>
      </c>
      <c r="N17">
        <v>2681</v>
      </c>
      <c r="O17">
        <v>1666</v>
      </c>
      <c r="P17">
        <v>879</v>
      </c>
    </row>
    <row r="18" spans="2:22" x14ac:dyDescent="0.25">
      <c r="B18" t="s">
        <v>28</v>
      </c>
      <c r="C18" s="1">
        <v>-256</v>
      </c>
      <c r="D18" s="1">
        <v>4259</v>
      </c>
      <c r="E18" s="1">
        <v>669</v>
      </c>
      <c r="G18" s="1">
        <v>-255</v>
      </c>
      <c r="H18" s="1">
        <v>106</v>
      </c>
      <c r="I18" s="1">
        <v>1836</v>
      </c>
      <c r="M18" s="1"/>
      <c r="N18" s="1">
        <v>-31177</v>
      </c>
      <c r="O18" s="1">
        <v>-136874</v>
      </c>
      <c r="P18" s="1">
        <v>5185</v>
      </c>
      <c r="Q18" s="1"/>
      <c r="R18" s="1"/>
      <c r="S18" s="1"/>
      <c r="T18" s="1"/>
      <c r="U18" s="1"/>
      <c r="V18" s="1"/>
    </row>
    <row r="19" spans="2:22" x14ac:dyDescent="0.25">
      <c r="B19" t="s">
        <v>27</v>
      </c>
      <c r="C19" s="1">
        <f>C16+C17+C18</f>
        <v>-83624</v>
      </c>
      <c r="D19" s="1">
        <f>D16+D17+D18</f>
        <v>-49950</v>
      </c>
      <c r="E19" s="1">
        <f>E16+E17+E18</f>
        <v>-83816</v>
      </c>
      <c r="G19" s="1">
        <f>G16+G17+G18</f>
        <v>-56584</v>
      </c>
      <c r="H19" s="1">
        <f>H16+H17+H18</f>
        <v>-25727</v>
      </c>
      <c r="I19" s="1">
        <f>I16+I17+I18</f>
        <v>-52848</v>
      </c>
      <c r="M19" s="1"/>
      <c r="N19" s="1">
        <f>N16+N17+N18</f>
        <v>-382963</v>
      </c>
      <c r="O19" s="1">
        <f>O16+O17+O18</f>
        <v>-561919</v>
      </c>
      <c r="P19" s="1">
        <f>P16+P17+P18</f>
        <v>-287917</v>
      </c>
      <c r="Q19" s="1"/>
      <c r="R19" s="1"/>
      <c r="S19" s="1"/>
      <c r="T19" s="1"/>
      <c r="U19" s="1"/>
      <c r="V19" s="1"/>
    </row>
    <row r="20" spans="2:22" x14ac:dyDescent="0.25">
      <c r="B20" t="s">
        <v>29</v>
      </c>
      <c r="C20" s="3">
        <f>C19/C21</f>
        <v>-0.37090130582993525</v>
      </c>
      <c r="D20" s="3">
        <f>D19/D21</f>
        <v>-0.17122559820979266</v>
      </c>
      <c r="E20" s="3">
        <f>E19/E21</f>
        <v>-0.28636053751720553</v>
      </c>
      <c r="G20" s="3">
        <f>G19/G21</f>
        <v>-0.18901448633826848</v>
      </c>
      <c r="H20" s="3">
        <f>H19/H21</f>
        <v>-8.265600410746396E-2</v>
      </c>
      <c r="I20" s="3">
        <f>I19/I21</f>
        <v>-0.15938099903869263</v>
      </c>
      <c r="M20" s="3"/>
      <c r="N20" s="3">
        <f>N19/N21</f>
        <v>-2.7852244071748</v>
      </c>
      <c r="O20" s="3">
        <f>O19/O21</f>
        <v>-3.0794795229729108</v>
      </c>
      <c r="P20" s="3">
        <f>P19/P21</f>
        <v>-1.0421102341155872</v>
      </c>
      <c r="Q20" s="3"/>
      <c r="R20" s="3"/>
      <c r="S20" s="3"/>
      <c r="T20" s="3"/>
      <c r="U20" s="3"/>
      <c r="V20" s="3"/>
    </row>
    <row r="21" spans="2:22" x14ac:dyDescent="0.25">
      <c r="B21" t="s">
        <v>1</v>
      </c>
      <c r="C21" s="1">
        <f>225461595/1000</f>
        <v>225461.595</v>
      </c>
      <c r="D21" s="1">
        <f>291720400/1000</f>
        <v>291720.40000000002</v>
      </c>
      <c r="E21" s="1">
        <f>292693961/1000</f>
        <v>292693.96100000001</v>
      </c>
      <c r="G21" s="1">
        <f>299363298/1000</f>
        <v>299363.29800000001</v>
      </c>
      <c r="H21" s="1">
        <f>311253856/1000</f>
        <v>311253.85600000003</v>
      </c>
      <c r="I21" s="1">
        <f>331582813/1000</f>
        <v>331582.81300000002</v>
      </c>
      <c r="M21" s="1"/>
      <c r="N21" s="1">
        <f>137498077/1000</f>
        <v>137498.07699999999</v>
      </c>
      <c r="O21" s="1">
        <f>182472069/1000</f>
        <v>182472.06899999999</v>
      </c>
      <c r="P21" s="1">
        <f>276282672/1000</f>
        <v>276282.67200000002</v>
      </c>
      <c r="Q21" s="1"/>
      <c r="R21" s="1"/>
      <c r="S21" s="1"/>
      <c r="T21" s="1"/>
      <c r="U21" s="1"/>
      <c r="V21" s="1"/>
    </row>
    <row r="23" spans="2:22" x14ac:dyDescent="0.25">
      <c r="B23" t="s">
        <v>46</v>
      </c>
      <c r="D23" s="4">
        <f>+D6/C6-1</f>
        <v>-3.5881420829042998E-2</v>
      </c>
      <c r="E23" s="4">
        <f>+E6/D6-1</f>
        <v>2.6220282347674484E-2</v>
      </c>
      <c r="F23" s="4"/>
      <c r="G23" s="4"/>
      <c r="H23" s="4">
        <f>+H6/G6-1</f>
        <v>-2.8289014209127994E-2</v>
      </c>
      <c r="I23" s="4">
        <f>+I6/H6-1</f>
        <v>-1.2169887330067963E-2</v>
      </c>
      <c r="O23" s="4">
        <f>+O6/N6-1</f>
        <v>0.5801118473612481</v>
      </c>
      <c r="P23" s="4">
        <f>+P6/O6-1</f>
        <v>0.35642948916224504</v>
      </c>
    </row>
    <row r="24" spans="2:22" x14ac:dyDescent="0.25">
      <c r="B24" t="s">
        <v>47</v>
      </c>
      <c r="C24" s="4">
        <f>1-+C7/C6</f>
        <v>7.0893474816107305E-2</v>
      </c>
      <c r="D24" s="4">
        <f>1-+D7/D6</f>
        <v>0.13360193134762655</v>
      </c>
      <c r="E24" s="4">
        <f>1-+E7/E6</f>
        <v>0.10864193684079326</v>
      </c>
      <c r="F24" s="4"/>
      <c r="G24" s="4">
        <f>1-+G7/G6</f>
        <v>0.10482742508332354</v>
      </c>
      <c r="H24" s="4">
        <f>1-+H7/H6</f>
        <v>0.16488944023122276</v>
      </c>
      <c r="I24" s="4">
        <f>1-+I7/I6</f>
        <v>0.17740486319512594</v>
      </c>
      <c r="N24" s="4">
        <f>1-+N7/N6</f>
        <v>7.069411156539307E-2</v>
      </c>
      <c r="O24" s="4">
        <f>1-+O7/O6</f>
        <v>3.2002704481826072E-2</v>
      </c>
      <c r="P24" s="4">
        <f>1-+P7/P6</f>
        <v>0.11326499661970801</v>
      </c>
    </row>
    <row r="26" spans="2:22" x14ac:dyDescent="0.25">
      <c r="B26" t="s">
        <v>30</v>
      </c>
      <c r="C26" s="1">
        <f>C19</f>
        <v>-83624</v>
      </c>
      <c r="D26" s="1">
        <f>D19</f>
        <v>-49950</v>
      </c>
      <c r="E26" s="1">
        <f>E19</f>
        <v>-83816</v>
      </c>
      <c r="G26" s="1">
        <f>G19</f>
        <v>-56584</v>
      </c>
      <c r="H26" s="1">
        <f>H19</f>
        <v>-25727</v>
      </c>
      <c r="I26" s="1">
        <f>I19</f>
        <v>-52848</v>
      </c>
      <c r="M26" s="1"/>
      <c r="N26" s="1">
        <f>N19</f>
        <v>-382963</v>
      </c>
      <c r="O26" s="1">
        <f>O19</f>
        <v>-561919</v>
      </c>
      <c r="P26" s="1">
        <f>P19</f>
        <v>-287917</v>
      </c>
      <c r="Q26" s="1"/>
      <c r="R26" s="1"/>
      <c r="S26" s="1"/>
      <c r="T26" s="1"/>
      <c r="U26" s="1"/>
      <c r="V26" s="1"/>
    </row>
    <row r="27" spans="2:22" x14ac:dyDescent="0.25">
      <c r="B27" t="s">
        <v>31</v>
      </c>
      <c r="C27" s="1">
        <v>-83624</v>
      </c>
      <c r="D27" s="1">
        <f>-133574-C27</f>
        <v>-49950</v>
      </c>
      <c r="E27" s="1">
        <f>-217390-SUM(C27:D27)</f>
        <v>-83816</v>
      </c>
      <c r="G27" s="1">
        <v>-56584</v>
      </c>
      <c r="H27" s="1">
        <f>-82311-G27</f>
        <v>-25727</v>
      </c>
      <c r="I27" s="1">
        <f>-135159-H27-G27</f>
        <v>-52848</v>
      </c>
      <c r="M27" s="1"/>
      <c r="N27" s="1">
        <v>-382963</v>
      </c>
      <c r="O27" s="1">
        <v>-561919</v>
      </c>
      <c r="P27" s="1">
        <v>-287917</v>
      </c>
      <c r="Q27" s="1"/>
      <c r="R27" s="1"/>
      <c r="S27" s="1"/>
      <c r="T27" s="1"/>
      <c r="U27" s="1"/>
      <c r="V27" s="1"/>
    </row>
    <row r="28" spans="2:22" x14ac:dyDescent="0.25">
      <c r="B28" t="s">
        <v>37</v>
      </c>
      <c r="C28">
        <v>-256</v>
      </c>
      <c r="D28" s="1">
        <f>4003-SUM(C28)</f>
        <v>4259</v>
      </c>
      <c r="E28" s="1">
        <f>4672-SUM(C28:D28)</f>
        <v>669</v>
      </c>
      <c r="G28" s="1">
        <v>-255</v>
      </c>
      <c r="H28" s="1">
        <f>-149-G28</f>
        <v>106</v>
      </c>
      <c r="I28" s="1">
        <f>1687-H28-G28</f>
        <v>1836</v>
      </c>
      <c r="M28" s="1"/>
      <c r="N28" s="1">
        <v>-31177</v>
      </c>
      <c r="O28" s="1">
        <v>-136874</v>
      </c>
      <c r="P28" s="1">
        <v>5185</v>
      </c>
      <c r="Q28" s="1"/>
      <c r="R28" s="1"/>
      <c r="S28" s="1"/>
      <c r="T28" s="1"/>
      <c r="U28" s="1"/>
      <c r="V28" s="1"/>
    </row>
    <row r="29" spans="2:22" x14ac:dyDescent="0.25">
      <c r="B29" t="s">
        <v>38</v>
      </c>
      <c r="C29" s="1">
        <f>C27-C28</f>
        <v>-83368</v>
      </c>
      <c r="D29" s="1">
        <f>D27-D28</f>
        <v>-54209</v>
      </c>
      <c r="E29" s="1">
        <f>E27-E28</f>
        <v>-84485</v>
      </c>
      <c r="G29" s="1">
        <f>G27-G28</f>
        <v>-56329</v>
      </c>
      <c r="H29" s="1">
        <f>H27-H28</f>
        <v>-25833</v>
      </c>
      <c r="I29" s="1">
        <f>I27-I28</f>
        <v>-54684</v>
      </c>
      <c r="M29" s="1"/>
      <c r="N29" s="1">
        <f>N27-N28</f>
        <v>-351786</v>
      </c>
      <c r="O29" s="1">
        <f>O27-O28</f>
        <v>-425045</v>
      </c>
      <c r="P29" s="1">
        <f>P27-P28</f>
        <v>-293102</v>
      </c>
      <c r="Q29" s="1"/>
      <c r="R29" s="1"/>
      <c r="S29" s="1"/>
      <c r="T29" s="1"/>
      <c r="U29" s="1"/>
      <c r="V29" s="1"/>
    </row>
    <row r="30" spans="2:22" x14ac:dyDescent="0.25">
      <c r="B30" t="s">
        <v>42</v>
      </c>
      <c r="C30" s="1">
        <v>8842</v>
      </c>
      <c r="D30" s="1">
        <f>17755-C30</f>
        <v>8913</v>
      </c>
      <c r="E30" s="1">
        <f>26858-SUM(C30:D30)</f>
        <v>9103</v>
      </c>
      <c r="G30" s="1">
        <v>9261</v>
      </c>
      <c r="H30" s="1">
        <f>18780-G30</f>
        <v>9519</v>
      </c>
      <c r="I30" s="1">
        <f>28596-H30-G30</f>
        <v>9816</v>
      </c>
      <c r="M30" s="1"/>
      <c r="N30" s="1">
        <v>37666</v>
      </c>
      <c r="O30" s="1">
        <v>36731</v>
      </c>
      <c r="P30" s="1">
        <v>36496</v>
      </c>
      <c r="Q30" s="1"/>
      <c r="R30" s="1"/>
      <c r="S30" s="1"/>
      <c r="T30" s="1"/>
      <c r="U30" s="1"/>
      <c r="V30" s="1"/>
    </row>
    <row r="31" spans="2:22" x14ac:dyDescent="0.25">
      <c r="B31" t="s">
        <v>39</v>
      </c>
      <c r="C31" s="1">
        <v>13688</v>
      </c>
      <c r="D31" s="1">
        <f>26744-C31</f>
        <v>13056</v>
      </c>
      <c r="E31" s="1">
        <f>39451-SUM(C31:D31)</f>
        <v>12707</v>
      </c>
      <c r="G31" s="1">
        <v>12977</v>
      </c>
      <c r="H31" s="1">
        <f>23285-G31</f>
        <v>10308</v>
      </c>
      <c r="I31" s="1">
        <f>32609-H31-G31</f>
        <v>9324</v>
      </c>
      <c r="M31" s="1"/>
      <c r="N31" s="1">
        <v>53150</v>
      </c>
      <c r="O31" s="1">
        <v>52454</v>
      </c>
      <c r="P31" s="1">
        <v>51215</v>
      </c>
      <c r="Q31" s="1"/>
      <c r="R31" s="1"/>
      <c r="S31" s="1"/>
      <c r="T31" s="1"/>
      <c r="U31" s="1"/>
      <c r="V31" s="1"/>
    </row>
    <row r="32" spans="2:22" x14ac:dyDescent="0.25">
      <c r="B32" t="s">
        <v>43</v>
      </c>
      <c r="C32" s="1">
        <v>623</v>
      </c>
      <c r="D32" s="1">
        <f>1268-C32</f>
        <v>645</v>
      </c>
      <c r="E32" s="1">
        <f>1918-SUM(C32:D32)</f>
        <v>650</v>
      </c>
      <c r="G32" s="1">
        <v>-253</v>
      </c>
      <c r="H32" s="1">
        <f>-521-G32</f>
        <v>-268</v>
      </c>
      <c r="I32" s="1">
        <f>-869-H32-G32</f>
        <v>-348</v>
      </c>
      <c r="M32" s="1"/>
      <c r="N32" s="1">
        <v>14928</v>
      </c>
      <c r="O32" s="1">
        <v>2476</v>
      </c>
      <c r="P32" s="1">
        <v>2574</v>
      </c>
      <c r="Q32" s="1"/>
      <c r="R32" s="1"/>
      <c r="S32" s="1"/>
      <c r="T32" s="1"/>
      <c r="U32" s="1"/>
      <c r="V32" s="1"/>
    </row>
    <row r="33" spans="2:22" x14ac:dyDescent="0.25">
      <c r="B33" t="s">
        <v>44</v>
      </c>
      <c r="C33" s="1">
        <v>0</v>
      </c>
      <c r="D33" s="1">
        <v>0</v>
      </c>
      <c r="E33" s="1">
        <f>0-SUM(C33:D33)</f>
        <v>0</v>
      </c>
      <c r="G33" s="1">
        <v>-9637</v>
      </c>
      <c r="H33" s="1">
        <f>-21761-SUM(G33)</f>
        <v>-12124</v>
      </c>
      <c r="I33" s="1">
        <f>-29513-SUM(G33:H33)</f>
        <v>-7752</v>
      </c>
      <c r="M33" s="1"/>
      <c r="N33" s="1">
        <v>380</v>
      </c>
      <c r="O33" s="1">
        <v>0</v>
      </c>
      <c r="P33" s="1">
        <v>-1607</v>
      </c>
      <c r="Q33" s="1"/>
      <c r="R33" s="1"/>
      <c r="S33" s="1"/>
      <c r="T33" s="1"/>
      <c r="U33" s="1"/>
      <c r="V33" s="1"/>
    </row>
    <row r="34" spans="2:22" x14ac:dyDescent="0.25">
      <c r="B34" t="s">
        <v>45</v>
      </c>
      <c r="C34" s="1">
        <v>-114</v>
      </c>
      <c r="D34" s="1">
        <f>-235-C34</f>
        <v>-121</v>
      </c>
      <c r="E34" s="1">
        <f>-485-SUM(C34:D34)</f>
        <v>-250</v>
      </c>
      <c r="G34" s="1">
        <v>113</v>
      </c>
      <c r="H34" s="1">
        <f>212-G34</f>
        <v>99</v>
      </c>
      <c r="I34" s="1">
        <f>0-SUM(G34:H34)</f>
        <v>-212</v>
      </c>
      <c r="M34" s="1"/>
      <c r="N34" s="1">
        <v>-2681</v>
      </c>
      <c r="O34" s="1">
        <v>-1666</v>
      </c>
      <c r="P34" s="1">
        <v>-995</v>
      </c>
      <c r="Q34" s="1"/>
      <c r="R34" s="1"/>
      <c r="S34" s="1"/>
      <c r="T34" s="1"/>
      <c r="U34" s="1"/>
      <c r="V34" s="1"/>
    </row>
    <row r="35" spans="2:22" x14ac:dyDescent="0.25">
      <c r="B35" t="s">
        <v>40</v>
      </c>
      <c r="C35" s="1">
        <v>667</v>
      </c>
      <c r="D35" s="1">
        <f>1359-SUM(C35)</f>
        <v>692</v>
      </c>
      <c r="E35" s="1">
        <f>2337-SUM(C35:D35)</f>
        <v>978</v>
      </c>
      <c r="G35" s="1">
        <v>994</v>
      </c>
      <c r="H35" s="1">
        <f>1964-G35</f>
        <v>970</v>
      </c>
      <c r="I35" s="1">
        <f>2849-H35-G35</f>
        <v>885</v>
      </c>
      <c r="M35" s="1"/>
      <c r="N35" s="1">
        <v>954</v>
      </c>
      <c r="O35" s="1">
        <v>3078</v>
      </c>
      <c r="P35" s="1">
        <v>3126</v>
      </c>
      <c r="Q35" s="1"/>
      <c r="R35" s="1"/>
      <c r="S35" s="1"/>
      <c r="T35" s="1"/>
      <c r="U35" s="1"/>
      <c r="V35" s="1"/>
    </row>
    <row r="36" spans="2:22" x14ac:dyDescent="0.25">
      <c r="B36" t="s">
        <v>16</v>
      </c>
      <c r="C36" s="1">
        <v>163</v>
      </c>
      <c r="D36" s="1">
        <f>319-C36</f>
        <v>156</v>
      </c>
      <c r="E36" s="1">
        <f>480-SUM(C36:D36)</f>
        <v>161</v>
      </c>
      <c r="G36" s="1">
        <v>168</v>
      </c>
      <c r="H36" s="1">
        <f>341-SUM(G36)</f>
        <v>173</v>
      </c>
      <c r="I36" s="1">
        <f>518-SUM(G36:H36)</f>
        <v>177</v>
      </c>
      <c r="M36" s="1"/>
      <c r="N36" s="1">
        <f>583-2659</f>
        <v>-2076</v>
      </c>
      <c r="O36" s="1">
        <f>1701+1155</f>
        <v>2856</v>
      </c>
      <c r="P36" s="1">
        <v>695</v>
      </c>
      <c r="Q36" s="1"/>
      <c r="R36" s="1"/>
      <c r="S36" s="1"/>
      <c r="T36" s="1"/>
      <c r="U36" s="1"/>
      <c r="V36" s="1"/>
    </row>
    <row r="37" spans="2:22" x14ac:dyDescent="0.25">
      <c r="B37" t="s">
        <v>33</v>
      </c>
      <c r="C37" s="1">
        <f>2739+1877-6731-4974-11569+1048+70</f>
        <v>-17540</v>
      </c>
      <c r="D37" s="1">
        <f>SUM(-4828-5169+1127-20716-22845-4659-610)-SUM(C37)</f>
        <v>-40160</v>
      </c>
      <c r="E37" s="1">
        <f>SUM(-18123-14173-1125-7545+605+20543-1669)-SUM(C37:D37)</f>
        <v>36213</v>
      </c>
      <c r="G37" s="1">
        <f>6615+419-4399-22102-3227-381-1265</f>
        <v>-24340</v>
      </c>
      <c r="H37" s="1">
        <f>SUM(8383+3736+4862-37133-12518-3812-2576)-G37</f>
        <v>-14718</v>
      </c>
      <c r="I37" s="1">
        <f>SUM(3470+4214+4433-13312-1631+12907-3902)-H37-G37</f>
        <v>45237</v>
      </c>
      <c r="M37" s="1"/>
      <c r="N37" s="1">
        <f>-15047-3554-3284+8727+64792+26055-120</f>
        <v>77569</v>
      </c>
      <c r="O37" s="1">
        <f>-9778-950-34384+12014+50116+21102+1210</f>
        <v>39330</v>
      </c>
      <c r="P37" s="1">
        <f>-36200-14498-1525+6635+52180+24774-2813</f>
        <v>28553</v>
      </c>
      <c r="Q37" s="1"/>
      <c r="R37" s="1"/>
      <c r="S37" s="1"/>
      <c r="T37" s="1"/>
      <c r="U37" s="1"/>
      <c r="V37" s="1"/>
    </row>
    <row r="38" spans="2:22" x14ac:dyDescent="0.25">
      <c r="B38" t="s">
        <v>41</v>
      </c>
      <c r="C38" s="1">
        <v>-1150</v>
      </c>
      <c r="D38" s="1">
        <f>-1232-C38</f>
        <v>-82</v>
      </c>
      <c r="E38" s="1">
        <f>-2569-SUM(C38:D38)</f>
        <v>-1337</v>
      </c>
      <c r="G38" s="1">
        <v>-233</v>
      </c>
      <c r="H38" s="1">
        <f>-629-G38</f>
        <v>-396</v>
      </c>
      <c r="I38" s="1">
        <f>-2837-H38-G38</f>
        <v>-2208</v>
      </c>
      <c r="M38" s="1"/>
      <c r="N38" s="1">
        <v>-24031</v>
      </c>
      <c r="O38" s="1">
        <v>-26915</v>
      </c>
      <c r="P38" s="1">
        <v>-4577</v>
      </c>
      <c r="Q38" s="1"/>
      <c r="R38" s="1"/>
      <c r="S38" s="1"/>
      <c r="T38" s="1"/>
      <c r="U38" s="1"/>
      <c r="V38" s="1"/>
    </row>
    <row r="39" spans="2:22" x14ac:dyDescent="0.25">
      <c r="B39" t="s">
        <v>34</v>
      </c>
      <c r="C39" s="1">
        <f>SUM(C29:C38)</f>
        <v>-78189</v>
      </c>
      <c r="D39" s="1">
        <f>SUM(D29:D38)</f>
        <v>-71110</v>
      </c>
      <c r="E39" s="1">
        <f>SUM(E29:E38)</f>
        <v>-26260</v>
      </c>
      <c r="G39" s="1">
        <f>SUM(G29:G38)</f>
        <v>-67279</v>
      </c>
      <c r="H39" s="1">
        <f>SUM(H29:H38)</f>
        <v>-32270</v>
      </c>
      <c r="I39" s="1">
        <f>SUM(I29:I38)</f>
        <v>235</v>
      </c>
      <c r="M39" s="1"/>
      <c r="N39" s="1">
        <f>SUM(N29:N38)</f>
        <v>-195927</v>
      </c>
      <c r="O39" s="1">
        <f>SUM(O29:O38)</f>
        <v>-316701</v>
      </c>
      <c r="P39" s="1">
        <f>SUM(P29:P38)</f>
        <v>-177622</v>
      </c>
      <c r="Q39" s="1"/>
      <c r="R39" s="1"/>
      <c r="S39" s="1"/>
      <c r="T39" s="1"/>
      <c r="U39" s="1"/>
      <c r="V39" s="1"/>
    </row>
    <row r="40" spans="2:22" x14ac:dyDescent="0.25">
      <c r="C40" s="1"/>
      <c r="E40" s="1"/>
      <c r="G40" s="1"/>
    </row>
    <row r="41" spans="2:22" x14ac:dyDescent="0.25">
      <c r="B41" t="s">
        <v>34</v>
      </c>
      <c r="C41" s="1">
        <v>-78189</v>
      </c>
      <c r="D41" s="1">
        <f>-149299-C41</f>
        <v>-71110</v>
      </c>
      <c r="E41" s="1">
        <f>-175557-SUM(C41:D41)</f>
        <v>-26258</v>
      </c>
      <c r="F41" s="1"/>
      <c r="G41" s="1">
        <v>-67279</v>
      </c>
      <c r="H41" s="1">
        <f>-99549-G41</f>
        <v>-32270</v>
      </c>
      <c r="I41" s="1">
        <f>-99314-SUM(G41:H41)</f>
        <v>235</v>
      </c>
      <c r="M41" s="1"/>
      <c r="N41" s="1">
        <v>-195927</v>
      </c>
      <c r="O41" s="1">
        <v>-316701</v>
      </c>
      <c r="P41" s="1">
        <v>-177622</v>
      </c>
      <c r="Q41" s="1"/>
      <c r="R41" s="1"/>
      <c r="S41" s="1"/>
      <c r="T41" s="1"/>
      <c r="U41" s="1"/>
      <c r="V41" s="1"/>
    </row>
    <row r="42" spans="2:22" x14ac:dyDescent="0.25">
      <c r="B42" t="s">
        <v>35</v>
      </c>
      <c r="C42" s="1">
        <v>-102</v>
      </c>
      <c r="D42" s="1">
        <f>-267-C42</f>
        <v>-165</v>
      </c>
      <c r="E42" s="1">
        <f>-375-SUM(C42:D42)</f>
        <v>-108</v>
      </c>
      <c r="F42" s="1"/>
      <c r="G42" s="1">
        <v>-108</v>
      </c>
      <c r="H42" s="1">
        <f>-316-G42</f>
        <v>-208</v>
      </c>
      <c r="I42" s="1">
        <f>-1899-SUM(G42:H42)</f>
        <v>-1583</v>
      </c>
      <c r="M42" s="1"/>
      <c r="N42" s="1">
        <v>-3409</v>
      </c>
      <c r="O42" s="1">
        <v>-1130</v>
      </c>
      <c r="P42" s="1">
        <v>-1071</v>
      </c>
      <c r="Q42" s="1"/>
      <c r="R42" s="1"/>
      <c r="S42" s="1"/>
      <c r="T42" s="1"/>
      <c r="U42" s="1"/>
      <c r="V42" s="1"/>
    </row>
    <row r="43" spans="2:22" x14ac:dyDescent="0.25">
      <c r="B43" t="s">
        <v>36</v>
      </c>
      <c r="C43" s="1">
        <f>C42+C41</f>
        <v>-78291</v>
      </c>
      <c r="D43" s="1">
        <f>D42+D41</f>
        <v>-71275</v>
      </c>
      <c r="E43" s="1">
        <f>E42+E41</f>
        <v>-26366</v>
      </c>
      <c r="F43" s="1"/>
      <c r="G43" s="1">
        <f>G42+G41</f>
        <v>-67387</v>
      </c>
      <c r="H43" s="1">
        <f>H42+H41</f>
        <v>-32478</v>
      </c>
      <c r="I43" s="1">
        <f>I42+I41</f>
        <v>-1348</v>
      </c>
      <c r="M43" s="1"/>
      <c r="N43" s="1">
        <f>N42+N41</f>
        <v>-199336</v>
      </c>
      <c r="O43" s="1">
        <f>O42+O41</f>
        <v>-317831</v>
      </c>
      <c r="P43" s="1">
        <f>P42+P41</f>
        <v>-178693</v>
      </c>
      <c r="Q43" s="1"/>
      <c r="R43" s="1"/>
      <c r="S43" s="1"/>
      <c r="T43" s="1"/>
      <c r="U43" s="1"/>
      <c r="V43" s="1"/>
    </row>
    <row r="46" spans="2:22" x14ac:dyDescent="0.25">
      <c r="G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Eastman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Kirpach, Albert</dc:creator>
  <cp:lastModifiedBy>Kirpach, Albert</cp:lastModifiedBy>
  <dcterms:created xsi:type="dcterms:W3CDTF">2025-01-07T23:42:32Z</dcterms:created>
  <dcterms:modified xsi:type="dcterms:W3CDTF">2025-01-09T20:19:22Z</dcterms:modified>
</cp:coreProperties>
</file>