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K20" i="2"/>
  <c r="O20" i="2"/>
  <c r="O19" i="2"/>
  <c r="K12" i="2"/>
  <c r="K13" i="2" s="1"/>
  <c r="K11" i="2"/>
  <c r="K7" i="2"/>
  <c r="O16" i="2"/>
  <c r="O15" i="2"/>
  <c r="P15" i="2"/>
  <c r="P13" i="2"/>
  <c r="L13" i="2"/>
  <c r="L15" i="2" s="1"/>
  <c r="O13" i="2"/>
  <c r="O12" i="2"/>
  <c r="O11" i="2"/>
  <c r="L12" i="2"/>
  <c r="P12" i="2"/>
  <c r="O7" i="2"/>
  <c r="P19" i="2"/>
  <c r="K15" i="2" l="1"/>
  <c r="K16" i="2" s="1"/>
  <c r="L36" i="2"/>
  <c r="P36" i="2"/>
  <c r="L23" i="2"/>
  <c r="L31" i="2"/>
  <c r="L24" i="2" l="1"/>
  <c r="L32" i="2" s="1"/>
  <c r="P31" i="2"/>
  <c r="P24" i="2"/>
  <c r="P32" i="2" s="1"/>
  <c r="L7" i="2" l="1"/>
  <c r="P7" i="2"/>
  <c r="P20" i="2" l="1"/>
  <c r="P22" i="2"/>
  <c r="L20" i="2"/>
  <c r="L16" i="2"/>
  <c r="L22" i="2"/>
  <c r="K6" i="1"/>
  <c r="K8" i="1"/>
  <c r="K5" i="1"/>
  <c r="P16" i="2" l="1"/>
</calcChain>
</file>

<file path=xl/sharedStrings.xml><?xml version="1.0" encoding="utf-8"?>
<sst xmlns="http://schemas.openxmlformats.org/spreadsheetml/2006/main" count="61" uniqueCount="54">
  <si>
    <t>Price</t>
  </si>
  <si>
    <t>Shares</t>
  </si>
  <si>
    <t>MC</t>
  </si>
  <si>
    <t>Cash</t>
  </si>
  <si>
    <t>Debt</t>
  </si>
  <si>
    <t>EV</t>
  </si>
  <si>
    <t>Teal Drones, Inc.</t>
  </si>
  <si>
    <t>Skypersonic, Inc.</t>
  </si>
  <si>
    <t>Red Cat Propware</t>
  </si>
  <si>
    <t>Rptpr Riot LLC</t>
  </si>
  <si>
    <t>Fat Shark Holdings</t>
  </si>
  <si>
    <t>Q324</t>
  </si>
  <si>
    <t>Q224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</si>
  <si>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</si>
  <si>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</si>
  <si>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</si>
  <si>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</si>
  <si>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</si>
  <si>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</si>
  <si>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</si>
  <si>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</si>
  <si>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</si>
  <si>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</si>
  <si>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</si>
  <si>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</si>
  <si>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</si>
  <si>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</si>
  <si>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</si>
  <si>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</si>
  <si>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</si>
  <si>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R&amp;D</t>
  </si>
  <si>
    <t>G&amp;A</t>
  </si>
  <si>
    <t>S&amp;M</t>
  </si>
  <si>
    <t>Operating Expsenses</t>
  </si>
  <si>
    <t>Operating Income</t>
  </si>
  <si>
    <t>EPS</t>
  </si>
  <si>
    <t>Net Income</t>
  </si>
  <si>
    <t>Model NI</t>
  </si>
  <si>
    <t>Reported NI</t>
  </si>
  <si>
    <t>SBC</t>
  </si>
  <si>
    <t>Amortization</t>
  </si>
  <si>
    <t>Marketable Securities</t>
  </si>
  <si>
    <t>Depreciation</t>
  </si>
  <si>
    <t>Note Receivable</t>
  </si>
  <si>
    <t>Equity loss</t>
  </si>
  <si>
    <t>Intangible assets</t>
  </si>
  <si>
    <t>WC</t>
  </si>
  <si>
    <t>CFFO</t>
  </si>
  <si>
    <t>FCF</t>
  </si>
  <si>
    <t>CapEx</t>
  </si>
  <si>
    <t>Revenue Growth (YoY)</t>
  </si>
  <si>
    <t>Gross Margin</t>
  </si>
  <si>
    <t>Other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</si>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</sst>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"/>
  <sheetViews>
    <sheetView workbookViewId="0">
      <selection activeCell="K4" sqref="K4"/>
    </sheetView>
  </sheetViews>
  <sheetFormatPr defaultRowHeight="15" x14ac:dyDescent="0.25"/>
  <sheetData>
    <row r="3" spans="2:12" x14ac:dyDescent="0.25">
      <c r="J3" t="s">
        <v>0</v>
      </c>
      <c r="K3">
        <v>7.23</v>
      </c>
    </row>
    <row r="4" spans="2:12" x14ac:dyDescent="0.25">
      <c r="B4" t="s">
        <v>7</v>
      </c>
      <c r="J4" t="s">
        <v>1</v>
      </c>
      <c r="K4" s="1">
        <v>74.600736999999995</v>
      </c>
      <c r="L4" t="s">
        <v>12</v>
      </c>
    </row>
    <row r="5" spans="2:12" x14ac:dyDescent="0.25">
      <c r="B5" t="s">
        <v>6</v>
      </c>
      <c r="J5" t="s">
        <v>2</v>
      </c>
      <c r="K5" s="1">
        <f>+K3*K4</f>
        <v>539.36332850999997</v>
      </c>
      <c r="L5" t="s">
        <v>12</v>
      </c>
    </row>
    <row r="6" spans="2:12" x14ac:dyDescent="0.25">
      <c r="B6" t="s">
        <v>8</v>
      </c>
      <c r="J6" t="s">
        <v>3</v>
      </c>
      <c r="K6" s="1">
        <f>7.732763+0.681775</f>
        <v>8.4145380000000003</v>
      </c>
      <c r="L6" t="s">
        <v>12</v>
      </c>
    </row>
    <row r="7" spans="2:12" x14ac:dyDescent="0.25">
      <c r="B7" t="s">
        <v>9</v>
      </c>
      <c r="J7" t="s">
        <v>4</v>
      </c>
      <c r="K7" s="1">
        <v>1.269185</v>
      </c>
      <c r="L7" t="s">
        <v>12</v>
      </c>
    </row>
    <row r="8" spans="2:12" x14ac:dyDescent="0.25">
      <c r="B8" t="s">
        <v>10</v>
      </c>
      <c r="J8" t="s">
        <v>5</v>
      </c>
      <c r="K8" s="1">
        <f>+K5-K6+K7</f>
        <v>532.21797550999997</v>
      </c>
      <c r="L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9" sqref="I19:J19"/>
    </sheetView>
  </sheetViews>
  <sheetFormatPr defaultRowHeight="15" x14ac:dyDescent="0.25"/>
  <cols>
    <col min="2" max="2" width="23.42578125" bestFit="1" customWidth="1"/>
    <col min="11" max="11" width="10.140625" bestFit="1" customWidth="1"/>
    <col min="12" max="12" width="10.85546875" bestFit="1" customWidth="1"/>
    <col min="15" max="15" width="10.140625" bestFit="1" customWidth="1"/>
    <col min="16" max="16" width="13.5703125" bestFit="1" customWidth="1"/>
  </cols>
  <sheetData>
    <row r="2" spans="2:18" x14ac:dyDescent="0.25"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12</v>
      </c>
      <c r="Q2" t="s">
        <v>11</v>
      </c>
      <c r="R2" t="s">
        <v>26</v>
      </c>
    </row>
    <row r="5" spans="2:18" x14ac:dyDescent="0.25">
      <c r="B5" t="s">
        <v>27</v>
      </c>
      <c r="C5" s="1"/>
      <c r="D5" s="1"/>
      <c r="E5" s="1"/>
      <c r="F5" s="1"/>
      <c r="G5" s="1"/>
      <c r="H5" s="1"/>
      <c r="I5" s="1"/>
      <c r="J5" s="1"/>
      <c r="K5" s="1">
        <v>1667683</v>
      </c>
      <c r="L5" s="1">
        <v>1748129</v>
      </c>
      <c r="M5" s="1"/>
      <c r="N5" s="1"/>
      <c r="O5" s="1">
        <v>5847933</v>
      </c>
      <c r="P5" s="1">
        <v>2776535</v>
      </c>
    </row>
    <row r="6" spans="2:18" x14ac:dyDescent="0.25">
      <c r="B6" t="s">
        <v>28</v>
      </c>
      <c r="C6" s="1"/>
      <c r="D6" s="1"/>
      <c r="E6" s="1"/>
      <c r="F6" s="1"/>
      <c r="G6" s="1"/>
      <c r="H6" s="1"/>
      <c r="I6" s="1"/>
      <c r="J6" s="1"/>
      <c r="K6" s="1">
        <v>1764612</v>
      </c>
      <c r="L6" s="1">
        <v>1573464</v>
      </c>
      <c r="M6" s="1"/>
      <c r="N6" s="1"/>
      <c r="O6" s="1">
        <v>4746282</v>
      </c>
      <c r="P6" s="1">
        <v>3259926</v>
      </c>
    </row>
    <row r="7" spans="2:18" x14ac:dyDescent="0.25">
      <c r="B7" t="s">
        <v>29</v>
      </c>
      <c r="C7" s="1"/>
      <c r="D7" s="1"/>
      <c r="E7" s="1"/>
      <c r="F7" s="1"/>
      <c r="G7" s="1"/>
      <c r="H7" s="1"/>
      <c r="I7" s="1"/>
      <c r="J7" s="1"/>
      <c r="K7" s="1">
        <f>+K5-K6</f>
        <v>-96929</v>
      </c>
      <c r="L7" s="1">
        <f>+L5-L6</f>
        <v>174665</v>
      </c>
      <c r="M7" s="1"/>
      <c r="N7" s="1"/>
      <c r="O7" s="1">
        <f>+O5-O6</f>
        <v>1101651</v>
      </c>
      <c r="P7" s="1">
        <f>+P5-P6</f>
        <v>-483391</v>
      </c>
    </row>
    <row r="8" spans="2:18" x14ac:dyDescent="0.25">
      <c r="B8" t="s">
        <v>30</v>
      </c>
      <c r="C8" s="1"/>
      <c r="D8" s="1"/>
      <c r="E8" s="1"/>
      <c r="F8" s="1"/>
      <c r="G8" s="1"/>
      <c r="H8" s="1"/>
      <c r="I8" s="1"/>
      <c r="J8" s="1"/>
      <c r="K8" s="1">
        <v>1221738</v>
      </c>
      <c r="L8" s="1">
        <v>1353551</v>
      </c>
      <c r="M8" s="1"/>
      <c r="N8" s="1"/>
      <c r="O8" s="1">
        <v>2125268</v>
      </c>
      <c r="P8" s="1">
        <v>1626440</v>
      </c>
    </row>
    <row r="9" spans="2:18" x14ac:dyDescent="0.25">
      <c r="B9" t="s">
        <v>32</v>
      </c>
      <c r="C9" s="1"/>
      <c r="D9" s="1"/>
      <c r="E9" s="1"/>
      <c r="F9" s="1"/>
      <c r="G9" s="1"/>
      <c r="H9" s="1"/>
      <c r="I9" s="1"/>
      <c r="J9" s="1"/>
      <c r="K9" s="1">
        <v>1015412</v>
      </c>
      <c r="L9" s="1">
        <v>1288760</v>
      </c>
      <c r="M9" s="1"/>
      <c r="N9" s="1"/>
      <c r="O9" s="1">
        <v>883982</v>
      </c>
      <c r="P9" s="1">
        <v>2041511</v>
      </c>
    </row>
    <row r="10" spans="2:18" x14ac:dyDescent="0.25">
      <c r="B10" t="s">
        <v>31</v>
      </c>
      <c r="C10" s="1"/>
      <c r="D10" s="1"/>
      <c r="E10" s="1"/>
      <c r="F10" s="1"/>
      <c r="G10" s="1"/>
      <c r="H10" s="1"/>
      <c r="I10" s="1"/>
      <c r="J10" s="1"/>
      <c r="K10" s="1">
        <v>1397667</v>
      </c>
      <c r="L10" s="1">
        <v>2863758</v>
      </c>
      <c r="M10" s="1"/>
      <c r="N10" s="1"/>
      <c r="O10" s="1">
        <v>1426531</v>
      </c>
      <c r="P10" s="1">
        <v>3483095</v>
      </c>
    </row>
    <row r="11" spans="2:18" x14ac:dyDescent="0.25">
      <c r="B11" t="s">
        <v>52</v>
      </c>
      <c r="C11" s="1"/>
      <c r="D11" s="1"/>
      <c r="E11" s="1"/>
      <c r="F11" s="1"/>
      <c r="G11" s="1"/>
      <c r="H11" s="1"/>
      <c r="I11" s="1"/>
      <c r="J11" s="1"/>
      <c r="K11" s="1">
        <f>663668+788691</f>
        <v>1452359</v>
      </c>
      <c r="L11" s="1">
        <v>0</v>
      </c>
      <c r="M11" s="1"/>
      <c r="N11" s="1"/>
      <c r="O11" s="1">
        <f>527447+585771</f>
        <v>1113218</v>
      </c>
      <c r="P11" s="1">
        <v>93050</v>
      </c>
    </row>
    <row r="12" spans="2:18" x14ac:dyDescent="0.25">
      <c r="B12" t="s">
        <v>33</v>
      </c>
      <c r="C12" s="1"/>
      <c r="D12" s="1"/>
      <c r="E12" s="1"/>
      <c r="F12" s="1"/>
      <c r="G12" s="1"/>
      <c r="H12" s="1"/>
      <c r="I12" s="1"/>
      <c r="J12" s="1"/>
      <c r="K12" s="1">
        <f>SUM(K8:K11)-157575-65110+28667+345836</f>
        <v>5238994</v>
      </c>
      <c r="L12" s="1">
        <f>SUM(L8:L11)+239490+21857+1544</f>
        <v>5768960</v>
      </c>
      <c r="M12" s="1"/>
      <c r="N12" s="1"/>
      <c r="O12" s="1">
        <f>SUM(O8:O11)-113819+160340+15507-320043</f>
        <v>5290984</v>
      </c>
      <c r="P12" s="1">
        <f>SUM(P8:P11)+4008357+734143-24554-29057</f>
        <v>11932985</v>
      </c>
    </row>
    <row r="13" spans="2:18" x14ac:dyDescent="0.25">
      <c r="B13" t="s">
        <v>34</v>
      </c>
      <c r="C13" s="1"/>
      <c r="D13" s="1"/>
      <c r="E13" s="1"/>
      <c r="F13" s="1"/>
      <c r="G13" s="1"/>
      <c r="H13" s="1"/>
      <c r="I13" s="1"/>
      <c r="J13" s="1"/>
      <c r="K13" s="1">
        <f>+K7-K12</f>
        <v>-5335923</v>
      </c>
      <c r="L13" s="1">
        <f>+L7-L12+289389-242573</f>
        <v>-5547479</v>
      </c>
      <c r="M13" s="1"/>
      <c r="N13" s="1"/>
      <c r="O13" s="1">
        <f>+O7-O12</f>
        <v>-4189333</v>
      </c>
      <c r="P13" s="1">
        <f>+P7-P12</f>
        <v>-12416376</v>
      </c>
    </row>
    <row r="14" spans="2:18" x14ac:dyDescent="0.25">
      <c r="B14" t="s">
        <v>53</v>
      </c>
      <c r="C14" s="1"/>
      <c r="D14" s="1"/>
      <c r="E14" s="1"/>
      <c r="F14" s="1"/>
      <c r="G14" s="1"/>
      <c r="H14" s="1"/>
      <c r="I14" s="1"/>
      <c r="J14" s="1"/>
      <c r="K14" s="1">
        <v>-330079</v>
      </c>
      <c r="L14" s="1">
        <v>1646</v>
      </c>
      <c r="M14" s="1"/>
      <c r="N14" s="1"/>
      <c r="O14" s="1">
        <v>-1299205</v>
      </c>
      <c r="P14" s="1">
        <v>-4621</v>
      </c>
    </row>
    <row r="15" spans="2:18" x14ac:dyDescent="0.25">
      <c r="B15" t="s">
        <v>36</v>
      </c>
      <c r="C15" s="1"/>
      <c r="D15" s="1"/>
      <c r="E15" s="1"/>
      <c r="F15" s="1"/>
      <c r="G15" s="1"/>
      <c r="H15" s="1"/>
      <c r="I15" s="1"/>
      <c r="J15" s="1"/>
      <c r="K15" s="1">
        <f>+K13+K14</f>
        <v>-5666002</v>
      </c>
      <c r="L15" s="1">
        <f>+L13+L14</f>
        <v>-5545833</v>
      </c>
      <c r="M15" s="1"/>
      <c r="N15" s="1"/>
      <c r="O15" s="1">
        <f>+O13+O14</f>
        <v>-5488538</v>
      </c>
      <c r="P15" s="1">
        <f>+P13+P14</f>
        <v>-12420997</v>
      </c>
    </row>
    <row r="16" spans="2:18" x14ac:dyDescent="0.25">
      <c r="B16" t="s">
        <v>35</v>
      </c>
      <c r="C16" s="2"/>
      <c r="D16" s="2"/>
      <c r="E16" s="2"/>
      <c r="F16" s="2"/>
      <c r="G16" s="2"/>
      <c r="H16" s="2"/>
      <c r="I16" s="2"/>
      <c r="J16" s="2"/>
      <c r="K16" s="2">
        <f>+K15/K17</f>
        <v>-0.10435756979632931</v>
      </c>
      <c r="L16" s="2">
        <f>+L15/L17</f>
        <v>-0.10095201196446608</v>
      </c>
      <c r="M16" s="2"/>
      <c r="N16" s="2"/>
      <c r="O16" s="2">
        <f>+O15/O17</f>
        <v>-9.8558518250411564E-2</v>
      </c>
      <c r="P16" s="2">
        <f>+P15/P17</f>
        <v>-0.16672371775322789</v>
      </c>
    </row>
    <row r="17" spans="2:16" x14ac:dyDescent="0.25">
      <c r="B17" t="s">
        <v>1</v>
      </c>
      <c r="C17" s="1"/>
      <c r="D17" s="1"/>
      <c r="E17" s="1"/>
      <c r="F17" s="1"/>
      <c r="G17" s="1"/>
      <c r="H17" s="1"/>
      <c r="I17" s="1"/>
      <c r="J17" s="1"/>
      <c r="K17" s="1">
        <v>54294116</v>
      </c>
      <c r="L17" s="1">
        <v>54935339</v>
      </c>
      <c r="M17" s="1"/>
      <c r="N17" s="1"/>
      <c r="O17" s="1">
        <v>55688114</v>
      </c>
      <c r="P17" s="1">
        <v>74500480</v>
      </c>
    </row>
    <row r="18" spans="2:16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5">
      <c r="B19" t="s">
        <v>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>+O5/K5-1</f>
        <v>2.5066214622323306</v>
      </c>
      <c r="P19" s="3">
        <f>+P5/L5-1</f>
        <v>0.58828953698497077</v>
      </c>
    </row>
    <row r="20" spans="2:16" x14ac:dyDescent="0.25">
      <c r="B20" t="s">
        <v>51</v>
      </c>
      <c r="C20" s="1"/>
      <c r="D20" s="1"/>
      <c r="E20" s="1"/>
      <c r="F20" s="1"/>
      <c r="G20" s="1"/>
      <c r="H20" s="1"/>
      <c r="I20" s="1"/>
      <c r="J20" s="1"/>
      <c r="K20" s="3">
        <f>+K7/K5</f>
        <v>-5.8121957230480852E-2</v>
      </c>
      <c r="L20" s="3">
        <f>+L7/L5</f>
        <v>9.9915395259731976E-2</v>
      </c>
      <c r="M20" s="1"/>
      <c r="N20" s="1"/>
      <c r="O20" s="3">
        <f>+O7/O5</f>
        <v>0.18838297223993503</v>
      </c>
      <c r="P20" s="3">
        <f>+P7/P5</f>
        <v>-0.17409865173678704</v>
      </c>
    </row>
    <row r="22" spans="2:16" x14ac:dyDescent="0.25">
      <c r="B22" t="s">
        <v>37</v>
      </c>
      <c r="L22" s="1">
        <f>+L13</f>
        <v>-5547479</v>
      </c>
      <c r="O22" s="1">
        <f>+O13</f>
        <v>-4189333</v>
      </c>
      <c r="P22" s="1">
        <f>+P13</f>
        <v>-12416376</v>
      </c>
    </row>
    <row r="23" spans="2:16" x14ac:dyDescent="0.25">
      <c r="B23" t="s">
        <v>38</v>
      </c>
      <c r="L23" s="1">
        <f>-5836868+242573</f>
        <v>-5594295</v>
      </c>
      <c r="P23" s="1">
        <v>-12416376</v>
      </c>
    </row>
    <row r="24" spans="2:16" x14ac:dyDescent="0.25">
      <c r="B24" t="s">
        <v>39</v>
      </c>
      <c r="L24" s="1">
        <f>629426+282180</f>
        <v>911606</v>
      </c>
      <c r="P24" s="1">
        <f>357258+1088780</f>
        <v>1446038</v>
      </c>
    </row>
    <row r="25" spans="2:16" x14ac:dyDescent="0.25">
      <c r="B25" t="s">
        <v>40</v>
      </c>
      <c r="L25" s="1">
        <v>217368</v>
      </c>
      <c r="P25" s="1">
        <v>177329</v>
      </c>
    </row>
    <row r="26" spans="2:16" x14ac:dyDescent="0.25">
      <c r="B26" t="s">
        <v>41</v>
      </c>
      <c r="L26" s="1">
        <v>292636</v>
      </c>
      <c r="P26" s="1">
        <v>0</v>
      </c>
    </row>
    <row r="27" spans="2:16" x14ac:dyDescent="0.25">
      <c r="B27" t="s">
        <v>42</v>
      </c>
      <c r="L27" s="1">
        <v>101001</v>
      </c>
      <c r="P27" s="1">
        <v>296722</v>
      </c>
    </row>
    <row r="28" spans="2:16" x14ac:dyDescent="0.25">
      <c r="B28" t="s">
        <v>43</v>
      </c>
      <c r="L28" s="1">
        <v>0</v>
      </c>
      <c r="P28" s="1">
        <v>4008357</v>
      </c>
    </row>
    <row r="29" spans="2:16" x14ac:dyDescent="0.25">
      <c r="B29" t="s">
        <v>44</v>
      </c>
      <c r="L29" s="1">
        <v>0</v>
      </c>
      <c r="P29" s="1">
        <v>734143</v>
      </c>
    </row>
    <row r="30" spans="2:16" x14ac:dyDescent="0.25">
      <c r="B30" t="s">
        <v>45</v>
      </c>
      <c r="L30" s="1">
        <v>0</v>
      </c>
      <c r="P30" s="1">
        <v>93050</v>
      </c>
    </row>
    <row r="31" spans="2:16" x14ac:dyDescent="0.25">
      <c r="B31" t="s">
        <v>46</v>
      </c>
      <c r="C31" s="1"/>
      <c r="D31" s="1"/>
      <c r="E31" s="1"/>
      <c r="F31" s="1"/>
      <c r="G31" s="1"/>
      <c r="H31" s="1"/>
      <c r="I31" s="1"/>
      <c r="J31" s="1"/>
      <c r="K31" s="1"/>
      <c r="L31" s="1">
        <f>-780-455871-1756973-458-110863-569876+40436</f>
        <v>-2854385</v>
      </c>
      <c r="M31" s="1"/>
      <c r="N31" s="1"/>
      <c r="O31" s="1"/>
      <c r="P31" s="1">
        <f>3679315-2455697+1369374-662-3900+501146+222749</f>
        <v>3312325</v>
      </c>
    </row>
    <row r="32" spans="2:16" x14ac:dyDescent="0.25">
      <c r="B32" t="s">
        <v>47</v>
      </c>
      <c r="C32" s="1"/>
      <c r="D32" s="1"/>
      <c r="E32" s="1"/>
      <c r="F32" s="1"/>
      <c r="G32" s="1"/>
      <c r="H32" s="1"/>
      <c r="I32" s="1"/>
      <c r="J32" s="1"/>
      <c r="K32" s="1"/>
      <c r="L32" s="1">
        <f>SUM(L23:L31)</f>
        <v>-6926069</v>
      </c>
      <c r="M32" s="1"/>
      <c r="N32" s="1"/>
      <c r="O32" s="1"/>
      <c r="P32" s="1">
        <f>SUM(P23:P31)</f>
        <v>-2348412</v>
      </c>
    </row>
    <row r="34" spans="2:16" x14ac:dyDescent="0.25">
      <c r="B34" t="s">
        <v>47</v>
      </c>
      <c r="C34" s="1"/>
      <c r="D34" s="1"/>
      <c r="E34" s="1"/>
      <c r="F34" s="1"/>
      <c r="G34" s="1"/>
      <c r="H34" s="1"/>
      <c r="I34" s="1"/>
      <c r="J34" s="1"/>
      <c r="K34" s="1"/>
      <c r="L34" s="1">
        <v>-6926069</v>
      </c>
      <c r="M34" s="1"/>
      <c r="N34" s="1"/>
      <c r="O34" s="1"/>
      <c r="P34" s="1">
        <v>-2348412</v>
      </c>
    </row>
    <row r="35" spans="2:16" x14ac:dyDescent="0.25">
      <c r="B35" t="s">
        <v>49</v>
      </c>
      <c r="C35" s="1"/>
      <c r="D35" s="1"/>
      <c r="E35" s="1"/>
      <c r="F35" s="1"/>
      <c r="G35" s="1"/>
      <c r="H35" s="1"/>
      <c r="I35" s="1"/>
      <c r="J35" s="1"/>
      <c r="K35" s="1"/>
      <c r="L35" s="1">
        <v>-5054</v>
      </c>
      <c r="M35" s="1"/>
      <c r="N35" s="1"/>
      <c r="O35" s="1"/>
      <c r="P35" s="1">
        <v>-99957</v>
      </c>
    </row>
    <row r="36" spans="2:16" x14ac:dyDescent="0.25">
      <c r="B36" t="s">
        <v>48</v>
      </c>
      <c r="C36" s="1"/>
      <c r="D36" s="1"/>
      <c r="E36" s="1"/>
      <c r="F36" s="1"/>
      <c r="G36" s="1"/>
      <c r="H36" s="1"/>
      <c r="I36" s="1"/>
      <c r="J36" s="1"/>
      <c r="K36" s="1"/>
      <c r="L36" s="1">
        <f>+L34+L35</f>
        <v>-6931123</v>
      </c>
      <c r="M36" s="1"/>
      <c r="N36" s="1"/>
      <c r="O36" s="1"/>
      <c r="P36" s="1">
        <f>+P34+P35</f>
        <v>-2448369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2024-12-12T04:31:12Z</dcterms:modified>
</cp:coreProperties>
</file>