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Metadata/LabelInfo.xml" ContentType="application/vnd.ms-office.classificationlabel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144455\OneDrive - Eastman Chemical Company\Desktop\personal\models\"/>
    </mc:Choice>
  </mc:AlternateContent>
  <bookViews>
    <workbookView xWindow="28275" yWindow="0" windowWidth="28095" windowHeight="14700" activeTab="1"/>
  </bookViews>
  <sheets>
    <sheet name="Main" sheetId="1" r:id="rId1"/>
    <sheet name="Model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5" i="2" l="1"/>
  <c r="V25" i="2"/>
  <c r="W25" i="2"/>
  <c r="J25" i="2"/>
  <c r="H25" i="2"/>
  <c r="Q24" i="2"/>
  <c r="O24" i="2"/>
  <c r="P24" i="2"/>
  <c r="N24" i="2"/>
  <c r="M24" i="2"/>
  <c r="L24" i="2"/>
  <c r="K24" i="2"/>
  <c r="J24" i="2"/>
  <c r="I24" i="2"/>
  <c r="H24" i="2"/>
  <c r="V24" i="2"/>
  <c r="W24" i="2"/>
  <c r="V21" i="2"/>
  <c r="U18" i="2"/>
  <c r="U20" i="2" s="1"/>
  <c r="U21" i="2" s="1"/>
  <c r="U15" i="2"/>
  <c r="U11" i="2"/>
  <c r="U6" i="2"/>
  <c r="W6" i="2"/>
  <c r="V6" i="2"/>
  <c r="H6" i="2"/>
  <c r="V18" i="2"/>
  <c r="V20" i="2" s="1"/>
  <c r="V15" i="2"/>
  <c r="V11" i="2"/>
  <c r="W18" i="2"/>
  <c r="W20" i="2" s="1"/>
  <c r="W21" i="2" s="1"/>
  <c r="W15" i="2"/>
  <c r="W11" i="2"/>
  <c r="V36" i="2"/>
  <c r="V30" i="2"/>
  <c r="W36" i="2"/>
  <c r="W30" i="2"/>
  <c r="O42" i="2"/>
  <c r="O41" i="2"/>
  <c r="O43" i="2" s="1"/>
  <c r="O40" i="2"/>
  <c r="O30" i="2"/>
  <c r="O36" i="2" s="1"/>
  <c r="Q36" i="2"/>
  <c r="P36" i="2"/>
  <c r="P41" i="2"/>
  <c r="P40" i="2"/>
  <c r="Q43" i="2"/>
  <c r="P43" i="2"/>
  <c r="P28" i="2"/>
  <c r="Q28" i="2"/>
  <c r="P42" i="2"/>
  <c r="P30" i="2"/>
  <c r="Q54" i="2"/>
  <c r="Q56" i="2"/>
  <c r="Q42" i="2"/>
  <c r="Q41" i="2"/>
  <c r="Q40" i="2"/>
  <c r="Q30" i="2"/>
  <c r="O28" i="2" l="1"/>
  <c r="Q18" i="2" l="1"/>
  <c r="Q45" i="2" s="1"/>
  <c r="M48" i="2" l="1"/>
  <c r="Q52" i="2"/>
  <c r="Q51" i="2"/>
  <c r="Q50" i="2"/>
  <c r="Q49" i="2"/>
  <c r="Q48" i="2"/>
  <c r="Q47" i="2"/>
  <c r="L57" i="2"/>
  <c r="M57" i="2" s="1"/>
  <c r="L56" i="2"/>
  <c r="L58" i="2" s="1"/>
  <c r="L51" i="2"/>
  <c r="M51" i="2" s="1"/>
  <c r="L50" i="2"/>
  <c r="L47" i="2"/>
  <c r="M47" i="2" s="1"/>
  <c r="L46" i="2"/>
  <c r="P57" i="2"/>
  <c r="Q57" i="2" s="1"/>
  <c r="P56" i="2"/>
  <c r="P58" i="2" s="1"/>
  <c r="P51" i="2"/>
  <c r="P50" i="2"/>
  <c r="P48" i="2"/>
  <c r="P47" i="2"/>
  <c r="P46" i="2"/>
  <c r="Q46" i="2" s="1"/>
  <c r="P45" i="2"/>
  <c r="P20" i="2"/>
  <c r="L18" i="2"/>
  <c r="L20" i="2" s="1"/>
  <c r="L15" i="2"/>
  <c r="P18" i="2"/>
  <c r="P15" i="2"/>
  <c r="P6" i="2"/>
  <c r="K58" i="2"/>
  <c r="O58" i="2"/>
  <c r="K53" i="2"/>
  <c r="K54" i="2" s="1"/>
  <c r="O53" i="2"/>
  <c r="O54" i="2" s="1"/>
  <c r="Q58" i="2" l="1"/>
  <c r="M50" i="2"/>
  <c r="L53" i="2"/>
  <c r="M53" i="2" s="1"/>
  <c r="P53" i="2"/>
  <c r="L45" i="2"/>
  <c r="M56" i="2"/>
  <c r="M58" i="2" s="1"/>
  <c r="M15" i="2"/>
  <c r="Q11" i="2"/>
  <c r="O6" i="2"/>
  <c r="O18" i="2"/>
  <c r="O15" i="2"/>
  <c r="M18" i="2"/>
  <c r="Q20" i="2"/>
  <c r="Q21" i="2" s="1"/>
  <c r="Q53" i="2" l="1"/>
  <c r="P54" i="2"/>
  <c r="M20" i="2"/>
  <c r="M21" i="2" s="1"/>
  <c r="M45" i="2"/>
  <c r="L54" i="2"/>
  <c r="O20" i="2"/>
  <c r="O21" i="2" s="1"/>
  <c r="O45" i="2"/>
  <c r="Q15" i="2"/>
  <c r="Q6" i="2"/>
  <c r="Q25" i="2" s="1"/>
  <c r="P25" i="2" l="1"/>
  <c r="V3" i="2"/>
  <c r="W3" i="2" s="1"/>
  <c r="X3" i="2" s="1"/>
  <c r="Y3" i="2" s="1"/>
  <c r="Z3" i="2" s="1"/>
  <c r="AA3" i="2" s="1"/>
  <c r="AB3" i="2" s="1"/>
  <c r="O25" i="2" l="1"/>
  <c r="F18" i="2"/>
  <c r="F11" i="2"/>
  <c r="F6" i="2"/>
  <c r="F25" i="2" s="1"/>
  <c r="J18" i="2"/>
  <c r="J11" i="2"/>
  <c r="J6" i="2"/>
  <c r="N18" i="2"/>
  <c r="N11" i="2"/>
  <c r="G18" i="2"/>
  <c r="G11" i="2"/>
  <c r="G6" i="2"/>
  <c r="G25" i="2" s="1"/>
  <c r="L11" i="2"/>
  <c r="H18" i="2"/>
  <c r="H11" i="2"/>
  <c r="I18" i="2"/>
  <c r="I6" i="2"/>
  <c r="I25" i="2" s="1"/>
  <c r="I11" i="2"/>
  <c r="K18" i="2"/>
  <c r="K45" i="2" s="1"/>
  <c r="M46" i="2" s="1"/>
  <c r="M54" i="2" s="1"/>
  <c r="K11" i="2"/>
  <c r="K6" i="2"/>
  <c r="M11" i="2"/>
  <c r="M6" i="2"/>
  <c r="E19" i="2"/>
  <c r="E18" i="2"/>
  <c r="E11" i="2"/>
  <c r="E6" i="2"/>
  <c r="D18" i="2"/>
  <c r="D6" i="2"/>
  <c r="D11" i="2"/>
  <c r="O11" i="2"/>
  <c r="P11" i="2"/>
  <c r="K6" i="1" l="1"/>
  <c r="K3" i="1"/>
  <c r="K4" i="1" s="1"/>
  <c r="K7" i="1" s="1"/>
  <c r="K5" i="1"/>
</calcChain>
</file>

<file path=xl/sharedStrings.xml><?xml version="1.0" encoding="utf-8"?>
<sst xmlns="http://schemas.openxmlformats.org/spreadsheetml/2006/main" count="82" uniqueCount="76">
  <si>
    <t>Price</t>
  </si>
  <si>
    <t>Shares</t>
  </si>
  <si>
    <t>MC</t>
  </si>
  <si>
    <t>Cash</t>
  </si>
  <si>
    <t>Debt</t>
  </si>
  <si>
    <t>EV</t>
  </si>
  <si>
    <t>Government contract for the First Responder network</t>
  </si>
  <si>
    <t>BlueWalker 3 service (satellite)</t>
  </si>
  <si>
    <t>Q123</t>
  </si>
  <si>
    <t>Q223</t>
  </si>
  <si>
    <t>Q323</t>
  </si>
  <si>
    <t>Q423</t>
  </si>
  <si>
    <t>Q124</t>
  </si>
  <si>
    <t>Q224</t>
  </si>
  <si>
    <t>Q324</t>
  </si>
  <si>
    <t>Q121</t>
  </si>
  <si>
    <t>Q221</t>
  </si>
  <si>
    <t>Q321</t>
  </si>
  <si>
    <t>Q421</t>
  </si>
  <si>
    <t>Q122</t>
  </si>
  <si>
    <t>Q222</t>
  </si>
  <si>
    <t>Q322</t>
  </si>
  <si>
    <t>Q422</t>
  </si>
  <si>
    <t>Revenue</t>
  </si>
  <si>
    <t>ESC</t>
  </si>
  <si>
    <t>SG&amp;A</t>
  </si>
  <si>
    <t>R&amp;D</t>
  </si>
  <si>
    <t>Operating Expenses</t>
  </si>
  <si>
    <t>Operating Income</t>
  </si>
  <si>
    <t>Amortization</t>
  </si>
  <si>
    <t>EPS</t>
  </si>
  <si>
    <t>Gross Profit</t>
  </si>
  <si>
    <t>Total COGC</t>
  </si>
  <si>
    <t>Gross Margin</t>
  </si>
  <si>
    <t>Revenue Growth (YoY)</t>
  </si>
  <si>
    <t>Prepaids</t>
  </si>
  <si>
    <t>Assets</t>
  </si>
  <si>
    <t>PP&amp;E</t>
  </si>
  <si>
    <t>Operating Lease</t>
  </si>
  <si>
    <t>Other</t>
  </si>
  <si>
    <t>Contracts</t>
  </si>
  <si>
    <t>Net Cash</t>
  </si>
  <si>
    <t>Main</t>
  </si>
  <si>
    <t>NCI</t>
  </si>
  <si>
    <t>space-based cellular broadband network</t>
  </si>
  <si>
    <t xml:space="preserve">5 commercial BlueBird satellites </t>
  </si>
  <si>
    <t>Interest expense</t>
  </si>
  <si>
    <t>Pre-Tax Loss</t>
  </si>
  <si>
    <t>Income Tax</t>
  </si>
  <si>
    <t>Net Income Pre-NCI</t>
  </si>
  <si>
    <t>Model NI</t>
  </si>
  <si>
    <t>Reported NI</t>
  </si>
  <si>
    <t>Net Income Post-NCI</t>
  </si>
  <si>
    <t>D&amp;A</t>
  </si>
  <si>
    <t>WC</t>
  </si>
  <si>
    <t>Warrant Remeasurement</t>
  </si>
  <si>
    <t>CFFO</t>
  </si>
  <si>
    <t>Debt Issuance</t>
  </si>
  <si>
    <t>SBC</t>
  </si>
  <si>
    <t>FCF</t>
  </si>
  <si>
    <t>CapEx</t>
  </si>
  <si>
    <t>PIK Interest</t>
  </si>
  <si>
    <t>Property Disposal</t>
  </si>
  <si>
    <t>Q424</t>
  </si>
  <si>
    <t>Q1</t>
  </si>
  <si>
    <t>Q2</t>
  </si>
  <si>
    <t>Q3</t>
  </si>
  <si>
    <t>Q4</t>
  </si>
  <si>
    <t xml:space="preserve">           </t>
  </si>
  <si>
    <t>OCA</t>
  </si>
  <si>
    <t>AP</t>
  </si>
  <si>
    <t>Accrued</t>
  </si>
  <si>
    <t>Lease</t>
  </si>
  <si>
    <t>Total Liabilities</t>
  </si>
  <si>
    <t>Total Assets</t>
  </si>
  <si>
    <t>expenses went up (-); prepaids up (+)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</si>
</sst>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"/>
  </numFmts>
  <fonts count="7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b/>
      <sz val="11"/>
      <color theme="1"/>
      <name val="Aptos Narrow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3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2" xfId="0" applyBorder="1"/>
    <xf numFmtId="9" fontId="0" fillId="0" borderId="0" xfId="1" applyFont="1"/>
    <xf numFmtId="0" fontId="1" fillId="0" borderId="2" xfId="0" applyFont="1" applyBorder="1"/>
    <xf numFmtId="0" fontId="3" fillId="0" borderId="2" xfId="0" applyFont="1" applyBorder="1"/>
    <xf numFmtId="43" fontId="0" fillId="0" borderId="0" xfId="2" applyFont="1"/>
    <xf numFmtId="14" fontId="0" fillId="0" borderId="0" xfId="0" applyNumberFormat="1"/>
    <xf numFmtId="0" fontId="0" fillId="0" borderId="2" xfId="0" applyFill="1" applyBorder="1"/>
    <xf numFmtId="0" fontId="0" fillId="2" borderId="2" xfId="0" applyFill="1" applyBorder="1"/>
    <xf numFmtId="2" fontId="0" fillId="0" borderId="0" xfId="0" applyNumberFormat="1"/>
    <xf numFmtId="164" fontId="4" fillId="0" borderId="0" xfId="0" applyNumberFormat="1" applyFont="1"/>
    <xf numFmtId="164" fontId="0" fillId="0" borderId="0" xfId="0" applyNumberFormat="1"/>
    <xf numFmtId="0" fontId="5" fillId="0" borderId="2" xfId="0" applyFont="1" applyBorder="1"/>
    <xf numFmtId="164" fontId="5" fillId="0" borderId="0" xfId="0" applyNumberFormat="1" applyFont="1"/>
    <xf numFmtId="9" fontId="0" fillId="0" borderId="0" xfId="0" applyNumberFormat="1"/>
    <xf numFmtId="0" fontId="6" fillId="0" borderId="0" xfId="3"/>
  </cellXfs>
  <cellStyles count="4">
    <cellStyle name="Comma" xfId="2" builtinId="3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22412</xdr:colOff>
      <xdr:row>3</xdr:row>
      <xdr:rowOff>11206</xdr:rowOff>
    </xdr:from>
    <xdr:to>
      <xdr:col>17</xdr:col>
      <xdr:colOff>22412</xdr:colOff>
      <xdr:row>58</xdr:row>
      <xdr:rowOff>0</xdr:rowOff>
    </xdr:to>
    <xdr:cxnSp macro="">
      <xdr:nvCxnSpPr>
        <xdr:cNvPr id="3" name="Straight Connector 2"/>
        <xdr:cNvCxnSpPr/>
      </xdr:nvCxnSpPr>
      <xdr:spPr>
        <a:xfrm>
          <a:off x="13615147" y="549088"/>
          <a:ext cx="0" cy="9883588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7"/>
  <sheetViews>
    <sheetView workbookViewId="0">
      <selection activeCell="K3" sqref="K3"/>
    </sheetView>
  </sheetViews>
  <sheetFormatPr defaultRowHeight="14.25"/>
  <cols>
    <col min="2" max="2" width="9.875" bestFit="1" customWidth="1"/>
  </cols>
  <sheetData>
    <row r="2" spans="2:12" ht="15">
      <c r="B2" t="s">
        <v>6</v>
      </c>
      <c r="J2" s="1" t="s">
        <v>0</v>
      </c>
      <c r="K2">
        <v>24.27</v>
      </c>
      <c r="L2" t="s">
        <v>14</v>
      </c>
    </row>
    <row r="3" spans="2:12">
      <c r="C3" t="s">
        <v>7</v>
      </c>
      <c r="J3" t="s">
        <v>1</v>
      </c>
      <c r="K3" s="2">
        <f>151.483 + 39.747+78.163</f>
        <v>269.39300000000003</v>
      </c>
    </row>
    <row r="4" spans="2:12">
      <c r="B4" t="s">
        <v>44</v>
      </c>
      <c r="J4" t="s">
        <v>2</v>
      </c>
      <c r="K4" s="2">
        <f>K2*K3</f>
        <v>6538.1681100000005</v>
      </c>
    </row>
    <row r="5" spans="2:12">
      <c r="J5" t="s">
        <v>3</v>
      </c>
      <c r="K5" s="2">
        <f>285.085+2.482</f>
        <v>287.56700000000001</v>
      </c>
    </row>
    <row r="6" spans="2:12">
      <c r="B6" s="10">
        <v>45610</v>
      </c>
      <c r="C6" t="s">
        <v>45</v>
      </c>
      <c r="J6" t="s">
        <v>4</v>
      </c>
      <c r="K6" s="2">
        <f>199.546+0.258</f>
        <v>199.804</v>
      </c>
    </row>
    <row r="7" spans="2:12">
      <c r="J7" t="s">
        <v>5</v>
      </c>
      <c r="K7" s="2">
        <f>K4-K5+K6</f>
        <v>6450.4051100000006</v>
      </c>
    </row>
    <row r="14" spans="2:12">
      <c r="I14">
        <v>2024</v>
      </c>
      <c r="J14" t="s">
        <v>64</v>
      </c>
    </row>
    <row r="15" spans="2:12">
      <c r="J15" t="s">
        <v>65</v>
      </c>
    </row>
    <row r="16" spans="2:12">
      <c r="J16" t="s">
        <v>66</v>
      </c>
      <c r="K16" t="s">
        <v>75</v>
      </c>
    </row>
    <row r="17" spans="10:10">
      <c r="J17" t="s">
        <v>67</v>
      </c>
    </row>
  </sheetData>
  <pageMargins left="0.7" right="0.7" top="0.75" bottom="0.75" header="0.3" footer="0.3"/>
  <headerFooter>
    <oddFooter>&amp;C_x000D_&amp;1#&amp;"Calibri"&amp;10&amp;K000000 External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1"/>
  <sheetViews>
    <sheetView tabSelected="1" zoomScale="85" zoomScaleNormal="85" workbookViewId="0">
      <pane xSplit="2" ySplit="3" topLeftCell="I13" activePane="bottomRight" state="frozen"/>
      <selection pane="topRight" activeCell="C1" sqref="C1"/>
      <selection pane="bottomLeft" activeCell="A4" sqref="A4"/>
      <selection pane="bottomRight" activeCell="M37" sqref="M37"/>
    </sheetView>
  </sheetViews>
  <sheetFormatPr defaultRowHeight="14.25"/>
  <cols>
    <col min="2" max="2" width="24.625" style="5" bestFit="1" customWidth="1"/>
    <col min="13" max="13" width="12" bestFit="1" customWidth="1"/>
    <col min="15" max="15" width="9.875" bestFit="1" customWidth="1"/>
    <col min="16" max="16" width="11.125" bestFit="1" customWidth="1"/>
    <col min="17" max="17" width="13.125" bestFit="1" customWidth="1"/>
  </cols>
  <sheetData>
    <row r="1" spans="1:28">
      <c r="A1" s="19" t="s">
        <v>42</v>
      </c>
    </row>
    <row r="3" spans="1:28" s="3" customFormat="1">
      <c r="B3" s="4"/>
      <c r="C3" s="3" t="s">
        <v>15</v>
      </c>
      <c r="D3" s="3" t="s">
        <v>16</v>
      </c>
      <c r="E3" s="3" t="s">
        <v>17</v>
      </c>
      <c r="F3" s="3" t="s">
        <v>18</v>
      </c>
      <c r="G3" s="3" t="s">
        <v>19</v>
      </c>
      <c r="H3" s="3" t="s">
        <v>20</v>
      </c>
      <c r="I3" s="3" t="s">
        <v>21</v>
      </c>
      <c r="J3" s="3" t="s">
        <v>22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63</v>
      </c>
      <c r="U3" s="3">
        <v>2021</v>
      </c>
      <c r="V3" s="3">
        <f>+U3+1</f>
        <v>2022</v>
      </c>
      <c r="W3" s="3">
        <f t="shared" ref="W3:AB3" si="0">+V3+1</f>
        <v>2023</v>
      </c>
      <c r="X3" s="3">
        <f t="shared" si="0"/>
        <v>2024</v>
      </c>
      <c r="Y3" s="3">
        <f t="shared" si="0"/>
        <v>2025</v>
      </c>
      <c r="Z3" s="3">
        <f t="shared" si="0"/>
        <v>2026</v>
      </c>
      <c r="AA3" s="3">
        <f t="shared" si="0"/>
        <v>2027</v>
      </c>
      <c r="AB3" s="3">
        <f t="shared" si="0"/>
        <v>2028</v>
      </c>
    </row>
    <row r="4" spans="1:28" ht="15">
      <c r="B4" s="7" t="s">
        <v>23</v>
      </c>
      <c r="C4" s="14"/>
      <c r="D4" s="14">
        <v>2.7730000000000001</v>
      </c>
      <c r="E4" s="14">
        <v>2.4500000000000002</v>
      </c>
      <c r="F4" s="14">
        <v>12.404999999999999</v>
      </c>
      <c r="G4" s="14">
        <v>2.3940000000000001</v>
      </c>
      <c r="H4" s="14">
        <v>7.2640000000000002</v>
      </c>
      <c r="I4" s="14">
        <v>4.1680000000000001</v>
      </c>
      <c r="J4" s="14">
        <v>13.824999999999999</v>
      </c>
      <c r="K4" s="14">
        <v>0</v>
      </c>
      <c r="L4" s="14">
        <v>0</v>
      </c>
      <c r="M4" s="14">
        <v>0</v>
      </c>
      <c r="N4" s="14">
        <v>0</v>
      </c>
      <c r="O4" s="14">
        <v>500</v>
      </c>
      <c r="P4" s="14">
        <v>0.9</v>
      </c>
      <c r="Q4" s="14">
        <v>1.1000000000000001</v>
      </c>
      <c r="U4">
        <v>12.404999999999999</v>
      </c>
      <c r="V4">
        <v>13.824999999999999</v>
      </c>
      <c r="W4">
        <v>0</v>
      </c>
    </row>
    <row r="5" spans="1:28">
      <c r="B5" s="5" t="s">
        <v>32</v>
      </c>
      <c r="C5" s="14"/>
      <c r="D5" s="14">
        <v>-1.1120000000000001</v>
      </c>
      <c r="E5" s="14">
        <v>-2.1030000000000002</v>
      </c>
      <c r="F5" s="14">
        <v>-7.5629999999999997</v>
      </c>
      <c r="G5" s="14">
        <v>-1.986</v>
      </c>
      <c r="H5" s="14">
        <v>-2.202</v>
      </c>
      <c r="I5" s="14">
        <v>-2.5249999999999999</v>
      </c>
      <c r="J5" s="14">
        <v>-6.7140000000000004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U5">
        <v>7.5629999999999997</v>
      </c>
      <c r="V5">
        <v>6.7140000000000004</v>
      </c>
      <c r="W5">
        <v>0</v>
      </c>
    </row>
    <row r="6" spans="1:28">
      <c r="B6" s="5" t="s">
        <v>31</v>
      </c>
      <c r="C6" s="14"/>
      <c r="D6" s="14">
        <f>+D5+D4</f>
        <v>1.661</v>
      </c>
      <c r="E6" s="14">
        <f>+E5+E4</f>
        <v>0.34699999999999998</v>
      </c>
      <c r="F6" s="14">
        <f t="shared" ref="F6:K6" si="1">F5+F4</f>
        <v>4.8419999999999996</v>
      </c>
      <c r="G6" s="14">
        <f t="shared" si="1"/>
        <v>0.40800000000000014</v>
      </c>
      <c r="H6" s="14">
        <f>H5+H4</f>
        <v>5.0620000000000003</v>
      </c>
      <c r="I6" s="14">
        <f t="shared" si="1"/>
        <v>1.6430000000000002</v>
      </c>
      <c r="J6" s="14">
        <f t="shared" si="1"/>
        <v>7.1109999999999989</v>
      </c>
      <c r="K6" s="14">
        <f t="shared" si="1"/>
        <v>0</v>
      </c>
      <c r="L6" s="14">
        <v>0</v>
      </c>
      <c r="M6" s="14">
        <f>M5+M4</f>
        <v>0</v>
      </c>
      <c r="N6" s="14">
        <v>0</v>
      </c>
      <c r="O6" s="14">
        <f t="shared" ref="O6:Q6" si="2">O5+O4</f>
        <v>500</v>
      </c>
      <c r="P6" s="14">
        <f t="shared" si="2"/>
        <v>0.9</v>
      </c>
      <c r="Q6" s="14">
        <f t="shared" si="2"/>
        <v>1.1000000000000001</v>
      </c>
      <c r="U6" s="14">
        <f>U4-U5</f>
        <v>4.8419999999999996</v>
      </c>
      <c r="V6" s="14">
        <f>V4-V5</f>
        <v>7.1109999999999989</v>
      </c>
      <c r="W6" s="14">
        <f>W4-W5</f>
        <v>0</v>
      </c>
      <c r="X6" s="14"/>
      <c r="Y6" s="14"/>
      <c r="Z6" s="14"/>
      <c r="AA6" s="14"/>
      <c r="AB6" s="14"/>
    </row>
    <row r="7" spans="1:28">
      <c r="B7" s="5" t="s">
        <v>24</v>
      </c>
      <c r="C7" s="14"/>
      <c r="D7" s="14">
        <v>6.3209999999999997</v>
      </c>
      <c r="E7" s="14">
        <v>8.0259999999999998</v>
      </c>
      <c r="F7" s="14">
        <v>29.599</v>
      </c>
      <c r="G7" s="14">
        <v>11.74</v>
      </c>
      <c r="H7" s="14">
        <v>11.999000000000001</v>
      </c>
      <c r="I7" s="14">
        <v>14.492000000000001</v>
      </c>
      <c r="J7" s="14">
        <v>54.212000000000003</v>
      </c>
      <c r="K7" s="14">
        <v>16.483000000000001</v>
      </c>
      <c r="L7" s="14">
        <v>22.812999999999999</v>
      </c>
      <c r="M7" s="14">
        <v>19.523</v>
      </c>
      <c r="N7" s="14">
        <v>78.811000000000007</v>
      </c>
      <c r="O7" s="14">
        <v>19.5</v>
      </c>
      <c r="P7" s="14">
        <v>21.202000000000002</v>
      </c>
      <c r="Q7" s="14">
        <v>21.827999999999999</v>
      </c>
      <c r="U7" s="14">
        <v>29.599</v>
      </c>
      <c r="V7" s="14">
        <v>54.212000000000003</v>
      </c>
      <c r="W7" s="14">
        <v>78.811000000000007</v>
      </c>
      <c r="X7" s="14"/>
      <c r="Y7" s="14"/>
      <c r="Z7" s="14"/>
      <c r="AA7" s="14"/>
      <c r="AB7" s="14"/>
    </row>
    <row r="8" spans="1:28">
      <c r="B8" s="5" t="s">
        <v>25</v>
      </c>
      <c r="C8" s="14"/>
      <c r="D8" s="14">
        <v>9.157</v>
      </c>
      <c r="E8" s="14">
        <v>9.3309999999999995</v>
      </c>
      <c r="F8" s="14">
        <v>35.636000000000003</v>
      </c>
      <c r="G8" s="14">
        <v>11.619</v>
      </c>
      <c r="H8" s="14">
        <v>13.074999999999999</v>
      </c>
      <c r="I8" s="14">
        <v>12.916</v>
      </c>
      <c r="J8" s="14">
        <v>48.332000000000001</v>
      </c>
      <c r="K8" s="14">
        <v>9.8569999999999993</v>
      </c>
      <c r="L8" s="14">
        <v>10.221</v>
      </c>
      <c r="M8" s="14">
        <v>10.994999999999999</v>
      </c>
      <c r="N8" s="14">
        <v>41.600999999999999</v>
      </c>
      <c r="O8" s="14">
        <v>12.287000000000001</v>
      </c>
      <c r="P8" s="14">
        <v>17.838999999999999</v>
      </c>
      <c r="Q8" s="14">
        <v>15.551</v>
      </c>
      <c r="U8" s="14">
        <v>35.636000000000003</v>
      </c>
      <c r="V8" s="14">
        <v>48.332000000000001</v>
      </c>
      <c r="W8" s="14">
        <v>41.600999999999999</v>
      </c>
      <c r="X8" s="14"/>
      <c r="Y8" s="14"/>
      <c r="Z8" s="14"/>
      <c r="AA8" s="14"/>
      <c r="AB8" s="14"/>
    </row>
    <row r="9" spans="1:28">
      <c r="B9" s="5" t="s">
        <v>26</v>
      </c>
      <c r="C9" s="14"/>
      <c r="D9" s="14">
        <v>9.0519999999999996</v>
      </c>
      <c r="E9" s="14">
        <v>4.8879999999999999</v>
      </c>
      <c r="F9" s="14">
        <v>23.44</v>
      </c>
      <c r="G9" s="14">
        <v>8.2810000000000006</v>
      </c>
      <c r="H9" s="14">
        <v>9.1449999999999996</v>
      </c>
      <c r="I9" s="14">
        <v>13.542999999999999</v>
      </c>
      <c r="J9" s="14">
        <v>45.62</v>
      </c>
      <c r="K9" s="14">
        <v>16.381</v>
      </c>
      <c r="L9" s="14">
        <v>10.920999999999999</v>
      </c>
      <c r="M9" s="14">
        <v>9.4179999999999993</v>
      </c>
      <c r="N9" s="14">
        <v>47.485999999999997</v>
      </c>
      <c r="O9" s="14">
        <v>4.2569999999999997</v>
      </c>
      <c r="P9" s="14">
        <v>4.46</v>
      </c>
      <c r="Q9" s="14">
        <v>14.724</v>
      </c>
      <c r="U9" s="14">
        <v>23.44</v>
      </c>
      <c r="V9" s="14">
        <v>45.62</v>
      </c>
      <c r="W9" s="14">
        <v>47.485999999999997</v>
      </c>
      <c r="X9" s="14"/>
      <c r="Y9" s="14"/>
      <c r="Z9" s="14"/>
      <c r="AA9" s="14"/>
      <c r="AB9" s="14"/>
    </row>
    <row r="10" spans="1:28">
      <c r="B10" s="5" t="s">
        <v>29</v>
      </c>
      <c r="C10" s="14"/>
      <c r="D10" s="14">
        <v>0.56699999999999995</v>
      </c>
      <c r="E10" s="14">
        <v>0.86699999999999999</v>
      </c>
      <c r="F10" s="14">
        <v>2.9129999999999998</v>
      </c>
      <c r="G10" s="14">
        <v>1.1000000000000001</v>
      </c>
      <c r="H10" s="14">
        <v>1.1850000000000001</v>
      </c>
      <c r="I10" s="14">
        <v>1.1719999999999999</v>
      </c>
      <c r="J10" s="14">
        <v>4.7110000000000003</v>
      </c>
      <c r="K10" s="14">
        <v>1.7330000000000001</v>
      </c>
      <c r="L10" s="14">
        <v>14.115</v>
      </c>
      <c r="M10" s="14">
        <v>19.029</v>
      </c>
      <c r="N10" s="14">
        <v>54.469000000000001</v>
      </c>
      <c r="O10" s="14">
        <v>19.945</v>
      </c>
      <c r="P10" s="14">
        <v>20.391999999999999</v>
      </c>
      <c r="Q10" s="14">
        <v>14.542999999999999</v>
      </c>
      <c r="U10" s="14">
        <v>2.9129999999999998</v>
      </c>
      <c r="V10" s="14">
        <v>4.7110000000000003</v>
      </c>
      <c r="W10" s="14">
        <v>54.469000000000001</v>
      </c>
      <c r="X10" s="14"/>
      <c r="Y10" s="14"/>
      <c r="Z10" s="14"/>
      <c r="AA10" s="14"/>
      <c r="AB10" s="14"/>
    </row>
    <row r="11" spans="1:28">
      <c r="B11" s="5" t="s">
        <v>27</v>
      </c>
      <c r="C11" s="14"/>
      <c r="D11" s="14">
        <f t="shared" ref="D11:P11" si="3">+D10+D9+D8+D7</f>
        <v>25.097000000000001</v>
      </c>
      <c r="E11" s="14">
        <f t="shared" si="3"/>
        <v>23.111999999999998</v>
      </c>
      <c r="F11" s="14">
        <f t="shared" si="3"/>
        <v>91.588000000000008</v>
      </c>
      <c r="G11" s="14">
        <f t="shared" si="3"/>
        <v>32.74</v>
      </c>
      <c r="H11" s="14">
        <f t="shared" si="3"/>
        <v>35.404000000000003</v>
      </c>
      <c r="I11" s="14">
        <f t="shared" si="3"/>
        <v>42.123000000000005</v>
      </c>
      <c r="J11" s="14">
        <f t="shared" si="3"/>
        <v>152.875</v>
      </c>
      <c r="K11" s="14">
        <f t="shared" si="3"/>
        <v>44.454000000000001</v>
      </c>
      <c r="L11" s="14">
        <f t="shared" si="3"/>
        <v>58.070000000000007</v>
      </c>
      <c r="M11" s="14">
        <f t="shared" si="3"/>
        <v>58.965000000000003</v>
      </c>
      <c r="N11" s="14">
        <f t="shared" si="3"/>
        <v>222.36699999999999</v>
      </c>
      <c r="O11" s="14">
        <f t="shared" si="3"/>
        <v>55.988999999999997</v>
      </c>
      <c r="P11" s="14">
        <f t="shared" si="3"/>
        <v>63.893000000000001</v>
      </c>
      <c r="Q11" s="14">
        <f>+Q10+Q9+Q8+Q7</f>
        <v>66.646000000000001</v>
      </c>
      <c r="U11" s="14">
        <f>+U10+U9+U8+U7</f>
        <v>91.588000000000008</v>
      </c>
      <c r="V11" s="14">
        <f>+V10+V9+V8+V7</f>
        <v>152.875</v>
      </c>
      <c r="W11" s="14">
        <f>+W10+W9+W8+W7</f>
        <v>222.36699999999999</v>
      </c>
      <c r="X11" s="14"/>
      <c r="Y11" s="14"/>
      <c r="Z11" s="14"/>
      <c r="AA11" s="14"/>
      <c r="AB11" s="14"/>
    </row>
    <row r="12" spans="1:28">
      <c r="B12" s="5" t="s">
        <v>55</v>
      </c>
      <c r="C12" s="14"/>
      <c r="D12" s="14"/>
      <c r="E12" s="14"/>
      <c r="F12" s="14"/>
      <c r="G12" s="14"/>
      <c r="H12" s="14"/>
      <c r="I12" s="14"/>
      <c r="J12" s="14"/>
      <c r="K12" s="14"/>
      <c r="L12" s="14">
        <v>6.4749999999999996</v>
      </c>
      <c r="M12" s="14">
        <v>7.4809999999999999</v>
      </c>
      <c r="N12" s="14"/>
      <c r="O12" s="14">
        <v>18.213999999999999</v>
      </c>
      <c r="P12" s="14">
        <v>-66.14</v>
      </c>
      <c r="Q12" s="14">
        <v>-236.91200000000001</v>
      </c>
      <c r="U12" s="14">
        <v>15.766</v>
      </c>
      <c r="V12" s="14">
        <v>19.114000000000001</v>
      </c>
      <c r="W12" s="14">
        <v>8.9860000000000007</v>
      </c>
      <c r="X12" s="14"/>
      <c r="Y12" s="14"/>
      <c r="Z12" s="14"/>
      <c r="AA12" s="14"/>
      <c r="AB12" s="14"/>
    </row>
    <row r="13" spans="1:28">
      <c r="B13" s="5" t="s">
        <v>46</v>
      </c>
      <c r="C13" s="14"/>
      <c r="D13" s="14"/>
      <c r="E13" s="14"/>
      <c r="F13" s="14"/>
      <c r="G13" s="14"/>
      <c r="H13" s="14"/>
      <c r="I13" s="14"/>
      <c r="J13" s="14"/>
      <c r="K13" s="14"/>
      <c r="L13" s="14">
        <v>1.724</v>
      </c>
      <c r="M13" s="14">
        <v>0.495</v>
      </c>
      <c r="N13" s="14"/>
      <c r="O13" s="14">
        <v>-2.222</v>
      </c>
      <c r="P13" s="14">
        <v>-2.238</v>
      </c>
      <c r="Q13" s="14">
        <v>-1.3859999999999999</v>
      </c>
      <c r="U13" s="14">
        <v>0</v>
      </c>
      <c r="V13" s="14">
        <v>2.633</v>
      </c>
      <c r="W13" s="14">
        <v>2.6749999999999998</v>
      </c>
      <c r="X13" s="14"/>
      <c r="Y13" s="14"/>
      <c r="Z13" s="14"/>
      <c r="AA13" s="14"/>
      <c r="AB13" s="14"/>
    </row>
    <row r="14" spans="1:28">
      <c r="B14" s="5" t="s">
        <v>39</v>
      </c>
      <c r="C14" s="14"/>
      <c r="D14" s="14"/>
      <c r="E14" s="14"/>
      <c r="F14" s="14"/>
      <c r="G14" s="14"/>
      <c r="H14" s="14"/>
      <c r="I14" s="14"/>
      <c r="J14" s="14"/>
      <c r="K14" s="14"/>
      <c r="L14" s="14">
        <v>-0.50700000000000001</v>
      </c>
      <c r="M14" s="14">
        <v>0.50700000000000001</v>
      </c>
      <c r="N14" s="14"/>
      <c r="O14" s="14">
        <v>-2E-3</v>
      </c>
      <c r="P14" s="14">
        <v>0.252</v>
      </c>
      <c r="Q14" s="14">
        <v>1.41</v>
      </c>
      <c r="U14" s="14">
        <v>-1.95</v>
      </c>
      <c r="V14" s="14">
        <v>21.521000000000001</v>
      </c>
      <c r="W14" s="14">
        <v>-10.29</v>
      </c>
      <c r="X14" s="14"/>
      <c r="Y14" s="14"/>
      <c r="Z14" s="14"/>
      <c r="AA14" s="14"/>
      <c r="AB14" s="14"/>
    </row>
    <row r="15" spans="1:28">
      <c r="B15" s="5" t="s">
        <v>28</v>
      </c>
      <c r="C15" s="15"/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f>SUM(L12:L14)</f>
        <v>7.6920000000000002</v>
      </c>
      <c r="M15" s="15">
        <f>SUM(M12:M14)</f>
        <v>8.4830000000000005</v>
      </c>
      <c r="N15" s="15">
        <v>0</v>
      </c>
      <c r="O15" s="15">
        <f>SUM(O12:O14)</f>
        <v>15.989999999999998</v>
      </c>
      <c r="P15" s="15">
        <f>SUM(P12:P14)</f>
        <v>-68.126000000000005</v>
      </c>
      <c r="Q15" s="15">
        <f>SUM(Q12:Q14)</f>
        <v>-236.88800000000001</v>
      </c>
      <c r="U15" s="15">
        <f>SUM(U12:U14)</f>
        <v>13.816000000000001</v>
      </c>
      <c r="V15" s="15">
        <f>SUM(V12:V14)</f>
        <v>43.268000000000001</v>
      </c>
      <c r="W15" s="15">
        <f>SUM(W12:W14)</f>
        <v>1.3710000000000022</v>
      </c>
      <c r="X15" s="15"/>
      <c r="Y15" s="15"/>
      <c r="Z15" s="15"/>
      <c r="AA15" s="15"/>
      <c r="AB15" s="15"/>
    </row>
    <row r="16" spans="1:28">
      <c r="B16" s="5" t="s">
        <v>47</v>
      </c>
      <c r="C16" s="15"/>
      <c r="D16" s="15"/>
      <c r="E16" s="15"/>
      <c r="F16" s="15"/>
      <c r="G16" s="15"/>
      <c r="H16" s="15"/>
      <c r="I16" s="15"/>
      <c r="J16" s="15"/>
      <c r="K16" s="15"/>
      <c r="L16" s="15">
        <v>-50.378</v>
      </c>
      <c r="M16" s="15">
        <v>-50.481999999999999</v>
      </c>
      <c r="N16" s="15"/>
      <c r="O16" s="15">
        <v>-39.51</v>
      </c>
      <c r="P16" s="15">
        <v>-131.119</v>
      </c>
      <c r="Q16" s="15">
        <v>-302.43400000000003</v>
      </c>
      <c r="U16" s="15">
        <v>-72.930000000000007</v>
      </c>
      <c r="V16" s="15">
        <v>-102.496</v>
      </c>
      <c r="W16" s="15">
        <v>-220.99600000000001</v>
      </c>
      <c r="X16" s="15"/>
      <c r="Y16" s="15"/>
      <c r="Z16" s="15"/>
      <c r="AA16" s="15"/>
      <c r="AB16" s="15"/>
    </row>
    <row r="17" spans="2:28">
      <c r="B17" s="5" t="s">
        <v>48</v>
      </c>
      <c r="C17" s="15"/>
      <c r="D17" s="15"/>
      <c r="E17" s="15"/>
      <c r="F17" s="15"/>
      <c r="G17" s="15"/>
      <c r="H17" s="15"/>
      <c r="I17" s="15"/>
      <c r="J17" s="15"/>
      <c r="K17" s="15"/>
      <c r="L17" s="15">
        <v>0.78900000000000003</v>
      </c>
      <c r="M17" s="15">
        <v>-0.26600000000000001</v>
      </c>
      <c r="N17" s="15"/>
      <c r="O17" s="15">
        <v>-0.29399999999999998</v>
      </c>
      <c r="P17" s="15">
        <v>-0.23100000000000001</v>
      </c>
      <c r="Q17" s="15">
        <v>-0.64600000000000002</v>
      </c>
      <c r="U17" s="15">
        <v>-0.33100000000000002</v>
      </c>
      <c r="V17" s="15">
        <v>-0.61699999999999999</v>
      </c>
      <c r="W17" s="15">
        <v>-1.681</v>
      </c>
      <c r="X17" s="15"/>
      <c r="Y17" s="15"/>
      <c r="Z17" s="15"/>
      <c r="AA17" s="15"/>
      <c r="AB17" s="15"/>
    </row>
    <row r="18" spans="2:28">
      <c r="B18" s="12" t="s">
        <v>49</v>
      </c>
      <c r="C18" s="15"/>
      <c r="D18" s="15">
        <f>-65.113-(56/1000)</f>
        <v>-65.168999999999997</v>
      </c>
      <c r="E18" s="15">
        <f>16.82-0.016</f>
        <v>16.804000000000002</v>
      </c>
      <c r="F18" s="15">
        <f>-72.93-0.331</f>
        <v>-73.26100000000001</v>
      </c>
      <c r="G18" s="15">
        <f>-37.799-0.104</f>
        <v>-37.902999999999999</v>
      </c>
      <c r="H18" s="15">
        <f>-7.972-0.096</f>
        <v>-8.0679999999999996</v>
      </c>
      <c r="I18" s="15">
        <f>-31.502-0.55</f>
        <v>-32.052</v>
      </c>
      <c r="J18" s="15">
        <f>-102.496-0.617</f>
        <v>-103.113</v>
      </c>
      <c r="K18" s="15">
        <f>-45.1-0.116</f>
        <v>-45.216000000000001</v>
      </c>
      <c r="L18" s="15">
        <f>SUM(L16:L17)</f>
        <v>-49.588999999999999</v>
      </c>
      <c r="M18" s="15">
        <f>SUM(M16:M17)</f>
        <v>-50.747999999999998</v>
      </c>
      <c r="N18" s="15">
        <f>-220.996-1.681</f>
        <v>-222.67700000000002</v>
      </c>
      <c r="O18" s="15">
        <f>SUM(O16:O17)</f>
        <v>-39.803999999999995</v>
      </c>
      <c r="P18" s="15">
        <f>SUM(P16:P17)</f>
        <v>-131.35</v>
      </c>
      <c r="Q18" s="15">
        <f>SUM(Q16:Q17)</f>
        <v>-303.08000000000004</v>
      </c>
      <c r="U18" s="15">
        <f>SUM(U16:U17)</f>
        <v>-73.26100000000001</v>
      </c>
      <c r="V18" s="15">
        <f>SUM(V16:V17)</f>
        <v>-103.113</v>
      </c>
      <c r="W18" s="15">
        <f>SUM(W16:W17)</f>
        <v>-222.67700000000002</v>
      </c>
      <c r="X18" s="15"/>
      <c r="Y18" s="15"/>
      <c r="Z18" s="15"/>
      <c r="AA18" s="15"/>
      <c r="AB18" s="15"/>
    </row>
    <row r="19" spans="2:28">
      <c r="B19" s="5" t="s">
        <v>43</v>
      </c>
      <c r="C19" s="15"/>
      <c r="D19" s="15">
        <v>45.191000000000003</v>
      </c>
      <c r="E19" s="15">
        <f>12.689</f>
        <v>12.689</v>
      </c>
      <c r="F19" s="15">
        <v>-42.707999999999998</v>
      </c>
      <c r="G19" s="15">
        <v>-27.181999999999999</v>
      </c>
      <c r="H19" s="15">
        <v>5.1440000000000001</v>
      </c>
      <c r="I19" s="15">
        <v>-22.286000000000001</v>
      </c>
      <c r="J19" s="15">
        <v>-71.472999999999999</v>
      </c>
      <c r="K19" s="15">
        <v>-28.898</v>
      </c>
      <c r="L19" s="15">
        <v>-31.181000000000001</v>
      </c>
      <c r="M19" s="15">
        <v>-29.838999999999999</v>
      </c>
      <c r="N19" s="15">
        <v>-135.11600000000001</v>
      </c>
      <c r="O19" s="15">
        <v>-20.074000000000002</v>
      </c>
      <c r="P19" s="15">
        <v>-58.8</v>
      </c>
      <c r="Q19" s="15">
        <v>-131.13399999999999</v>
      </c>
      <c r="U19" s="15">
        <v>-42.707999999999998</v>
      </c>
      <c r="V19" s="15">
        <v>-71.472999999999999</v>
      </c>
      <c r="W19" s="15">
        <v>-135.11600000000001</v>
      </c>
      <c r="X19" s="15"/>
      <c r="Y19" s="15"/>
      <c r="Z19" s="15"/>
      <c r="AA19" s="15"/>
      <c r="AB19" s="15"/>
    </row>
    <row r="20" spans="2:28">
      <c r="B20" s="11" t="s">
        <v>52</v>
      </c>
      <c r="C20" s="15"/>
      <c r="D20" s="15">
        <v>-19.978000000000002</v>
      </c>
      <c r="E20" s="15">
        <v>4.1150000000000002</v>
      </c>
      <c r="F20" s="15">
        <v>-30.553000000000001</v>
      </c>
      <c r="G20" s="15">
        <v>-10.721</v>
      </c>
      <c r="H20" s="15">
        <v>2.9239999999999999</v>
      </c>
      <c r="I20" s="15">
        <v>-9.766</v>
      </c>
      <c r="J20" s="15">
        <v>-31.64</v>
      </c>
      <c r="K20" s="15">
        <v>-16.318000000000001</v>
      </c>
      <c r="L20" s="15">
        <f>+L18-L19</f>
        <v>-18.407999999999998</v>
      </c>
      <c r="M20" s="15">
        <f>+M18-M19</f>
        <v>-20.908999999999999</v>
      </c>
      <c r="N20" s="15">
        <v>-87.561000000000007</v>
      </c>
      <c r="O20" s="15">
        <f>+O18-O19</f>
        <v>-19.729999999999993</v>
      </c>
      <c r="P20" s="15">
        <f>+P18-P19</f>
        <v>-72.55</v>
      </c>
      <c r="Q20" s="15">
        <f>+Q18-Q19</f>
        <v>-171.94600000000005</v>
      </c>
      <c r="U20" s="15">
        <f>+U18-U19</f>
        <v>-30.553000000000011</v>
      </c>
      <c r="V20" s="15">
        <f>+V18-V19</f>
        <v>-31.64</v>
      </c>
      <c r="W20" s="15">
        <f>+W18-W19</f>
        <v>-87.561000000000007</v>
      </c>
      <c r="X20" s="15"/>
      <c r="Y20" s="15"/>
      <c r="Z20" s="15"/>
      <c r="AA20" s="15"/>
      <c r="AB20" s="15"/>
    </row>
    <row r="21" spans="2:28">
      <c r="B21" s="5" t="s">
        <v>30</v>
      </c>
      <c r="C21" s="13"/>
      <c r="D21" s="13">
        <v>-0.39</v>
      </c>
      <c r="E21" s="13">
        <v>0.08</v>
      </c>
      <c r="F21" s="13">
        <v>-0.37</v>
      </c>
      <c r="G21" s="13">
        <v>0.21</v>
      </c>
      <c r="H21" s="13">
        <v>0.06</v>
      </c>
      <c r="I21" s="13">
        <v>0.18</v>
      </c>
      <c r="J21" s="13">
        <v>-0.57999999999999996</v>
      </c>
      <c r="K21" s="13">
        <v>-0.23</v>
      </c>
      <c r="L21" s="13">
        <v>-0.24</v>
      </c>
      <c r="M21" s="13">
        <f>+M20/M22</f>
        <v>-0.23358195305323359</v>
      </c>
      <c r="N21" s="13">
        <v>-1.07</v>
      </c>
      <c r="O21" s="13">
        <f>+O20/O22</f>
        <v>-0.16245751299631281</v>
      </c>
      <c r="P21" s="13">
        <v>-0.51</v>
      </c>
      <c r="Q21" s="13">
        <f>+Q20/Q22</f>
        <v>-1.1047327169524517</v>
      </c>
      <c r="U21" s="13">
        <f>+U20/U22</f>
        <v>-0.5906268506625344</v>
      </c>
      <c r="V21" s="13">
        <f>+V20/V22</f>
        <v>-0.58122155098236095</v>
      </c>
      <c r="W21" s="13">
        <f>+W20/W22</f>
        <v>-1.0701123074684504</v>
      </c>
      <c r="X21" s="13"/>
      <c r="Y21" s="13"/>
      <c r="Z21" s="13"/>
      <c r="AA21" s="13"/>
      <c r="AB21" s="13"/>
    </row>
    <row r="22" spans="2:28">
      <c r="B22" s="5" t="s">
        <v>1</v>
      </c>
      <c r="C22" s="2"/>
      <c r="D22" s="2">
        <v>51.728999999999999</v>
      </c>
      <c r="E22" s="2">
        <v>51.728999999999999</v>
      </c>
      <c r="F22" s="2">
        <v>51.728999999999999</v>
      </c>
      <c r="G22" s="2">
        <v>51.76</v>
      </c>
      <c r="H22" s="2">
        <v>51.868000000000002</v>
      </c>
      <c r="I22" s="2">
        <v>53.232999999999997</v>
      </c>
      <c r="J22" s="2">
        <v>54.436999999999998</v>
      </c>
      <c r="K22" s="2">
        <v>71.844999999999999</v>
      </c>
      <c r="L22" s="2">
        <v>75.64</v>
      </c>
      <c r="M22" s="2">
        <v>89.514621000000005</v>
      </c>
      <c r="N22" s="2">
        <v>81.823999999999998</v>
      </c>
      <c r="O22" s="2">
        <v>121.447138</v>
      </c>
      <c r="P22" s="2">
        <v>141.185</v>
      </c>
      <c r="Q22" s="2">
        <v>155.64488800000001</v>
      </c>
      <c r="U22" s="2">
        <v>51.729785</v>
      </c>
      <c r="V22" s="2">
        <v>54.437072999999998</v>
      </c>
      <c r="W22" s="2">
        <v>81.824122000000003</v>
      </c>
      <c r="X22" s="2"/>
      <c r="Y22" s="2"/>
      <c r="Z22" s="2"/>
      <c r="AA22" s="2"/>
      <c r="AB22" s="2"/>
    </row>
    <row r="24" spans="2:28">
      <c r="B24" s="5" t="s">
        <v>34</v>
      </c>
      <c r="F24" s="6"/>
      <c r="G24" s="6"/>
      <c r="H24" s="6">
        <f t="shared" ref="H24:Q24" si="4">IFERROR(H4/D4 -1, 0)</f>
        <v>1.6195456184637576</v>
      </c>
      <c r="I24" s="6">
        <f t="shared" si="4"/>
        <v>0.70122448979591834</v>
      </c>
      <c r="J24" s="6">
        <f t="shared" si="4"/>
        <v>0.11446997178557039</v>
      </c>
      <c r="K24" s="6">
        <f t="shared" si="4"/>
        <v>-1</v>
      </c>
      <c r="L24" s="6">
        <f t="shared" si="4"/>
        <v>-1</v>
      </c>
      <c r="M24" s="6">
        <f t="shared" si="4"/>
        <v>-1</v>
      </c>
      <c r="N24" s="6">
        <f t="shared" si="4"/>
        <v>-1</v>
      </c>
      <c r="O24" s="6">
        <f t="shared" si="4"/>
        <v>0</v>
      </c>
      <c r="P24" s="6">
        <f t="shared" si="4"/>
        <v>0</v>
      </c>
      <c r="Q24" s="6">
        <f t="shared" si="4"/>
        <v>0</v>
      </c>
      <c r="U24" s="18"/>
      <c r="V24" s="18">
        <f>V4/U4</f>
        <v>1.1144699717855704</v>
      </c>
      <c r="W24" s="18">
        <f>W4/V4</f>
        <v>0</v>
      </c>
    </row>
    <row r="25" spans="2:28">
      <c r="B25" s="5" t="s">
        <v>33</v>
      </c>
      <c r="F25" s="6">
        <f>F6/F4</f>
        <v>0.39032648125755742</v>
      </c>
      <c r="G25" s="6">
        <f>G6/G4</f>
        <v>0.17042606516290731</v>
      </c>
      <c r="H25" s="6">
        <f>H6/H4</f>
        <v>0.69686123348017626</v>
      </c>
      <c r="I25" s="6">
        <f>I6/I4</f>
        <v>0.39419385796545109</v>
      </c>
      <c r="J25" s="6">
        <f>J6/J4</f>
        <v>0.51435804701627486</v>
      </c>
      <c r="K25" s="6">
        <v>0</v>
      </c>
      <c r="L25" s="6">
        <v>0</v>
      </c>
      <c r="M25" s="6">
        <v>0</v>
      </c>
      <c r="N25" s="6">
        <v>0</v>
      </c>
      <c r="O25" s="6">
        <f>O6/O4</f>
        <v>1</v>
      </c>
      <c r="P25" s="6">
        <f>P6/P4</f>
        <v>1</v>
      </c>
      <c r="Q25" s="6">
        <f>Q6/Q4</f>
        <v>1</v>
      </c>
      <c r="U25" s="6">
        <f>IFERROR(U6/U4, 0)</f>
        <v>0.39032648125755742</v>
      </c>
      <c r="V25" s="6">
        <f>IFERROR(V6/V4, 0)</f>
        <v>0.51435804701627486</v>
      </c>
      <c r="W25" s="6">
        <f>IFERROR(W6/W4, 0)</f>
        <v>0</v>
      </c>
    </row>
    <row r="28" spans="2:28">
      <c r="B28" s="5" t="s">
        <v>41</v>
      </c>
      <c r="O28" s="9">
        <f>+O30-O42</f>
        <v>51.358000000000033</v>
      </c>
      <c r="P28" s="9">
        <f>+P30-P42</f>
        <v>87.763000000000005</v>
      </c>
      <c r="Q28" s="9">
        <f>+Q30-Q42</f>
        <v>317.99899999999997</v>
      </c>
    </row>
    <row r="29" spans="2:28">
      <c r="O29" s="2"/>
      <c r="P29" s="2"/>
      <c r="Q29" s="9"/>
    </row>
    <row r="30" spans="2:28">
      <c r="B30" s="5" t="s">
        <v>3</v>
      </c>
      <c r="L30" s="15"/>
      <c r="M30" s="15"/>
      <c r="N30" s="15"/>
      <c r="O30" s="15">
        <f>209.973+2.467</f>
        <v>212.44000000000003</v>
      </c>
      <c r="P30" s="15">
        <f>285.085+2.482</f>
        <v>287.56700000000001</v>
      </c>
      <c r="Q30" s="15">
        <f>516.389+2.497</f>
        <v>518.88599999999997</v>
      </c>
      <c r="V30">
        <f>238.588+0.688</f>
        <v>239.27599999999998</v>
      </c>
      <c r="W30">
        <f>85.622+2.475</f>
        <v>88.096999999999994</v>
      </c>
    </row>
    <row r="31" spans="2:28">
      <c r="B31" s="5" t="s">
        <v>35</v>
      </c>
      <c r="L31" s="15"/>
      <c r="M31" s="15"/>
      <c r="N31" s="15"/>
      <c r="O31" s="15">
        <v>5.0330000000000004</v>
      </c>
      <c r="P31" s="15">
        <v>7.359</v>
      </c>
      <c r="Q31" s="15">
        <v>7.0730000000000004</v>
      </c>
      <c r="V31">
        <v>4.0999999999999996</v>
      </c>
      <c r="W31">
        <v>4.5910000000000002</v>
      </c>
    </row>
    <row r="32" spans="2:28">
      <c r="B32" s="5" t="s">
        <v>69</v>
      </c>
      <c r="L32" s="15"/>
      <c r="M32" s="15"/>
      <c r="N32" s="15"/>
      <c r="O32" s="15">
        <v>22.036000000000001</v>
      </c>
      <c r="P32" s="15">
        <v>20.233000000000001</v>
      </c>
      <c r="Q32" s="15">
        <v>19.661999999999999</v>
      </c>
      <c r="V32">
        <v>24.954000000000001</v>
      </c>
      <c r="W32">
        <v>14.194000000000001</v>
      </c>
    </row>
    <row r="33" spans="2:23">
      <c r="B33" s="5" t="s">
        <v>37</v>
      </c>
      <c r="L33" s="15"/>
      <c r="M33" s="15"/>
      <c r="N33" s="15"/>
      <c r="O33" s="15">
        <v>245.28399999999999</v>
      </c>
      <c r="P33" s="15">
        <v>248.16200000000001</v>
      </c>
      <c r="Q33" s="15">
        <v>260.06799999999998</v>
      </c>
      <c r="V33">
        <v>145.989</v>
      </c>
      <c r="W33">
        <v>238.47800000000001</v>
      </c>
    </row>
    <row r="34" spans="2:23">
      <c r="B34" s="5" t="s">
        <v>38</v>
      </c>
      <c r="L34" s="15"/>
      <c r="M34" s="15"/>
      <c r="N34" s="15"/>
      <c r="O34" s="15">
        <v>12.795999999999999</v>
      </c>
      <c r="P34" s="15">
        <v>12.343999999999999</v>
      </c>
      <c r="Q34" s="15">
        <v>12.087999999999999</v>
      </c>
      <c r="V34">
        <v>7.6710000000000003</v>
      </c>
      <c r="W34">
        <v>13.221</v>
      </c>
    </row>
    <row r="35" spans="2:23">
      <c r="B35" s="5" t="s">
        <v>36</v>
      </c>
      <c r="L35" s="15"/>
      <c r="M35" s="15"/>
      <c r="N35" s="15"/>
      <c r="O35" s="15">
        <v>4.1390000000000002</v>
      </c>
      <c r="P35" s="15">
        <v>3.972</v>
      </c>
      <c r="Q35" s="15">
        <v>3.8719999999999999</v>
      </c>
      <c r="V35">
        <v>16.402000000000001</v>
      </c>
      <c r="W35">
        <v>2.3109999999999999</v>
      </c>
    </row>
    <row r="36" spans="2:23" ht="15">
      <c r="B36" s="16" t="s">
        <v>74</v>
      </c>
      <c r="L36" s="15"/>
      <c r="M36" s="15"/>
      <c r="N36" s="15"/>
      <c r="O36" s="17">
        <f>SUM(O30:O35)</f>
        <v>501.72800000000001</v>
      </c>
      <c r="P36" s="17">
        <f>SUM(P30:P35)</f>
        <v>579.63700000000006</v>
      </c>
      <c r="Q36" s="17">
        <f>SUM(Q30:Q35)</f>
        <v>821.64899999999989</v>
      </c>
      <c r="V36" s="17">
        <f>SUM(V30:V35)</f>
        <v>438.39199999999994</v>
      </c>
      <c r="W36" s="17">
        <f>SUM(W30:W35)</f>
        <v>360.892</v>
      </c>
    </row>
    <row r="37" spans="2:23">
      <c r="L37" s="15"/>
      <c r="M37" s="15"/>
      <c r="N37" s="15"/>
      <c r="O37" s="15"/>
      <c r="P37" s="15"/>
      <c r="Q37" s="15"/>
    </row>
    <row r="38" spans="2:23">
      <c r="B38" s="5" t="s">
        <v>70</v>
      </c>
      <c r="L38" s="15"/>
      <c r="M38" s="15"/>
      <c r="N38" s="15"/>
      <c r="O38" s="15">
        <v>14.528</v>
      </c>
      <c r="P38" s="15">
        <v>12.175000000000001</v>
      </c>
      <c r="Q38" s="15">
        <v>8.9619999999999997</v>
      </c>
    </row>
    <row r="39" spans="2:23">
      <c r="B39" s="5" t="s">
        <v>71</v>
      </c>
      <c r="L39" s="15"/>
      <c r="M39" s="15"/>
      <c r="N39" s="15"/>
      <c r="O39" s="15">
        <v>15.593</v>
      </c>
      <c r="P39" s="15">
        <v>13.653</v>
      </c>
      <c r="Q39" s="15">
        <v>16.48</v>
      </c>
    </row>
    <row r="40" spans="2:23">
      <c r="B40" s="5" t="s">
        <v>40</v>
      </c>
      <c r="L40" s="15"/>
      <c r="M40" s="15"/>
      <c r="N40" s="15"/>
      <c r="O40" s="15">
        <f>11.746</f>
        <v>11.746</v>
      </c>
      <c r="P40" s="15">
        <f>21.78+77.886</f>
        <v>99.665999999999997</v>
      </c>
      <c r="Q40" s="15">
        <f>22.468+57.46</f>
        <v>79.927999999999997</v>
      </c>
    </row>
    <row r="41" spans="2:23">
      <c r="B41" s="5" t="s">
        <v>72</v>
      </c>
      <c r="L41" s="15"/>
      <c r="M41" s="15"/>
      <c r="N41" s="15"/>
      <c r="O41" s="15">
        <f>1.505+11.429</f>
        <v>12.934000000000001</v>
      </c>
      <c r="P41" s="15">
        <f>10.952+1.517</f>
        <v>12.468999999999999</v>
      </c>
      <c r="Q41" s="15">
        <f>1.534+11.057</f>
        <v>12.591000000000001</v>
      </c>
    </row>
    <row r="42" spans="2:23">
      <c r="B42" s="5" t="s">
        <v>4</v>
      </c>
      <c r="L42" s="15"/>
      <c r="M42" s="15"/>
      <c r="N42" s="15"/>
      <c r="O42" s="15">
        <f>0.255+160.827</f>
        <v>161.08199999999999</v>
      </c>
      <c r="P42" s="15">
        <f>0.258+199.546</f>
        <v>199.804</v>
      </c>
      <c r="Q42" s="15">
        <f>44.635+156.252</f>
        <v>200.887</v>
      </c>
    </row>
    <row r="43" spans="2:23" ht="15">
      <c r="B43" s="16" t="s">
        <v>73</v>
      </c>
      <c r="J43" s="15"/>
      <c r="K43" s="15"/>
      <c r="L43" s="15"/>
      <c r="M43" s="15"/>
      <c r="N43" s="15"/>
      <c r="O43" s="17">
        <f>SUM(O38:O42)</f>
        <v>215.88299999999998</v>
      </c>
      <c r="P43" s="17">
        <f>SUM(P38:P42)</f>
        <v>337.767</v>
      </c>
      <c r="Q43" s="17">
        <f>SUM(Q38:Q42)</f>
        <v>318.84800000000001</v>
      </c>
    </row>
    <row r="44" spans="2:23">
      <c r="B44" s="5" t="s">
        <v>68</v>
      </c>
      <c r="P44" s="2"/>
      <c r="Q44" s="9"/>
    </row>
    <row r="45" spans="2:23">
      <c r="B45" s="5" t="s">
        <v>50</v>
      </c>
      <c r="C45" s="15"/>
      <c r="D45" s="15"/>
      <c r="E45" s="15"/>
      <c r="F45" s="15"/>
      <c r="G45" s="15"/>
      <c r="H45" s="15"/>
      <c r="I45" s="15"/>
      <c r="J45" s="15"/>
      <c r="K45" s="15">
        <f>K18</f>
        <v>-45.216000000000001</v>
      </c>
      <c r="L45" s="15">
        <f>L18</f>
        <v>-49.588999999999999</v>
      </c>
      <c r="M45" s="15">
        <f>M18</f>
        <v>-50.747999999999998</v>
      </c>
      <c r="N45" s="15"/>
      <c r="O45" s="15">
        <f>O18</f>
        <v>-39.803999999999995</v>
      </c>
      <c r="P45" s="15">
        <f>P18</f>
        <v>-131.35</v>
      </c>
      <c r="Q45" s="15">
        <f>Q18</f>
        <v>-303.08000000000004</v>
      </c>
    </row>
    <row r="46" spans="2:23">
      <c r="B46" s="5" t="s">
        <v>51</v>
      </c>
      <c r="C46" s="15"/>
      <c r="D46" s="15"/>
      <c r="E46" s="15"/>
      <c r="F46" s="15"/>
      <c r="G46" s="15"/>
      <c r="H46" s="15"/>
      <c r="I46" s="15"/>
      <c r="J46" s="15"/>
      <c r="K46" s="15">
        <v>-45.216000000000001</v>
      </c>
      <c r="L46" s="15">
        <f>-94.805-K46</f>
        <v>-49.589000000000006</v>
      </c>
      <c r="M46" s="15">
        <f>-145.553-L45-K45</f>
        <v>-50.747999999999998</v>
      </c>
      <c r="N46" s="15"/>
      <c r="O46" s="15">
        <v>-39.804000000000002</v>
      </c>
      <c r="P46" s="15">
        <f>-171.154-O46</f>
        <v>-131.35</v>
      </c>
      <c r="Q46" s="15">
        <f>-474.234-P46-O46</f>
        <v>-303.08000000000004</v>
      </c>
    </row>
    <row r="47" spans="2:23">
      <c r="B47" s="5" t="s">
        <v>53</v>
      </c>
      <c r="C47" s="15"/>
      <c r="D47" s="15"/>
      <c r="E47" s="15"/>
      <c r="F47" s="15"/>
      <c r="G47" s="15"/>
      <c r="H47" s="15"/>
      <c r="I47" s="15"/>
      <c r="J47" s="15"/>
      <c r="K47" s="15">
        <v>1.7330000000000001</v>
      </c>
      <c r="L47" s="15">
        <f>15.848-K47</f>
        <v>14.115</v>
      </c>
      <c r="M47" s="15">
        <f>34.877-L47-K47</f>
        <v>19.029</v>
      </c>
      <c r="N47" s="15"/>
      <c r="O47" s="15">
        <v>19.945</v>
      </c>
      <c r="P47" s="15">
        <f>40.336-O47</f>
        <v>20.390999999999998</v>
      </c>
      <c r="Q47" s="15">
        <f>54.88-P47-O47</f>
        <v>14.544000000000004</v>
      </c>
    </row>
    <row r="48" spans="2:23">
      <c r="B48" s="5" t="s">
        <v>57</v>
      </c>
      <c r="C48" s="15"/>
      <c r="D48" s="15"/>
      <c r="E48" s="15"/>
      <c r="F48" s="15"/>
      <c r="G48" s="15"/>
      <c r="H48" s="15"/>
      <c r="I48" s="15"/>
      <c r="J48" s="15"/>
      <c r="K48" s="15">
        <v>0</v>
      </c>
      <c r="L48" s="15">
        <v>0</v>
      </c>
      <c r="M48" s="15">
        <f>0.374-L48-K48</f>
        <v>0.374</v>
      </c>
      <c r="N48" s="15"/>
      <c r="O48" s="15">
        <v>0.9</v>
      </c>
      <c r="P48" s="15">
        <f>1.901-O48</f>
        <v>1.0009999999999999</v>
      </c>
      <c r="Q48" s="15">
        <f>3.047-P48-O48</f>
        <v>1.1460000000000004</v>
      </c>
    </row>
    <row r="49" spans="2:17">
      <c r="B49" s="5" t="s">
        <v>62</v>
      </c>
      <c r="C49" s="15"/>
      <c r="D49" s="15"/>
      <c r="E49" s="15"/>
      <c r="F49" s="15"/>
      <c r="G49" s="15"/>
      <c r="H49" s="15"/>
      <c r="I49" s="15"/>
      <c r="J49" s="15"/>
      <c r="K49" s="15"/>
      <c r="L49" s="15">
        <v>0</v>
      </c>
      <c r="M49" s="15">
        <v>0</v>
      </c>
      <c r="N49" s="15"/>
      <c r="O49" s="15"/>
      <c r="P49" s="15">
        <v>2.2210000000000001</v>
      </c>
      <c r="Q49" s="15">
        <f>2.221-P49-O49</f>
        <v>0</v>
      </c>
    </row>
    <row r="50" spans="2:17">
      <c r="B50" s="5" t="s">
        <v>55</v>
      </c>
      <c r="C50" s="15"/>
      <c r="D50" s="15"/>
      <c r="E50" s="15"/>
      <c r="F50" s="15"/>
      <c r="G50" s="15"/>
      <c r="H50" s="15"/>
      <c r="I50" s="15"/>
      <c r="J50" s="15"/>
      <c r="K50" s="15">
        <v>-7.4980000000000002</v>
      </c>
      <c r="L50" s="15">
        <f>-13.973-K50</f>
        <v>-6.4750000000000005</v>
      </c>
      <c r="M50" s="15">
        <f>-21.454-L50-K50</f>
        <v>-7.480999999999999</v>
      </c>
      <c r="N50" s="15"/>
      <c r="O50" s="15">
        <v>-18.213999999999999</v>
      </c>
      <c r="P50" s="15">
        <f>47.926+O50</f>
        <v>29.712000000000003</v>
      </c>
      <c r="Q50" s="15">
        <f>284.839-P50-O50</f>
        <v>273.34100000000001</v>
      </c>
    </row>
    <row r="51" spans="2:17">
      <c r="B51" s="5" t="s">
        <v>58</v>
      </c>
      <c r="C51" s="15"/>
      <c r="D51" s="15"/>
      <c r="E51" s="15"/>
      <c r="F51" s="15"/>
      <c r="G51" s="15"/>
      <c r="H51" s="15"/>
      <c r="I51" s="15"/>
      <c r="J51" s="15"/>
      <c r="K51" s="15">
        <v>2.4740000000000002</v>
      </c>
      <c r="L51" s="15">
        <f>8.006-K51</f>
        <v>5.532</v>
      </c>
      <c r="M51" s="15">
        <f>10.595-L51-K51</f>
        <v>2.5890000000000004</v>
      </c>
      <c r="N51" s="15"/>
      <c r="O51" s="15">
        <v>4.9329999999999998</v>
      </c>
      <c r="P51" s="15">
        <f>13.807-O51</f>
        <v>8.8740000000000006</v>
      </c>
      <c r="Q51" s="15">
        <f>20.617-P51-O51</f>
        <v>6.8100000000000005</v>
      </c>
    </row>
    <row r="52" spans="2:17">
      <c r="B52" s="5" t="s">
        <v>61</v>
      </c>
      <c r="C52" s="15"/>
      <c r="D52" s="15"/>
      <c r="E52" s="15"/>
      <c r="F52" s="15"/>
      <c r="G52" s="15"/>
      <c r="H52" s="15"/>
      <c r="I52" s="15"/>
      <c r="J52" s="15"/>
      <c r="K52" s="15"/>
      <c r="L52" s="15">
        <v>0</v>
      </c>
      <c r="M52" s="15">
        <v>0</v>
      </c>
      <c r="N52" s="15"/>
      <c r="O52" s="15"/>
      <c r="P52" s="15">
        <v>2.9590000000000001</v>
      </c>
      <c r="Q52" s="15">
        <f>2.959-P52-O52</f>
        <v>0</v>
      </c>
    </row>
    <row r="53" spans="2:17">
      <c r="B53" s="5" t="s">
        <v>54</v>
      </c>
      <c r="C53" s="15"/>
      <c r="D53" s="15"/>
      <c r="E53" s="15"/>
      <c r="F53" s="15"/>
      <c r="G53" s="15"/>
      <c r="H53" s="15"/>
      <c r="I53" s="15"/>
      <c r="J53" s="15"/>
      <c r="K53" s="15">
        <f>-12.168+5.553+0.006+17.383</f>
        <v>10.774000000000001</v>
      </c>
      <c r="L53" s="15">
        <f>-15.547-4.112+0.035+0+16.559-K53</f>
        <v>-13.838999999999999</v>
      </c>
      <c r="M53" s="15">
        <f>1.601-6.215+0.054+0+1.68-L53-K53</f>
        <v>0.18499999999999872</v>
      </c>
      <c r="N53" s="15"/>
      <c r="O53" s="15">
        <f>-8.306-8.396-0.008+0.828</f>
        <v>-15.881999999999998</v>
      </c>
      <c r="P53" s="15">
        <f>-10.128-14.873-(21/1000)+21.78+(972/1000)-O53</f>
        <v>13.612</v>
      </c>
      <c r="Q53" s="15">
        <f>7.94-7.998+0.357+22.468+1.081-P53-O53</f>
        <v>26.117999999999995</v>
      </c>
    </row>
    <row r="54" spans="2:17">
      <c r="B54" s="5" t="s">
        <v>56</v>
      </c>
      <c r="C54" s="15"/>
      <c r="D54" s="15"/>
      <c r="E54" s="15"/>
      <c r="F54" s="15"/>
      <c r="G54" s="15"/>
      <c r="H54" s="15"/>
      <c r="I54" s="15"/>
      <c r="J54" s="15"/>
      <c r="K54" s="15">
        <f>SUM(K46:K53)</f>
        <v>-37.733000000000004</v>
      </c>
      <c r="L54" s="15">
        <f>SUM(L46:L53)</f>
        <v>-50.256</v>
      </c>
      <c r="M54" s="15">
        <f>SUM(M46:M53)</f>
        <v>-36.052000000000007</v>
      </c>
      <c r="N54" s="15"/>
      <c r="O54" s="15">
        <f>SUM(O46:O53)</f>
        <v>-48.122</v>
      </c>
      <c r="P54" s="15">
        <f>SUM(P46:P53)</f>
        <v>-52.579999999999991</v>
      </c>
      <c r="Q54" s="15">
        <f>SUM(Q46:Q53)</f>
        <v>18.878999999999962</v>
      </c>
    </row>
    <row r="55" spans="2:17">
      <c r="P55" s="2"/>
      <c r="Q55" s="9"/>
    </row>
    <row r="56" spans="2:17">
      <c r="B56" s="5" t="s">
        <v>56</v>
      </c>
      <c r="C56" s="15"/>
      <c r="D56" s="15"/>
      <c r="E56" s="15"/>
      <c r="F56" s="15"/>
      <c r="G56" s="15"/>
      <c r="H56" s="15"/>
      <c r="I56" s="15"/>
      <c r="J56" s="15"/>
      <c r="K56" s="15">
        <v>-37.732999999999997</v>
      </c>
      <c r="L56" s="15">
        <f>-87.989-K56</f>
        <v>-50.256000000000007</v>
      </c>
      <c r="M56" s="15">
        <f>-124.041-L56-K56</f>
        <v>-36.052</v>
      </c>
      <c r="N56" s="15"/>
      <c r="O56" s="15">
        <v>-48.122</v>
      </c>
      <c r="P56" s="15">
        <f>-64.274-O56</f>
        <v>-16.152000000000001</v>
      </c>
      <c r="Q56" s="9">
        <f>-97.703-P56-O56</f>
        <v>-33.429000000000002</v>
      </c>
    </row>
    <row r="57" spans="2:17">
      <c r="B57" s="5" t="s">
        <v>60</v>
      </c>
      <c r="C57" s="15"/>
      <c r="D57" s="15"/>
      <c r="E57" s="15"/>
      <c r="F57" s="15"/>
      <c r="G57" s="15"/>
      <c r="H57" s="15"/>
      <c r="I57" s="15"/>
      <c r="J57" s="15"/>
      <c r="K57" s="15">
        <v>-15.388</v>
      </c>
      <c r="L57" s="15">
        <f>-22.972-K57</f>
        <v>-7.5840000000000014</v>
      </c>
      <c r="M57" s="15">
        <f>-96.462-L57-K57</f>
        <v>-73.489999999999995</v>
      </c>
      <c r="N57" s="15"/>
      <c r="O57" s="15">
        <v>-39.567999999999998</v>
      </c>
      <c r="P57" s="15">
        <f>-61.77-O57</f>
        <v>-22.202000000000005</v>
      </c>
      <c r="Q57" s="9">
        <f>-92.095-P57-O57</f>
        <v>-30.325000000000003</v>
      </c>
    </row>
    <row r="58" spans="2:17">
      <c r="B58" s="5" t="s">
        <v>59</v>
      </c>
      <c r="C58" s="15"/>
      <c r="D58" s="15"/>
      <c r="E58" s="15"/>
      <c r="F58" s="15"/>
      <c r="G58" s="15"/>
      <c r="H58" s="15"/>
      <c r="I58" s="15"/>
      <c r="J58" s="15"/>
      <c r="K58" s="15">
        <f>+K56-K57</f>
        <v>-22.344999999999999</v>
      </c>
      <c r="L58" s="15">
        <f>+L56-L57</f>
        <v>-42.672000000000004</v>
      </c>
      <c r="M58" s="15">
        <f>+M56-M57</f>
        <v>37.437999999999995</v>
      </c>
      <c r="N58" s="15"/>
      <c r="O58" s="15">
        <f>+O56-O57</f>
        <v>-8.554000000000002</v>
      </c>
      <c r="P58" s="15">
        <f>+P56+P57</f>
        <v>-38.354000000000006</v>
      </c>
      <c r="Q58" s="15">
        <f>+Q56+Q57</f>
        <v>-63.754000000000005</v>
      </c>
    </row>
    <row r="59" spans="2:17">
      <c r="B59" s="8"/>
      <c r="N59" s="15"/>
    </row>
    <row r="61" spans="2:17">
      <c r="P61" s="2"/>
    </row>
    <row r="62" spans="2:17">
      <c r="P62" s="2"/>
    </row>
    <row r="63" spans="2:17">
      <c r="P63" s="2"/>
    </row>
    <row r="64" spans="2:17">
      <c r="P64" s="2"/>
    </row>
    <row r="65" spans="16:16">
      <c r="P65" s="2"/>
    </row>
    <row r="66" spans="16:16">
      <c r="P66" s="2"/>
    </row>
    <row r="67" spans="16:16">
      <c r="P67" s="2"/>
    </row>
    <row r="68" spans="16:16">
      <c r="P68" s="2"/>
    </row>
    <row r="69" spans="16:16">
      <c r="P69" s="2"/>
    </row>
    <row r="70" spans="16:16">
      <c r="P70" s="2"/>
    </row>
    <row r="71" spans="16:16">
      <c r="P71" s="2"/>
    </row>
  </sheetData>
  <hyperlinks>
    <hyperlink ref="A1" location="Main!A1" display="Main"/>
  </hyperlinks>
  <pageMargins left="0.7" right="0.7" top="0.75" bottom="0.75" header="0.3" footer="0.3"/>
  <pageSetup orientation="portrait" r:id="rId1"/>
  <headerFooter>
    <oddFooter>&amp;C_x000D_&amp;1#&amp;"Calibri"&amp;10&amp;K000000 External Use</oddFooter>
  </headerFooter>
  <drawing r:id="rId2"/>
</worksheet>
</file>

<file path=docMetadata/LabelInfo.xml><?xml version="1.0" encoding="utf-8"?>
<clbl:labelList xmlns:clbl="http://schemas.microsoft.com/office/2020/mipLabelMetadata">
  <clbl:label id="{2163ee66-81f5-4c7d-a2dc-87984ea84ce3}" enabled="1" method="Privileged" siteId="{9b50c80f-103b-4433-a91c-b4b06c50738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Kirpach (US)</dc:creator>
  <cp:lastModifiedBy>Kirpach, Albert</cp:lastModifiedBy>
  <cp:lastPrinted>2024-11-15T14:21:46Z</cp:lastPrinted>
  <dcterms:created xsi:type="dcterms:W3CDTF">2024-09-17T18:48:58Z</dcterms:created>
  <dcterms:modified xsi:type="dcterms:W3CDTF">2024-11-27T04:18:42Z</dcterms:modified>
</cp:coreProperties>
</file>