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2" l="1"/>
  <c r="Q24" i="2"/>
  <c r="Q22" i="2"/>
  <c r="Q21" i="2"/>
  <c r="M9" i="2"/>
  <c r="M7" i="2"/>
  <c r="M5" i="2"/>
  <c r="Q7" i="2"/>
  <c r="Q9" i="2"/>
  <c r="Q5" i="2"/>
  <c r="N24" i="2"/>
  <c r="R24" i="2"/>
  <c r="N22" i="2"/>
  <c r="R22" i="2"/>
  <c r="R21" i="2"/>
  <c r="N13" i="2"/>
  <c r="N7" i="2"/>
  <c r="N9" i="2"/>
  <c r="N10" i="2" s="1"/>
  <c r="N5" i="2"/>
  <c r="R13" i="2"/>
  <c r="R7" i="2"/>
  <c r="R9" i="2"/>
  <c r="R5" i="2"/>
  <c r="S34" i="2"/>
  <c r="P34" i="2"/>
  <c r="P33" i="2"/>
  <c r="P32" i="2"/>
  <c r="T32" i="2"/>
  <c r="P30" i="2"/>
  <c r="P29" i="2"/>
  <c r="P28" i="2"/>
  <c r="P27" i="2"/>
  <c r="T34" i="2"/>
  <c r="T33" i="2"/>
  <c r="T30" i="2"/>
  <c r="T29" i="2"/>
  <c r="T28" i="2"/>
  <c r="T27" i="2"/>
  <c r="T25" i="2"/>
  <c r="P25" i="2"/>
  <c r="P24" i="2"/>
  <c r="P13" i="2"/>
  <c r="P17" i="2" s="1"/>
  <c r="O34" i="2"/>
  <c r="O30" i="2"/>
  <c r="O24" i="2"/>
  <c r="M10" i="2" l="1"/>
  <c r="M13" i="2" s="1"/>
  <c r="M17" i="2" s="1"/>
  <c r="M18" i="2" s="1"/>
  <c r="Q10" i="2"/>
  <c r="Q13" i="2" s="1"/>
  <c r="Q17" i="2" s="1"/>
  <c r="Q18" i="2" s="1"/>
  <c r="N17" i="2"/>
  <c r="N18" i="2" s="1"/>
  <c r="R10" i="2"/>
  <c r="R17" i="2" s="1"/>
  <c r="R18" i="2" s="1"/>
  <c r="S30" i="2"/>
  <c r="S27" i="2" l="1"/>
  <c r="S24" i="2" l="1"/>
  <c r="O22" i="2"/>
  <c r="P22" i="2"/>
  <c r="S22" i="2"/>
  <c r="S21" i="2"/>
  <c r="S13" i="2"/>
  <c r="O13" i="2"/>
  <c r="O17" i="2" s="1"/>
  <c r="O11" i="2"/>
  <c r="O7" i="2"/>
  <c r="O9" i="2"/>
  <c r="O5" i="2"/>
  <c r="S10" i="2"/>
  <c r="S9" i="2"/>
  <c r="S11" i="2"/>
  <c r="S7" i="2"/>
  <c r="S5" i="2"/>
  <c r="T24" i="2"/>
  <c r="T21" i="2"/>
  <c r="P11" i="2"/>
  <c r="T11" i="2"/>
  <c r="O10" i="2" l="1"/>
  <c r="O18" i="2" s="1"/>
  <c r="P7" i="2"/>
  <c r="P9" i="2"/>
  <c r="P5" i="2"/>
  <c r="T7" i="2"/>
  <c r="T9" i="2" s="1"/>
  <c r="T5" i="2"/>
  <c r="T22" i="2" s="1"/>
  <c r="K7" i="1"/>
  <c r="K4" i="1"/>
  <c r="P10" i="2" l="1"/>
  <c r="P18" i="2" s="1"/>
  <c r="T10" i="2"/>
  <c r="T13" i="2" s="1"/>
  <c r="T17" i="2" s="1"/>
  <c r="T18" i="2" s="1"/>
  <c r="S17" i="2" l="1"/>
  <c r="S18" i="2" s="1"/>
</calcChain>
</file>

<file path=xl/sharedStrings.xml><?xml version="1.0" encoding="utf-8"?>
<sst xmlns="http://schemas.openxmlformats.org/spreadsheetml/2006/main" count="97" uniqueCount="80">
  <si>
    <t>Price</t>
  </si>
  <si>
    <t>Shares</t>
  </si>
  <si>
    <t>MC</t>
  </si>
  <si>
    <t>Cash</t>
  </si>
  <si>
    <t>Debt</t>
  </si>
  <si>
    <t>EV</t>
  </si>
  <si>
    <t>Q324</t>
  </si>
  <si>
    <t>Name</t>
  </si>
  <si>
    <t>Anord Mardix</t>
  </si>
  <si>
    <t>Crown Technical Systems</t>
  </si>
  <si>
    <t>Farm</t>
  </si>
  <si>
    <t>Infinex</t>
  </si>
  <si>
    <t>IRUMOLD</t>
  </si>
  <si>
    <t>JetCool</t>
  </si>
  <si>
    <t xml:space="preserve">MCi </t>
  </si>
  <si>
    <t>Sheldahl</t>
  </si>
  <si>
    <t>Sønderborg Værktøjsfabrik</t>
  </si>
  <si>
    <t>Electrical Engineering</t>
  </si>
  <si>
    <t>Products</t>
  </si>
  <si>
    <t>Switchgear, busbar, Modular Circuit Monitoring System (MCMS)</t>
  </si>
  <si>
    <t>Utilities</t>
  </si>
  <si>
    <t>Enclosures, Relay Panels, Switchgear</t>
  </si>
  <si>
    <t>Healthcare devices</t>
  </si>
  <si>
    <t>Cardiology/Endovascular, Diagnostic, Drug Delivery, Home Health, Hospital, Laboratory, Orthopedics, Robotics, Spine, Surgical, Urology, Wearables</t>
  </si>
  <si>
    <t>Industry</t>
  </si>
  <si>
    <t>Electronics manufacturer</t>
  </si>
  <si>
    <t>Capacitors, inductors, resistors, semiconductors, frequency management, antennas, Valmax iInterconnect, mechnicals</t>
  </si>
  <si>
    <t>Companies portfolio</t>
  </si>
  <si>
    <t>Cooling modules (microconvective liquid cooling)</t>
  </si>
  <si>
    <t>Manufacturer</t>
  </si>
  <si>
    <t>Actuators (aerodynamics, side view mirrors, sensor protect and cleaning)</t>
  </si>
  <si>
    <r>
      <t xml:space="preserve">At the core of an </t>
    </r>
    <r>
      <rPr>
        <b/>
        <sz val="11"/>
        <color theme="1"/>
        <rFont val="Calibri"/>
        <family val="2"/>
        <scheme val="minor"/>
      </rPr>
      <t>actuator's</t>
    </r>
    <r>
      <rPr>
        <sz val="11"/>
        <color theme="1"/>
        <rFont val="Calibri"/>
        <family val="2"/>
        <scheme val="minor"/>
      </rPr>
      <t xml:space="preserve"> operation is the conversion of input energy into mechanical motion.</t>
    </r>
  </si>
  <si>
    <t>Printed circuits &amp; custom materials (automotive, healthcare, architectural lighting, consumer appliances, human-machine interface: HMI, smart packaging</t>
  </si>
  <si>
    <t>Medical manufacturer</t>
  </si>
  <si>
    <t>Medical device industry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</si>
  <si>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</si>
  <si>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</si>
  <si>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</si>
  <si>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</si>
  <si>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</si>
  <si>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</si>
  <si>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</si>
  <si>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</si>
  <si>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</si>
  <si>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</si>
  <si>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</si>
  <si>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</si>
  <si>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</si>
  <si>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</si>
  <si>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</si>
  <si>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</si>
  <si>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</si>
  <si>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</si>
  <si>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</si>
  <si>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</si>
  <si>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</si>
  <si>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</si>
  <si>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</si>
  <si>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Restructuring</t>
  </si>
  <si>
    <t>SG&amp;A</t>
  </si>
  <si>
    <t>Amortization</t>
  </si>
  <si>
    <t>Operating Expenses</t>
  </si>
  <si>
    <t>Operating Income</t>
  </si>
  <si>
    <t>Other</t>
  </si>
  <si>
    <t>Taxes</t>
  </si>
  <si>
    <t>NI</t>
  </si>
  <si>
    <t>Net Income</t>
  </si>
  <si>
    <t>EPS</t>
  </si>
  <si>
    <t>Interest Expense</t>
  </si>
  <si>
    <t>Pre-tax Income</t>
  </si>
  <si>
    <t>Revenue y/y</t>
  </si>
  <si>
    <t>Gross Margin</t>
  </si>
  <si>
    <t>Model Net Income</t>
  </si>
  <si>
    <t>Reported Net Income</t>
  </si>
  <si>
    <t>Operations Income</t>
  </si>
  <si>
    <t>Depreciation &amp; Amortization</t>
  </si>
  <si>
    <t>CFFO</t>
  </si>
  <si>
    <t>CapEx</t>
  </si>
  <si>
    <t>FCF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</si>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</sst>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/>
  </sheetViews>
  <sheetFormatPr defaultRowHeight="15" x14ac:dyDescent="0.25"/>
  <cols>
    <col min="2" max="2" width="25.28515625" bestFit="1" customWidth="1"/>
    <col min="3" max="3" width="23.42578125" bestFit="1" customWidth="1"/>
    <col min="4" max="4" width="23" customWidth="1"/>
    <col min="11" max="11" width="10" bestFit="1" customWidth="1"/>
  </cols>
  <sheetData>
    <row r="2" spans="2:12" x14ac:dyDescent="0.25">
      <c r="B2" s="2" t="s">
        <v>27</v>
      </c>
      <c r="D2" s="2"/>
      <c r="J2" s="2" t="s">
        <v>0</v>
      </c>
      <c r="K2">
        <v>39.92</v>
      </c>
    </row>
    <row r="3" spans="2:12" x14ac:dyDescent="0.25">
      <c r="B3" t="s">
        <v>8</v>
      </c>
      <c r="J3" s="2" t="s">
        <v>1</v>
      </c>
      <c r="K3" s="1">
        <v>387.78344499999997</v>
      </c>
      <c r="L3" t="s">
        <v>6</v>
      </c>
    </row>
    <row r="4" spans="2:12" x14ac:dyDescent="0.25">
      <c r="B4" t="s">
        <v>9</v>
      </c>
      <c r="J4" s="2" t="s">
        <v>2</v>
      </c>
      <c r="K4" s="1">
        <f>K3*K2</f>
        <v>15480.3151244</v>
      </c>
    </row>
    <row r="5" spans="2:12" x14ac:dyDescent="0.25">
      <c r="B5" t="s">
        <v>10</v>
      </c>
      <c r="J5" s="2" t="s">
        <v>3</v>
      </c>
      <c r="K5" s="1">
        <v>2601</v>
      </c>
      <c r="L5" t="s">
        <v>6</v>
      </c>
    </row>
    <row r="6" spans="2:12" x14ac:dyDescent="0.25">
      <c r="B6" t="s">
        <v>11</v>
      </c>
      <c r="J6" s="2" t="s">
        <v>4</v>
      </c>
      <c r="K6" s="1">
        <v>3178</v>
      </c>
      <c r="L6" t="s">
        <v>6</v>
      </c>
    </row>
    <row r="7" spans="2:12" x14ac:dyDescent="0.25">
      <c r="B7" t="s">
        <v>12</v>
      </c>
      <c r="J7" s="2" t="s">
        <v>5</v>
      </c>
      <c r="K7" s="1">
        <f>K4-K5+K6</f>
        <v>16057.3151244</v>
      </c>
    </row>
    <row r="8" spans="2:12" x14ac:dyDescent="0.25">
      <c r="B8" t="s">
        <v>13</v>
      </c>
    </row>
    <row r="9" spans="2:12" x14ac:dyDescent="0.25">
      <c r="B9" t="s">
        <v>14</v>
      </c>
    </row>
    <row r="10" spans="2:12" x14ac:dyDescent="0.25">
      <c r="B10" t="s">
        <v>15</v>
      </c>
    </row>
    <row r="11" spans="2:12" x14ac:dyDescent="0.25">
      <c r="B11" t="s">
        <v>16</v>
      </c>
    </row>
    <row r="16" spans="2:12" x14ac:dyDescent="0.25">
      <c r="B16" s="2" t="s">
        <v>7</v>
      </c>
      <c r="C16" s="2" t="s">
        <v>24</v>
      </c>
      <c r="D16" s="2" t="s">
        <v>18</v>
      </c>
    </row>
    <row r="17" spans="2:4" x14ac:dyDescent="0.25">
      <c r="B17" t="s">
        <v>8</v>
      </c>
      <c r="C17" t="s">
        <v>17</v>
      </c>
      <c r="D17" t="s">
        <v>19</v>
      </c>
    </row>
    <row r="18" spans="2:4" x14ac:dyDescent="0.25">
      <c r="B18" t="s">
        <v>9</v>
      </c>
      <c r="C18" t="s">
        <v>20</v>
      </c>
      <c r="D18" t="s">
        <v>21</v>
      </c>
    </row>
    <row r="19" spans="2:4" x14ac:dyDescent="0.25">
      <c r="B19" t="s">
        <v>10</v>
      </c>
      <c r="C19" t="s">
        <v>22</v>
      </c>
      <c r="D19" t="s">
        <v>23</v>
      </c>
    </row>
    <row r="20" spans="2:4" x14ac:dyDescent="0.25">
      <c r="B20" t="s">
        <v>11</v>
      </c>
      <c r="C20" t="s">
        <v>25</v>
      </c>
      <c r="D20" t="s">
        <v>26</v>
      </c>
    </row>
    <row r="21" spans="2:4" x14ac:dyDescent="0.25">
      <c r="B21" t="s">
        <v>12</v>
      </c>
    </row>
    <row r="22" spans="2:4" x14ac:dyDescent="0.25">
      <c r="B22" t="s">
        <v>13</v>
      </c>
      <c r="C22" t="s">
        <v>20</v>
      </c>
      <c r="D22" t="s">
        <v>28</v>
      </c>
    </row>
    <row r="23" spans="2:4" x14ac:dyDescent="0.25">
      <c r="B23" t="s">
        <v>14</v>
      </c>
      <c r="C23" t="s">
        <v>29</v>
      </c>
      <c r="D23" t="s">
        <v>30</v>
      </c>
    </row>
    <row r="24" spans="2:4" x14ac:dyDescent="0.25">
      <c r="B24" t="s">
        <v>15</v>
      </c>
      <c r="C24" t="s">
        <v>29</v>
      </c>
      <c r="D24" t="s">
        <v>32</v>
      </c>
    </row>
    <row r="25" spans="2:4" x14ac:dyDescent="0.25">
      <c r="B25" t="s">
        <v>16</v>
      </c>
      <c r="C25" t="s">
        <v>33</v>
      </c>
      <c r="D25" t="s">
        <v>34</v>
      </c>
    </row>
    <row r="29" spans="2:4" x14ac:dyDescent="0.25">
      <c r="B29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5" x14ac:dyDescent="0.25"/>
  <cols>
    <col min="2" max="2" width="26.85546875" bestFit="1" customWidth="1"/>
  </cols>
  <sheetData>
    <row r="1" spans="1:22" x14ac:dyDescent="0.25">
      <c r="A1" s="3" t="s">
        <v>35</v>
      </c>
    </row>
    <row r="2" spans="1:22" x14ac:dyDescent="0.25"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4" t="s">
        <v>6</v>
      </c>
      <c r="V2" s="4" t="s">
        <v>55</v>
      </c>
    </row>
    <row r="3" spans="1:22" x14ac:dyDescent="0.25">
      <c r="B3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7766</v>
      </c>
      <c r="N3" s="1">
        <v>7756</v>
      </c>
      <c r="O3" s="1">
        <v>6892</v>
      </c>
      <c r="P3" s="1">
        <v>6933</v>
      </c>
      <c r="Q3" s="1">
        <v>7471</v>
      </c>
      <c r="R3" s="1">
        <v>7103</v>
      </c>
      <c r="S3" s="1">
        <v>6314</v>
      </c>
      <c r="T3" s="1">
        <v>6545</v>
      </c>
      <c r="V3" s="1"/>
    </row>
    <row r="4" spans="1:22" x14ac:dyDescent="0.25">
      <c r="B4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7175</v>
      </c>
      <c r="N4" s="1">
        <v>7168</v>
      </c>
      <c r="O4" s="1">
        <v>6399</v>
      </c>
      <c r="P4" s="1">
        <v>6411</v>
      </c>
      <c r="Q4" s="1">
        <v>6803</v>
      </c>
      <c r="R4" s="1">
        <v>6400</v>
      </c>
      <c r="S4" s="1">
        <v>5827</v>
      </c>
      <c r="T4" s="1">
        <v>5998</v>
      </c>
      <c r="V4" s="1"/>
    </row>
    <row r="5" spans="1:22" x14ac:dyDescent="0.25">
      <c r="B5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>M3-M4</f>
        <v>591</v>
      </c>
      <c r="N5" s="1">
        <f>N3-N4</f>
        <v>588</v>
      </c>
      <c r="O5" s="1">
        <f>O3-O4</f>
        <v>493</v>
      </c>
      <c r="P5" s="1">
        <f>P3-P4</f>
        <v>522</v>
      </c>
      <c r="Q5" s="1">
        <f>Q3-Q4</f>
        <v>668</v>
      </c>
      <c r="R5" s="1">
        <f>R3-R4</f>
        <v>703</v>
      </c>
      <c r="S5" s="1">
        <f>S3-S4</f>
        <v>487</v>
      </c>
      <c r="T5" s="1">
        <f>T3-T4</f>
        <v>547</v>
      </c>
      <c r="V5" s="1"/>
    </row>
    <row r="6" spans="1:22" x14ac:dyDescent="0.25">
      <c r="B6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245</v>
      </c>
      <c r="N6" s="1">
        <v>243</v>
      </c>
      <c r="O6" s="1">
        <v>235</v>
      </c>
      <c r="P6" s="1">
        <v>221</v>
      </c>
      <c r="Q6" s="1">
        <v>272</v>
      </c>
      <c r="R6" s="1">
        <v>264</v>
      </c>
      <c r="S6" s="1">
        <v>213</v>
      </c>
      <c r="T6" s="1">
        <v>216</v>
      </c>
      <c r="V6" s="1"/>
    </row>
    <row r="7" spans="1:22" x14ac:dyDescent="0.25">
      <c r="B7" t="s">
        <v>58</v>
      </c>
      <c r="C7" s="1"/>
      <c r="D7" s="1"/>
      <c r="E7" s="1"/>
      <c r="F7" s="1"/>
      <c r="G7" s="1"/>
      <c r="H7" s="1"/>
      <c r="I7" s="1"/>
      <c r="J7" s="1"/>
      <c r="K7" s="1"/>
      <c r="L7" s="1"/>
      <c r="M7" s="1">
        <f>0+0</f>
        <v>0</v>
      </c>
      <c r="N7" s="1">
        <f>0+5</f>
        <v>5</v>
      </c>
      <c r="O7" s="1">
        <f>6+17</f>
        <v>23</v>
      </c>
      <c r="P7" s="1">
        <f>0+3</f>
        <v>3</v>
      </c>
      <c r="Q7" s="1">
        <f>0+3</f>
        <v>3</v>
      </c>
      <c r="R7" s="1">
        <f>13+61</f>
        <v>74</v>
      </c>
      <c r="S7" s="1">
        <f>9+16</f>
        <v>25</v>
      </c>
      <c r="T7" s="1">
        <f>16+2</f>
        <v>18</v>
      </c>
      <c r="V7" s="1"/>
    </row>
    <row r="8" spans="1:22" x14ac:dyDescent="0.25">
      <c r="B8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21</v>
      </c>
      <c r="N8" s="1">
        <v>19</v>
      </c>
      <c r="O8" s="1">
        <v>20</v>
      </c>
      <c r="P8" s="1">
        <v>17</v>
      </c>
      <c r="Q8" s="1">
        <v>17</v>
      </c>
      <c r="R8" s="1">
        <v>17</v>
      </c>
      <c r="S8" s="1">
        <v>16</v>
      </c>
      <c r="T8" s="1">
        <v>16</v>
      </c>
      <c r="V8" s="1"/>
    </row>
    <row r="9" spans="1:22" x14ac:dyDescent="0.25">
      <c r="B9" t="s">
        <v>61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>SUM(M6:M8)</f>
        <v>266</v>
      </c>
      <c r="N9" s="1">
        <f>SUM(N6:N8)</f>
        <v>267</v>
      </c>
      <c r="O9" s="1">
        <f>SUM(O6:O8)</f>
        <v>278</v>
      </c>
      <c r="P9" s="1">
        <f>SUM(P6:P8)</f>
        <v>241</v>
      </c>
      <c r="Q9" s="1">
        <f>SUM(Q6:Q8)</f>
        <v>292</v>
      </c>
      <c r="R9" s="1">
        <f>SUM(R6:R8)</f>
        <v>355</v>
      </c>
      <c r="S9" s="1">
        <f>SUM(S6:S8)</f>
        <v>254</v>
      </c>
      <c r="T9" s="1">
        <f>SUM(T6:T8)</f>
        <v>250</v>
      </c>
      <c r="V9" s="1"/>
    </row>
    <row r="10" spans="1:22" x14ac:dyDescent="0.25">
      <c r="B10" t="s">
        <v>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>M5-M9</f>
        <v>325</v>
      </c>
      <c r="N10" s="1">
        <f>N5-N9</f>
        <v>321</v>
      </c>
      <c r="O10" s="1">
        <f>O5-O9</f>
        <v>215</v>
      </c>
      <c r="P10" s="1">
        <f>P5-P9</f>
        <v>281</v>
      </c>
      <c r="Q10" s="1">
        <f>Q5-Q9</f>
        <v>376</v>
      </c>
      <c r="R10" s="1">
        <f>R5-R9</f>
        <v>348</v>
      </c>
      <c r="S10" s="1">
        <f>S5-S9</f>
        <v>233</v>
      </c>
      <c r="T10" s="1">
        <f>T5-T9</f>
        <v>297</v>
      </c>
      <c r="V10" s="1"/>
    </row>
    <row r="11" spans="1:22" x14ac:dyDescent="0.25">
      <c r="B1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47</v>
      </c>
      <c r="N11" s="1">
        <v>54</v>
      </c>
      <c r="O11" s="1">
        <f>-56+16</f>
        <v>-40</v>
      </c>
      <c r="P11" s="1">
        <f>-49+15</f>
        <v>-34</v>
      </c>
      <c r="Q11" s="1">
        <v>35</v>
      </c>
      <c r="R11" s="1">
        <v>36</v>
      </c>
      <c r="S11" s="1">
        <f>-56+16</f>
        <v>-40</v>
      </c>
      <c r="T11" s="1">
        <f>-53+16</f>
        <v>-37</v>
      </c>
      <c r="V11" s="1"/>
    </row>
    <row r="12" spans="1:22" x14ac:dyDescent="0.25">
      <c r="B12" t="s">
        <v>63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6</v>
      </c>
      <c r="N12" s="1">
        <v>5</v>
      </c>
      <c r="O12" s="1">
        <v>11</v>
      </c>
      <c r="P12" s="1">
        <v>14</v>
      </c>
      <c r="Q12" s="1">
        <v>16</v>
      </c>
      <c r="R12" s="1">
        <v>5</v>
      </c>
      <c r="S12" s="1">
        <v>1</v>
      </c>
      <c r="T12" s="1">
        <v>4</v>
      </c>
      <c r="V12" s="1"/>
    </row>
    <row r="13" spans="1:22" x14ac:dyDescent="0.25">
      <c r="B13" t="s">
        <v>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+M10-M11-M12</f>
        <v>272</v>
      </c>
      <c r="N13" s="1">
        <f>+N10-N11-N12</f>
        <v>262</v>
      </c>
      <c r="O13" s="1">
        <f>+O10+O11-O12</f>
        <v>164</v>
      </c>
      <c r="P13" s="1">
        <f>+P10+P11-P12</f>
        <v>233</v>
      </c>
      <c r="Q13" s="1">
        <f>+Q10-Q11-Q12</f>
        <v>325</v>
      </c>
      <c r="R13" s="1">
        <f>+R10-R11-R12</f>
        <v>307</v>
      </c>
      <c r="S13" s="1">
        <f>+S10+S11-S12</f>
        <v>192</v>
      </c>
      <c r="T13" s="1">
        <f>T10+SUM(T11:T12)</f>
        <v>264</v>
      </c>
      <c r="V13" s="1"/>
    </row>
    <row r="14" spans="1:22" x14ac:dyDescent="0.25">
      <c r="B14" t="s">
        <v>64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34</v>
      </c>
      <c r="N14" s="1">
        <v>25</v>
      </c>
      <c r="O14" s="1">
        <v>17</v>
      </c>
      <c r="P14" s="1">
        <v>32</v>
      </c>
      <c r="Q14" s="1">
        <v>-81</v>
      </c>
      <c r="R14" s="1">
        <v>74</v>
      </c>
      <c r="S14" s="1">
        <v>53</v>
      </c>
      <c r="T14" s="1">
        <v>50</v>
      </c>
      <c r="V14" s="1"/>
    </row>
    <row r="15" spans="1:22" x14ac:dyDescent="0.25">
      <c r="B15" t="s">
        <v>74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0</v>
      </c>
      <c r="N15" s="1">
        <v>0</v>
      </c>
      <c r="O15" s="1">
        <v>64</v>
      </c>
      <c r="P15" s="1">
        <v>205</v>
      </c>
      <c r="Q15" s="1">
        <v>0</v>
      </c>
      <c r="R15" s="1">
        <v>0</v>
      </c>
      <c r="S15" s="1">
        <v>0</v>
      </c>
      <c r="T15" s="1">
        <v>0</v>
      </c>
      <c r="V15" s="1"/>
    </row>
    <row r="16" spans="1:22" x14ac:dyDescent="0.25">
      <c r="B16" t="s">
        <v>65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6</v>
      </c>
      <c r="N16" s="1">
        <v>7</v>
      </c>
      <c r="O16" s="1">
        <v>25</v>
      </c>
      <c r="P16" s="1">
        <v>178</v>
      </c>
      <c r="Q16" s="1">
        <v>178</v>
      </c>
      <c r="R16" s="1">
        <v>36</v>
      </c>
      <c r="S16" s="1">
        <v>0</v>
      </c>
      <c r="T16" s="1">
        <v>0</v>
      </c>
      <c r="V16" s="1"/>
    </row>
    <row r="17" spans="2:22" x14ac:dyDescent="0.25">
      <c r="B17" t="s">
        <v>66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>+M13-M14+M15-M16</f>
        <v>232</v>
      </c>
      <c r="N17" s="1">
        <f>+N13-N14+N15-N16</f>
        <v>230</v>
      </c>
      <c r="O17" s="1">
        <f>+O13-O14+O15-O16</f>
        <v>186</v>
      </c>
      <c r="P17" s="1">
        <f>+P13-P14+P15-P16</f>
        <v>228</v>
      </c>
      <c r="Q17" s="1">
        <f>+Q13-Q14+Q15-Q16</f>
        <v>228</v>
      </c>
      <c r="R17" s="1">
        <f>+R13-R14+R15-R16</f>
        <v>197</v>
      </c>
      <c r="S17" s="1">
        <f>+S13-S14+S15-S16</f>
        <v>139</v>
      </c>
      <c r="T17" s="1">
        <f>+T13-T14+T15-T16</f>
        <v>214</v>
      </c>
      <c r="V17" s="1"/>
    </row>
    <row r="18" spans="2:22" x14ac:dyDescent="0.25">
      <c r="B18" t="s">
        <v>67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f>M17/M19</f>
        <v>0.5043478260869565</v>
      </c>
      <c r="N18" s="5">
        <f>N17/N19</f>
        <v>0.50108932461873634</v>
      </c>
      <c r="O18" s="5">
        <f>O17/O19</f>
        <v>0.40879120879120878</v>
      </c>
      <c r="P18" s="5">
        <f>P17/P19</f>
        <v>0.5089285714285714</v>
      </c>
      <c r="Q18" s="5">
        <f>Q17/Q19</f>
        <v>0.5089285714285714</v>
      </c>
      <c r="R18" s="5">
        <f>R17/R19</f>
        <v>0.45183486238532111</v>
      </c>
      <c r="S18" s="5">
        <f>S17/S19</f>
        <v>0.33819951338199511</v>
      </c>
      <c r="T18" s="5">
        <f>T17/T19</f>
        <v>0.53500000000000003</v>
      </c>
      <c r="V18" s="5"/>
    </row>
    <row r="19" spans="2:22" x14ac:dyDescent="0.25">
      <c r="B19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460</v>
      </c>
      <c r="N19" s="1">
        <v>459</v>
      </c>
      <c r="O19" s="1">
        <v>455</v>
      </c>
      <c r="P19" s="1">
        <v>448</v>
      </c>
      <c r="Q19" s="1">
        <v>448</v>
      </c>
      <c r="R19" s="1">
        <v>436</v>
      </c>
      <c r="S19" s="1">
        <v>411</v>
      </c>
      <c r="T19" s="1">
        <v>400</v>
      </c>
      <c r="V19" s="1"/>
    </row>
    <row r="21" spans="2:22" x14ac:dyDescent="0.25">
      <c r="B21" s="6" t="s">
        <v>70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>
        <f>+Q3/M3-1</f>
        <v>-3.7986093226886397E-2</v>
      </c>
      <c r="R21" s="6">
        <f>+R3/N3-1</f>
        <v>-8.4192882929345014E-2</v>
      </c>
      <c r="S21" s="6">
        <f>+S3/O3-1</f>
        <v>-8.3865351131746979E-2</v>
      </c>
      <c r="T21" s="6">
        <f>+T3/P3-1</f>
        <v>-5.5964229049473513E-2</v>
      </c>
    </row>
    <row r="22" spans="2:22" x14ac:dyDescent="0.25">
      <c r="B22" t="s">
        <v>71</v>
      </c>
      <c r="N22" s="6">
        <f>+N5/N3</f>
        <v>7.5812274368231042E-2</v>
      </c>
      <c r="O22" s="6">
        <f>+O5/O3</f>
        <v>7.1532211259431225E-2</v>
      </c>
      <c r="P22" s="6">
        <f>+P5/P3</f>
        <v>7.5292081350064904E-2</v>
      </c>
      <c r="Q22" s="6">
        <f>+Q5/Q3</f>
        <v>8.9412394592424047E-2</v>
      </c>
      <c r="R22" s="6">
        <f>+R5/R3</f>
        <v>9.8972265240039423E-2</v>
      </c>
      <c r="S22" s="6">
        <f>+S5/S3</f>
        <v>7.7130186886284452E-2</v>
      </c>
      <c r="T22" s="6">
        <f>+T5/T3</f>
        <v>8.3575248281130637E-2</v>
      </c>
    </row>
    <row r="24" spans="2:22" x14ac:dyDescent="0.25">
      <c r="B24" t="s">
        <v>72</v>
      </c>
      <c r="N24" s="1">
        <f>+N17</f>
        <v>230</v>
      </c>
      <c r="O24" s="1">
        <f>+O17</f>
        <v>186</v>
      </c>
      <c r="P24" s="1">
        <f>+P17</f>
        <v>228</v>
      </c>
      <c r="Q24" s="1">
        <f>Q17</f>
        <v>228</v>
      </c>
      <c r="R24" s="1">
        <f>R17</f>
        <v>197</v>
      </c>
      <c r="S24" s="1">
        <f>S17</f>
        <v>139</v>
      </c>
      <c r="T24" s="1">
        <f>T17</f>
        <v>214</v>
      </c>
    </row>
    <row r="25" spans="2:22" x14ac:dyDescent="0.25">
      <c r="B25" t="s">
        <v>73</v>
      </c>
      <c r="O25">
        <v>211</v>
      </c>
      <c r="P25">
        <f>617-O25</f>
        <v>406</v>
      </c>
      <c r="Q25">
        <f>617-P25-O25</f>
        <v>0</v>
      </c>
      <c r="S25">
        <v>139</v>
      </c>
      <c r="T25">
        <f>353-S25</f>
        <v>214</v>
      </c>
    </row>
    <row r="27" spans="2:22" x14ac:dyDescent="0.25">
      <c r="B27" t="s">
        <v>66</v>
      </c>
      <c r="O27">
        <v>211</v>
      </c>
      <c r="P27">
        <f>617-O27</f>
        <v>406</v>
      </c>
      <c r="S27">
        <f>S25</f>
        <v>139</v>
      </c>
      <c r="T27">
        <f>353-S27</f>
        <v>214</v>
      </c>
    </row>
    <row r="28" spans="2:22" x14ac:dyDescent="0.25">
      <c r="B28" t="s">
        <v>75</v>
      </c>
      <c r="O28">
        <v>133</v>
      </c>
      <c r="P28">
        <f>260-O28</f>
        <v>127</v>
      </c>
      <c r="S28">
        <v>126</v>
      </c>
      <c r="T28">
        <f>257-S28</f>
        <v>131</v>
      </c>
    </row>
    <row r="29" spans="2:22" x14ac:dyDescent="0.25">
      <c r="B29" t="s">
        <v>79</v>
      </c>
      <c r="O29">
        <v>-338</v>
      </c>
      <c r="P29">
        <f>-513-O29</f>
        <v>-175</v>
      </c>
      <c r="S29">
        <v>75</v>
      </c>
      <c r="T29">
        <f>49-S29</f>
        <v>-26</v>
      </c>
    </row>
    <row r="30" spans="2:22" x14ac:dyDescent="0.25">
      <c r="B30" t="s">
        <v>76</v>
      </c>
      <c r="O30">
        <f>SUM(O27:O29)</f>
        <v>6</v>
      </c>
      <c r="P30">
        <f>SUM(P27:P29)</f>
        <v>358</v>
      </c>
      <c r="S30">
        <f>SUM(S27:S29)</f>
        <v>340</v>
      </c>
      <c r="T30">
        <f>SUM(T27:T29)</f>
        <v>319</v>
      </c>
    </row>
    <row r="32" spans="2:22" x14ac:dyDescent="0.25">
      <c r="B32" t="s">
        <v>76</v>
      </c>
      <c r="O32">
        <v>6</v>
      </c>
      <c r="P32">
        <f>363-O32</f>
        <v>357</v>
      </c>
      <c r="S32">
        <v>340</v>
      </c>
      <c r="T32">
        <f>659-S32</f>
        <v>319</v>
      </c>
    </row>
    <row r="33" spans="2:20" x14ac:dyDescent="0.25">
      <c r="B33" t="s">
        <v>77</v>
      </c>
      <c r="O33">
        <v>167</v>
      </c>
      <c r="P33">
        <f>319-O33</f>
        <v>152</v>
      </c>
      <c r="S33">
        <v>111</v>
      </c>
      <c r="T33">
        <f>214-S33</f>
        <v>103</v>
      </c>
    </row>
    <row r="34" spans="2:20" x14ac:dyDescent="0.25">
      <c r="B34" t="s">
        <v>78</v>
      </c>
      <c r="O34">
        <f>+O32-O33</f>
        <v>-161</v>
      </c>
      <c r="P34">
        <f>+P32-P33</f>
        <v>205</v>
      </c>
      <c r="S34">
        <f>+S32-S33</f>
        <v>229</v>
      </c>
      <c r="T34">
        <f>+T32-T33</f>
        <v>216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2024-11-27T14:49:10Z</dcterms:modified>
</cp:coreProperties>
</file>