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s\Anaconda3\"/>
    </mc:Choice>
  </mc:AlternateContent>
  <xr:revisionPtr revIDLastSave="0" documentId="13_ncr:1_{1BA07994-E291-4313-AD66-2B3FB0432DC2}" xr6:coauthVersionLast="41" xr6:coauthVersionMax="41" xr10:uidLastSave="{00000000-0000-0000-0000-000000000000}"/>
  <bookViews>
    <workbookView xWindow="-120" yWindow="-120" windowWidth="20730" windowHeight="11160" xr2:uid="{6D1AA975-C1D2-4FDD-9D82-E4121658B5B4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T4" i="1" l="1"/>
  <c r="T5" i="1"/>
  <c r="T6" i="1"/>
  <c r="T7" i="1"/>
  <c r="T8" i="1"/>
  <c r="U2" i="1"/>
  <c r="U3" i="1"/>
  <c r="U4" i="1"/>
  <c r="C11" i="1" l="1"/>
  <c r="P5" i="1"/>
  <c r="P4" i="1"/>
  <c r="P3" i="1"/>
  <c r="P2" i="1"/>
  <c r="P1" i="1"/>
  <c r="B11" i="1"/>
  <c r="J8" i="1"/>
  <c r="N10" i="1"/>
  <c r="H5" i="1"/>
  <c r="N7" i="1"/>
  <c r="N6" i="1"/>
  <c r="N5" i="1"/>
  <c r="N4" i="1"/>
  <c r="N2" i="1"/>
  <c r="N1" i="1"/>
  <c r="H7" i="1" l="1"/>
  <c r="H4" i="1"/>
  <c r="H3" i="1"/>
  <c r="H2" i="1"/>
  <c r="H8" i="1" l="1"/>
  <c r="P7" i="1" s="1"/>
  <c r="P8" i="1" s="1"/>
  <c r="U5" i="1" l="1"/>
  <c r="U7" i="1" s="1"/>
  <c r="D11" i="1" s="1"/>
  <c r="T2" i="1"/>
  <c r="U6" i="1" s="1"/>
</calcChain>
</file>

<file path=xl/sharedStrings.xml><?xml version="1.0" encoding="utf-8"?>
<sst xmlns="http://schemas.openxmlformats.org/spreadsheetml/2006/main" count="24" uniqueCount="24">
  <si>
    <t>Tc</t>
  </si>
  <si>
    <t>Pc</t>
  </si>
  <si>
    <t>w</t>
  </si>
  <si>
    <t>P</t>
  </si>
  <si>
    <t>T</t>
  </si>
  <si>
    <t>z</t>
  </si>
  <si>
    <t>A1</t>
  </si>
  <si>
    <t>A2</t>
  </si>
  <si>
    <t>A3</t>
  </si>
  <si>
    <t>A4</t>
  </si>
  <si>
    <t>A5</t>
  </si>
  <si>
    <t>A6</t>
  </si>
  <si>
    <t>Tbc</t>
  </si>
  <si>
    <t>TC</t>
  </si>
  <si>
    <t>−1247.4</t>
  </si>
  <si>
    <t xml:space="preserve">to </t>
  </si>
  <si>
    <t>Rankine</t>
  </si>
  <si>
    <t>Kelvin</t>
  </si>
  <si>
    <t>α</t>
  </si>
  <si>
    <t>psia</t>
  </si>
  <si>
    <t>to</t>
  </si>
  <si>
    <t>bar</t>
  </si>
  <si>
    <t>θ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</si>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</sst>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0.0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E177-85D0-474C-95DA-3AAA50338451}">
  <dimension ref="A1:V13"/>
  <sheetViews>
    <sheetView tabSelected="1" workbookViewId="0">
      <selection activeCell="L16" sqref="L16"/>
    </sheetView>
  </sheetViews>
  <sheetFormatPr defaultRowHeight="15" x14ac:dyDescent="0.25"/>
  <cols>
    <col min="8" max="8" width="12" bestFit="1" customWidth="1"/>
    <col min="16" max="16" width="16.140625" customWidth="1"/>
  </cols>
  <sheetData>
    <row r="1" spans="1:22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6</v>
      </c>
      <c r="H1" s="3">
        <v>0.53327199999999997</v>
      </c>
      <c r="J1" t="s">
        <v>14</v>
      </c>
      <c r="L1">
        <v>341.7</v>
      </c>
      <c r="N1" s="5">
        <f>571419/100000</f>
        <v>5.7141900000000003</v>
      </c>
      <c r="P1">
        <f>3.83354</f>
        <v>3.8335400000000002</v>
      </c>
      <c r="T1" t="s">
        <v>22</v>
      </c>
    </row>
    <row r="2" spans="1:22" x14ac:dyDescent="0.25">
      <c r="A2">
        <v>1.6000000000000001E-3</v>
      </c>
      <c r="B2" s="1">
        <v>32.979999999999997</v>
      </c>
      <c r="C2" s="1">
        <v>12.93</v>
      </c>
      <c r="D2" s="1">
        <v>-0.217</v>
      </c>
      <c r="E2" s="2">
        <v>100</v>
      </c>
      <c r="F2">
        <v>377.55</v>
      </c>
      <c r="G2" s="3" t="s">
        <v>7</v>
      </c>
      <c r="H2" s="3">
        <f>0.191017*0.001</f>
        <v>1.91017E-4</v>
      </c>
      <c r="J2">
        <v>0.79200000000000004</v>
      </c>
      <c r="L2">
        <v>811.1</v>
      </c>
      <c r="N2" s="2">
        <f>271579/100000</f>
        <v>2.7157900000000001</v>
      </c>
      <c r="P2">
        <f>1.19629</f>
        <v>1.1962900000000001</v>
      </c>
      <c r="T2">
        <f>H7/H8</f>
        <v>0.77181887791986825</v>
      </c>
      <c r="U2" s="2">
        <f>15.6875</f>
        <v>15.6875</v>
      </c>
    </row>
    <row r="3" spans="1:22" x14ac:dyDescent="0.25">
      <c r="A3">
        <v>9.1000000000000004E-3</v>
      </c>
      <c r="B3" s="1">
        <v>304.2</v>
      </c>
      <c r="C3" s="1">
        <v>72.8</v>
      </c>
      <c r="D3" s="1">
        <v>0.22500000000000001</v>
      </c>
      <c r="E3" s="1"/>
      <c r="F3" s="1"/>
      <c r="G3" s="3" t="s">
        <v>8</v>
      </c>
      <c r="H3" s="3">
        <f>0.779681*10^(-7)</f>
        <v>7.7968099999999993E-8</v>
      </c>
      <c r="J3">
        <v>1971</v>
      </c>
      <c r="L3">
        <v>0.4244</v>
      </c>
      <c r="N3">
        <v>0.28659000000000001</v>
      </c>
      <c r="P3">
        <f>34.8888</f>
        <v>34.888800000000003</v>
      </c>
      <c r="T3">
        <v>14.7</v>
      </c>
      <c r="U3">
        <f>13.4721</f>
        <v>13.472099999999999</v>
      </c>
    </row>
    <row r="4" spans="1:22" x14ac:dyDescent="0.25">
      <c r="A4">
        <v>0.36470000000000002</v>
      </c>
      <c r="B4">
        <v>190.56</v>
      </c>
      <c r="C4">
        <v>45.99</v>
      </c>
      <c r="D4" s="1">
        <v>1.0999999999999999E-2</v>
      </c>
      <c r="E4" s="1"/>
      <c r="F4" s="1"/>
      <c r="G4" s="3" t="s">
        <v>9</v>
      </c>
      <c r="H4" s="3">
        <f>-0.28437*10^(-10)</f>
        <v>-2.8437000000000001E-11</v>
      </c>
      <c r="J4">
        <v>27000</v>
      </c>
      <c r="L4">
        <v>0.1174</v>
      </c>
      <c r="N4" s="2">
        <f>398544/10000</f>
        <v>39.854399999999998</v>
      </c>
      <c r="P4">
        <f>36.1952</f>
        <v>36.1952</v>
      </c>
      <c r="T4">
        <f>5.92714</f>
        <v>5.9271399999999996</v>
      </c>
      <c r="U4">
        <f>0.43577</f>
        <v>0.43576999999999999</v>
      </c>
    </row>
    <row r="5" spans="1:22" x14ac:dyDescent="0.25">
      <c r="A5">
        <v>9.6699999999999994E-2</v>
      </c>
      <c r="B5" s="1">
        <v>282.33999999999997</v>
      </c>
      <c r="C5" s="1">
        <v>50.41</v>
      </c>
      <c r="D5" s="1">
        <v>8.6999999999999994E-2</v>
      </c>
      <c r="E5" s="1"/>
      <c r="F5" s="1"/>
      <c r="G5" s="3" t="s">
        <v>10</v>
      </c>
      <c r="H5" s="3">
        <f>0.959468*10^(28)</f>
        <v>9.5946799999999999E+27</v>
      </c>
      <c r="J5">
        <v>707.4</v>
      </c>
      <c r="L5">
        <v>0.46689999999999998</v>
      </c>
      <c r="N5">
        <f>0.122488</f>
        <v>0.122488</v>
      </c>
      <c r="P5">
        <f>104.193</f>
        <v>104.193</v>
      </c>
      <c r="T5">
        <f>6.09648</f>
        <v>6.0964799999999997</v>
      </c>
      <c r="U5">
        <f>-LN(P8/T3)-T4+T5/T2+T6*LN(T2)-T7*T2^6</f>
        <v>-1.0628433608864751</v>
      </c>
    </row>
    <row r="6" spans="1:22" x14ac:dyDescent="0.25">
      <c r="A6">
        <v>6.9500000000000006E-2</v>
      </c>
      <c r="B6" s="1">
        <v>364.9</v>
      </c>
      <c r="C6" s="1">
        <v>46</v>
      </c>
      <c r="D6" s="1">
        <v>0.14199999999999999</v>
      </c>
      <c r="E6" s="1"/>
      <c r="F6" s="1"/>
      <c r="G6" s="3" t="s">
        <v>11</v>
      </c>
      <c r="H6" s="3"/>
      <c r="L6" s="2">
        <v>326238</v>
      </c>
      <c r="N6" s="2">
        <f>24.7522</f>
        <v>24.752199999999998</v>
      </c>
      <c r="P6" t="s">
        <v>18</v>
      </c>
      <c r="T6">
        <f>1.28862</f>
        <v>1.2886200000000001</v>
      </c>
      <c r="U6">
        <f>T8-U2/T2-U3*LN(T2)+U4*T2^6</f>
        <v>-1.492099114074575</v>
      </c>
    </row>
    <row r="7" spans="1:22" x14ac:dyDescent="0.25">
      <c r="A7">
        <v>1.44E-2</v>
      </c>
      <c r="B7" s="1">
        <v>407.85</v>
      </c>
      <c r="C7" s="1">
        <v>36.4</v>
      </c>
      <c r="D7" s="1">
        <v>0.186</v>
      </c>
      <c r="E7" s="1"/>
      <c r="F7" s="1"/>
      <c r="G7" s="1" t="s">
        <v>12</v>
      </c>
      <c r="H7" s="4">
        <f>N10</f>
        <v>992.35289487800014</v>
      </c>
      <c r="L7">
        <v>0.91300000000000003</v>
      </c>
      <c r="N7">
        <f>35.3155</f>
        <v>35.3155</v>
      </c>
      <c r="P7">
        <f>1-H7/H8</f>
        <v>0.22818112208013175</v>
      </c>
      <c r="T7">
        <f>0.169347</f>
        <v>0.169347</v>
      </c>
      <c r="U7">
        <f>U5/U6</f>
        <v>0.71231418265781121</v>
      </c>
      <c r="V7" t="s">
        <v>23</v>
      </c>
    </row>
    <row r="8" spans="1:22" x14ac:dyDescent="0.25">
      <c r="A8">
        <v>3.9300000000000002E-2</v>
      </c>
      <c r="B8" s="1">
        <v>425.12</v>
      </c>
      <c r="C8" s="1">
        <v>37.96</v>
      </c>
      <c r="D8" s="1">
        <v>0.2</v>
      </c>
      <c r="E8" s="1"/>
      <c r="F8" s="1"/>
      <c r="G8" s="3" t="s">
        <v>13</v>
      </c>
      <c r="H8" s="1">
        <f>H7*(H1+H2*H7+H3*H7*H7+H4*H7*H7*H7+H5/H7^13)^(-1)</f>
        <v>1285.7328620316905</v>
      </c>
      <c r="I8" t="s">
        <v>15</v>
      </c>
      <c r="J8" s="2">
        <f>714.296</f>
        <v>714.29600000000005</v>
      </c>
      <c r="N8">
        <v>218</v>
      </c>
      <c r="P8">
        <f>(P1+P2*(P7)^0.5+P3*P7+P4*P7*P7+P5*P7*P7*P7*P7)^2</f>
        <v>211.20736782924692</v>
      </c>
      <c r="T8">
        <f>15.2518</f>
        <v>15.251799999999999</v>
      </c>
    </row>
    <row r="9" spans="1:22" x14ac:dyDescent="0.25">
      <c r="A9">
        <v>1.44E-2</v>
      </c>
      <c r="B9" s="1">
        <v>460.39</v>
      </c>
      <c r="C9" s="1">
        <v>33.81</v>
      </c>
      <c r="D9" s="1">
        <v>0.22900000000000001</v>
      </c>
      <c r="H9" t="s">
        <v>16</v>
      </c>
      <c r="J9" t="s">
        <v>17</v>
      </c>
      <c r="N9">
        <f>LN(N8)</f>
        <v>5.3844950627890888</v>
      </c>
      <c r="P9" t="s">
        <v>19</v>
      </c>
      <c r="Q9" t="s">
        <v>20</v>
      </c>
      <c r="R9">
        <v>14.56</v>
      </c>
      <c r="S9" t="s">
        <v>21</v>
      </c>
    </row>
    <row r="10" spans="1:22" x14ac:dyDescent="0.25">
      <c r="A10">
        <v>1.41E-2</v>
      </c>
      <c r="B10" s="1">
        <v>469.7</v>
      </c>
      <c r="C10" s="1">
        <v>33.700000000000003</v>
      </c>
      <c r="D10" s="1">
        <v>0.252</v>
      </c>
      <c r="J10" s="6"/>
      <c r="N10">
        <f>EXP(N1+N2*N9-N3*N9*N9-(N4/N9)-(N5/(N9*N9)))-N6*N9+N7*N9*N9</f>
        <v>992.35289487800014</v>
      </c>
    </row>
    <row r="11" spans="1:22" x14ac:dyDescent="0.25">
      <c r="A11">
        <v>0.37619999999999998</v>
      </c>
      <c r="B11" s="4">
        <f>J8</f>
        <v>714.29600000000005</v>
      </c>
      <c r="C11" s="1">
        <f>R9</f>
        <v>14.56</v>
      </c>
      <c r="D11" s="1">
        <f>U7</f>
        <v>0.71231418265781121</v>
      </c>
    </row>
    <row r="13" spans="1:22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Akis</dc:creator>
  <cp:lastModifiedBy>Akis</cp:lastModifiedBy>
  <dcterms:created xsi:type="dcterms:W3CDTF">2019-02-20T12:46:13Z</dcterms:created>
  <dcterms:modified xsi:type="dcterms:W3CDTF">2019-03-12T19:27:30Z</dcterms:modified>
</cp:coreProperties>
</file>