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ctrlProps/ctrlProp4.xml" ContentType="application/vnd.ms-excel.controlproperties+xml"/>
  <Override PartName="/xl/ctrlProps/ctrlProp5.xml" ContentType="application/vnd.ms-excel.controlproperties+xml"/>
  <Override PartName="/xl/slicers/slicer5.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Ex2.xml" ContentType="application/vnd.ms-office.chartex+xml"/>
  <Override PartName="/xl/charts/style23.xml" ContentType="application/vnd.ms-office.chartstyle+xml"/>
  <Override PartName="/xl/charts/colors23.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D:\akshay\data analysis\resume project\"/>
    </mc:Choice>
  </mc:AlternateContent>
  <xr:revisionPtr revIDLastSave="0" documentId="13_ncr:1_{8157BC52-68FC-4CB7-BFD2-D3EEF4F1BAD2}" xr6:coauthVersionLast="47" xr6:coauthVersionMax="47" xr10:uidLastSave="{00000000-0000-0000-0000-000000000000}"/>
  <bookViews>
    <workbookView xWindow="-110" yWindow="-110" windowWidth="19420" windowHeight="10300" xr2:uid="{2E3D57D3-3700-4EA7-9F43-B23CE2FE73FE}"/>
  </bookViews>
  <sheets>
    <sheet name="PROFIT VIEW" sheetId="9" r:id="rId1"/>
    <sheet name="STORE" sheetId="3" r:id="rId2"/>
    <sheet name="storeanalysis" sheetId="1" state="hidden" r:id="rId3"/>
    <sheet name="TIMEFRAM" sheetId="6" r:id="rId4"/>
    <sheet name="profitanalysis" sheetId="8" state="hidden" r:id="rId5"/>
    <sheet name="time analysis" sheetId="7" state="hidden" r:id="rId6"/>
  </sheets>
  <definedNames>
    <definedName name="_xlchart.v1.0" hidden="1">profitanalysis!$AT$15:$AT$19</definedName>
    <definedName name="_xlchart.v1.1" hidden="1">profitanalysis!$AU$14</definedName>
    <definedName name="_xlchart.v1.2" hidden="1">profitanalysis!$AU$15:$AU$19</definedName>
    <definedName name="_xlchart.v1.3" hidden="1">profitanalysis!$AT$15:$AT$19</definedName>
    <definedName name="_xlchart.v1.4" hidden="1">profitanalysis!$AU$14</definedName>
    <definedName name="_xlchart.v1.5" hidden="1">profitanalysis!$AU$15:$AU$19</definedName>
    <definedName name="LARGE_1">'time analysis'!$G$18</definedName>
    <definedName name="LARGE_2">'time analysis'!$G$19</definedName>
    <definedName name="Slicer_Category">#N/A</definedName>
    <definedName name="Slicer_Month">#N/A</definedName>
    <definedName name="Slicer_Store_Nam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47" r:id="rId25"/>
    <pivotCache cacheId="150" r:id="rId26"/>
    <pivotCache cacheId="153" r:id="rId27"/>
    <pivotCache cacheId="156" r:id="rId28"/>
  </pivotCaches>
  <extLst>
    <ext xmlns:x14="http://schemas.microsoft.com/office/spreadsheetml/2009/9/main" uri="{876F7934-8845-4945-9796-88D515C7AA90}">
      <x14:pivotCaches>
        <pivotCache cacheId="22" r:id="rId29"/>
        <pivotCache cacheId="23" r:id="rId30"/>
        <pivotCache cacheId="24"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3a946a1c-4342-4ce5-a638-be6e57c226e1" name="Dim_customer" connection="Query - Dim_customer"/>
          <x15:modelTable id="fact_table_5b347d2b-af71-4848-9449-d315f21e65cc" name="fact_table" connection="Query - fact_table"/>
          <x15:modelTable id="sales_persons_table_749b070e-200c-4bdc-a998-5f1157239730" name="sales_persons_table" connection="Query - Dim_salesperson"/>
          <x15:modelTable id="monthly_store_targets_da15d23c-86f7-49c1-a0e4-9dfc3070762f" name="monthly_store_targets" connection="Query - monthly_store_targets"/>
          <x15:modelTable id="dim_products_832a447c-9218-4637-b15b-f3d894888d13" name="dim_products" connection="Query - dim_products"/>
          <x15:modelTable id="Date_b166f94a-df68-4c39-968a-eab2cea3aa3e" name="Date" connection="Query - Date"/>
          <x15:modelTable id="Query1_6d6d289c-544d-41eb-be5b-07ae4cda4346" name="Query1" connection="Query - Calculations"/>
        </x15:modelTables>
        <x15:modelRelationships>
          <x15:modelRelationship fromTable="fact_table" fromColumn="Customer ID" toTable="Dim_customer" toColumn="Customer ID"/>
          <x15:modelRelationship fromTable="fact_table" fromColumn="Product ID" toTable="dim_products" toColumn="Product ID"/>
          <x15:modelRelationship fromTable="fact_table" fromColumn="Sales Person ID" toTable="sales_persons_table" toColumn="Sales Person ID"/>
          <x15:modelRelationship fromTable="fact_table" fromColumn="Order Date" toTable="Date" toColumn="Order Date"/>
          <x15:modelRelationship fromTable="monthly_store_targets" fromColumn="Date" toTable="Date" toColumn="Order Date"/>
          <x15:modelRelationship fromTable="monthly_store_targets" fromColumn="Store ID" toTable="sales_persons_table" toColumn="Sales Person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0" i="7" l="1"/>
  <c r="AH5" i="8"/>
  <c r="AI5" i="8" s="1"/>
  <c r="AH6" i="8"/>
  <c r="AI6" i="8" s="1"/>
  <c r="AH7" i="8"/>
  <c r="AI7" i="8" s="1"/>
  <c r="AH8" i="8"/>
  <c r="AI8" i="8" s="1"/>
  <c r="AH9" i="8"/>
  <c r="AI9" i="8" s="1"/>
  <c r="AH10" i="8"/>
  <c r="AI10" i="8" s="1"/>
  <c r="AH11" i="8"/>
  <c r="AI11" i="8" s="1"/>
  <c r="AH12" i="8"/>
  <c r="AI12" i="8" s="1"/>
  <c r="AH13" i="8"/>
  <c r="AI13" i="8" s="1"/>
  <c r="AH14" i="8"/>
  <c r="AI14" i="8" s="1"/>
  <c r="AH15" i="8"/>
  <c r="AI15" i="8" s="1"/>
  <c r="AH16" i="8"/>
  <c r="AI16" i="8" s="1"/>
  <c r="O8" i="8"/>
  <c r="N6" i="8"/>
  <c r="F17" i="8"/>
  <c r="F18" i="8"/>
  <c r="F19" i="8"/>
  <c r="F20" i="8"/>
  <c r="F21" i="8"/>
  <c r="F22" i="8"/>
  <c r="E18" i="8"/>
  <c r="E19" i="8"/>
  <c r="E20" i="8"/>
  <c r="E21" i="8"/>
  <c r="E22" i="8"/>
  <c r="E17" i="8"/>
  <c r="B17" i="8"/>
  <c r="H17" i="8" s="1"/>
  <c r="C17" i="8"/>
  <c r="C18" i="8"/>
  <c r="C19" i="8"/>
  <c r="I19" i="8" s="1"/>
  <c r="C20" i="8"/>
  <c r="C21" i="8"/>
  <c r="C22" i="8"/>
  <c r="B18" i="8"/>
  <c r="B19" i="8"/>
  <c r="B20" i="8"/>
  <c r="H20" i="8" s="1"/>
  <c r="B21" i="8"/>
  <c r="B22" i="8"/>
  <c r="H22" i="8" s="1"/>
  <c r="Y47" i="7"/>
  <c r="Y46" i="7" s="1"/>
  <c r="Y45" i="7" s="1"/>
  <c r="Y44" i="7" s="1"/>
  <c r="Y43" i="7" s="1"/>
  <c r="Y42" i="7" s="1"/>
  <c r="Y41" i="7" s="1"/>
  <c r="Y40" i="7" s="1"/>
  <c r="Y39" i="7" s="1"/>
  <c r="Y38" i="7" s="1"/>
  <c r="Y33" i="7"/>
  <c r="Y32" i="7" s="1"/>
  <c r="Y31" i="7" s="1"/>
  <c r="Y30" i="7" s="1"/>
  <c r="Y29" i="7" s="1"/>
  <c r="Y28" i="7" s="1"/>
  <c r="Y27" i="7" s="1"/>
  <c r="Y26" i="7" s="1"/>
  <c r="Y25" i="7" s="1"/>
  <c r="Z34" i="7"/>
  <c r="AA34" i="7" s="1"/>
  <c r="G4" i="7"/>
  <c r="G5" i="7"/>
  <c r="G6" i="7"/>
  <c r="G7" i="7"/>
  <c r="G8" i="7"/>
  <c r="G9" i="7"/>
  <c r="G10" i="7"/>
  <c r="G11" i="7"/>
  <c r="G12" i="7"/>
  <c r="G13" i="7"/>
  <c r="G14" i="7"/>
  <c r="G15" i="7"/>
  <c r="F4" i="7"/>
  <c r="F5" i="7"/>
  <c r="F6" i="7"/>
  <c r="F7" i="7"/>
  <c r="F8" i="7"/>
  <c r="F9" i="7"/>
  <c r="F10" i="7"/>
  <c r="F11" i="7"/>
  <c r="F12" i="7"/>
  <c r="F13" i="7"/>
  <c r="F14" i="7"/>
  <c r="F15" i="7"/>
  <c r="AM7" i="8"/>
  <c r="AN7" i="8"/>
  <c r="AL7" i="8"/>
  <c r="U4" i="1"/>
  <c r="U10" i="1"/>
  <c r="D15" i="1"/>
  <c r="T8" i="1"/>
  <c r="T7" i="1"/>
  <c r="D10" i="1"/>
  <c r="U6" i="1"/>
  <c r="O9" i="8"/>
  <c r="C10" i="1"/>
  <c r="T5" i="1"/>
  <c r="U12" i="1"/>
  <c r="U9" i="1"/>
  <c r="X22" i="8"/>
  <c r="T4" i="1"/>
  <c r="T9" i="1"/>
  <c r="U7" i="1"/>
  <c r="AU17" i="8"/>
  <c r="T6" i="1"/>
  <c r="U5" i="1"/>
  <c r="X21" i="8"/>
  <c r="AU19" i="8"/>
  <c r="T10" i="1"/>
  <c r="AU18" i="8"/>
  <c r="T11" i="1"/>
  <c r="AU16" i="8"/>
  <c r="U8" i="1"/>
  <c r="T13" i="1"/>
  <c r="AU15" i="8"/>
  <c r="T12" i="1"/>
  <c r="U11" i="1"/>
  <c r="D14" i="1"/>
  <c r="U13" i="1"/>
  <c r="D13" i="1"/>
  <c r="D80" i="7"/>
  <c r="AM15" i="7"/>
  <c r="C80" i="7"/>
  <c r="AM14" i="7"/>
  <c r="U4" i="7"/>
  <c r="W5" i="7"/>
  <c r="AM12" i="7"/>
  <c r="AM13" i="7"/>
  <c r="U5" i="7"/>
  <c r="W4" i="7"/>
  <c r="F79" i="7" l="1"/>
  <c r="I21" i="8"/>
  <c r="H19" i="8"/>
  <c r="I18" i="8"/>
  <c r="I17" i="8"/>
  <c r="H21" i="8"/>
  <c r="H18" i="8"/>
  <c r="I22" i="8"/>
  <c r="I20" i="8"/>
  <c r="AO13" i="7"/>
  <c r="AO14" i="7"/>
  <c r="AO15" i="7"/>
  <c r="AN13" i="7" s="1"/>
  <c r="AO12" i="7"/>
  <c r="AN17" i="7" s="1"/>
  <c r="K7" i="7"/>
  <c r="Z47" i="7"/>
  <c r="Z46" i="7" s="1"/>
  <c r="Z45" i="7" s="1"/>
  <c r="Z44" i="7" s="1"/>
  <c r="Z43" i="7" s="1"/>
  <c r="Z42" i="7" s="1"/>
  <c r="Z41" i="7" s="1"/>
  <c r="Z40" i="7" s="1"/>
  <c r="Z39" i="7" s="1"/>
  <c r="Z38" i="7" s="1"/>
  <c r="AB34" i="7"/>
  <c r="AA33" i="7"/>
  <c r="AA32" i="7" s="1"/>
  <c r="AA31" i="7" s="1"/>
  <c r="AA30" i="7" s="1"/>
  <c r="AA29" i="7" s="1"/>
  <c r="AA28" i="7" s="1"/>
  <c r="AA27" i="7" s="1"/>
  <c r="AA26" i="7" s="1"/>
  <c r="AA25" i="7" s="1"/>
  <c r="Z33" i="7"/>
  <c r="Z32" i="7" s="1"/>
  <c r="Z31" i="7" s="1"/>
  <c r="Z30" i="7" s="1"/>
  <c r="Z29" i="7" s="1"/>
  <c r="Z28" i="7" s="1"/>
  <c r="Z27" i="7" s="1"/>
  <c r="Z26" i="7" s="1"/>
  <c r="Z25" i="7" s="1"/>
  <c r="K13" i="7"/>
  <c r="K14" i="7"/>
  <c r="K15" i="7"/>
  <c r="K11" i="7"/>
  <c r="K10" i="7"/>
  <c r="K6" i="7"/>
  <c r="K9" i="7"/>
  <c r="K8" i="7"/>
  <c r="K12" i="7"/>
  <c r="K5" i="7"/>
  <c r="G19" i="7"/>
  <c r="K4" i="7"/>
  <c r="G18" i="7"/>
  <c r="F9" i="1"/>
  <c r="E10" i="1" s="1"/>
  <c r="W13" i="1"/>
  <c r="Y13" i="1" s="1"/>
  <c r="W11" i="1"/>
  <c r="Y11" i="1" s="1"/>
  <c r="W10" i="1"/>
  <c r="Y10" i="1" s="1"/>
  <c r="W9" i="1"/>
  <c r="Y9" i="1" s="1"/>
  <c r="W8" i="1"/>
  <c r="Y8" i="1" s="1"/>
  <c r="W7" i="1"/>
  <c r="Y7" i="1" s="1"/>
  <c r="W6" i="1"/>
  <c r="Y6" i="1" s="1"/>
  <c r="W5" i="1"/>
  <c r="Y5" i="1" s="1"/>
  <c r="W4" i="1"/>
  <c r="Y4" i="1" s="1"/>
  <c r="W12" i="1"/>
  <c r="Y12" i="1" s="1"/>
  <c r="AN12" i="7" l="1"/>
  <c r="AN15" i="7"/>
  <c r="AN14" i="7"/>
  <c r="AA47" i="7"/>
  <c r="AA46" i="7" s="1"/>
  <c r="AA45" i="7" s="1"/>
  <c r="AA44" i="7" s="1"/>
  <c r="AA43" i="7" s="1"/>
  <c r="AA42" i="7" s="1"/>
  <c r="AA41" i="7" s="1"/>
  <c r="AA40" i="7" s="1"/>
  <c r="AA39" i="7" s="1"/>
  <c r="AA38" i="7" s="1"/>
  <c r="AC34" i="7"/>
  <c r="AB33" i="7"/>
  <c r="AB32" i="7" s="1"/>
  <c r="AB31" i="7" s="1"/>
  <c r="AB30" i="7" s="1"/>
  <c r="AB29" i="7" s="1"/>
  <c r="AB28" i="7" s="1"/>
  <c r="AB27" i="7" s="1"/>
  <c r="AB26" i="7" s="1"/>
  <c r="AB25" i="7" s="1"/>
  <c r="H8" i="7"/>
  <c r="H13" i="7"/>
  <c r="H5" i="7"/>
  <c r="H7" i="7"/>
  <c r="H4" i="7"/>
  <c r="H6" i="7"/>
  <c r="H9" i="7"/>
  <c r="H15" i="7"/>
  <c r="H11" i="7"/>
  <c r="H14" i="7"/>
  <c r="H10" i="7"/>
  <c r="H12" i="7"/>
  <c r="AB47" i="7" l="1"/>
  <c r="AB46" i="7" s="1"/>
  <c r="AB45" i="7" s="1"/>
  <c r="AB44" i="7" s="1"/>
  <c r="AB43" i="7" s="1"/>
  <c r="AB42" i="7" s="1"/>
  <c r="AB41" i="7" s="1"/>
  <c r="AB40" i="7" s="1"/>
  <c r="AB39" i="7" s="1"/>
  <c r="AB38" i="7" s="1"/>
  <c r="AD34" i="7"/>
  <c r="AC33" i="7"/>
  <c r="AC32" i="7" s="1"/>
  <c r="AC31" i="7" s="1"/>
  <c r="AC30" i="7" s="1"/>
  <c r="AC29" i="7" s="1"/>
  <c r="AC28" i="7" s="1"/>
  <c r="AC27" i="7" s="1"/>
  <c r="AC26" i="7" s="1"/>
  <c r="AC25" i="7" s="1"/>
  <c r="AC47" i="7" l="1"/>
  <c r="AC46" i="7"/>
  <c r="AC45" i="7" s="1"/>
  <c r="AC44" i="7" s="1"/>
  <c r="AC43" i="7" s="1"/>
  <c r="AC42" i="7" s="1"/>
  <c r="AC41" i="7" s="1"/>
  <c r="AC40" i="7" s="1"/>
  <c r="AC39" i="7" s="1"/>
  <c r="AC38" i="7" s="1"/>
  <c r="AD47" i="7"/>
  <c r="AE34" i="7"/>
  <c r="AD33" i="7"/>
  <c r="AD32" i="7" s="1"/>
  <c r="AD31" i="7" s="1"/>
  <c r="AD30" i="7" s="1"/>
  <c r="AD29" i="7" s="1"/>
  <c r="AD28" i="7" s="1"/>
  <c r="AD27" i="7" s="1"/>
  <c r="AD26" i="7" s="1"/>
  <c r="AD25" i="7" s="1"/>
  <c r="AD46" i="7" l="1"/>
  <c r="AD45" i="7" s="1"/>
  <c r="AD44" i="7" s="1"/>
  <c r="AD43" i="7" s="1"/>
  <c r="AD42" i="7" s="1"/>
  <c r="AD41" i="7" s="1"/>
  <c r="AD40" i="7" s="1"/>
  <c r="AD39" i="7" s="1"/>
  <c r="AD38" i="7" s="1"/>
  <c r="AE47" i="7"/>
  <c r="AF34" i="7"/>
  <c r="AE33" i="7"/>
  <c r="AE32" i="7" s="1"/>
  <c r="AE31" i="7" s="1"/>
  <c r="AE30" i="7" s="1"/>
  <c r="AE29" i="7" s="1"/>
  <c r="AE28" i="7" s="1"/>
  <c r="AE27" i="7" s="1"/>
  <c r="AE26" i="7" s="1"/>
  <c r="AE25" i="7" s="1"/>
  <c r="AE46" i="7" l="1"/>
  <c r="AE45" i="7" s="1"/>
  <c r="AE44" i="7" s="1"/>
  <c r="AE43" i="7" s="1"/>
  <c r="AE42" i="7" s="1"/>
  <c r="AE41" i="7" s="1"/>
  <c r="AE40" i="7" s="1"/>
  <c r="AE39" i="7" s="1"/>
  <c r="AE38" i="7" s="1"/>
  <c r="AF47" i="7"/>
  <c r="AF33" i="7"/>
  <c r="AF32" i="7" s="1"/>
  <c r="AF31" i="7" s="1"/>
  <c r="AF30" i="7" s="1"/>
  <c r="AF29" i="7" s="1"/>
  <c r="AF28" i="7" s="1"/>
  <c r="AF27" i="7" s="1"/>
  <c r="AF26" i="7" s="1"/>
  <c r="AF25" i="7" s="1"/>
  <c r="AG34" i="7"/>
  <c r="AG47" i="7" l="1"/>
  <c r="AF46" i="7"/>
  <c r="AF45" i="7" s="1"/>
  <c r="AF44" i="7" s="1"/>
  <c r="AF43" i="7" s="1"/>
  <c r="AF42" i="7" s="1"/>
  <c r="AF41" i="7" s="1"/>
  <c r="AF40" i="7" s="1"/>
  <c r="AF39" i="7" s="1"/>
  <c r="AF38" i="7" s="1"/>
  <c r="AH34" i="7"/>
  <c r="AH33" i="7" s="1"/>
  <c r="AH32" i="7" s="1"/>
  <c r="AH31" i="7" s="1"/>
  <c r="AH30" i="7" s="1"/>
  <c r="AH29" i="7" s="1"/>
  <c r="AH28" i="7" s="1"/>
  <c r="AH27" i="7" s="1"/>
  <c r="AH26" i="7" s="1"/>
  <c r="AH25" i="7" s="1"/>
  <c r="AG33" i="7"/>
  <c r="AG32" i="7" s="1"/>
  <c r="AG31" i="7" s="1"/>
  <c r="AG30" i="7" s="1"/>
  <c r="AG29" i="7" s="1"/>
  <c r="AG28" i="7" s="1"/>
  <c r="AG27" i="7" s="1"/>
  <c r="AG26" i="7" s="1"/>
  <c r="AG25" i="7" s="1"/>
  <c r="AH47" i="7" l="1"/>
  <c r="AH46" i="7" s="1"/>
  <c r="AH45" i="7" s="1"/>
  <c r="AH44" i="7" s="1"/>
  <c r="AH43" i="7" s="1"/>
  <c r="AH42" i="7" s="1"/>
  <c r="AH41" i="7" s="1"/>
  <c r="AH40" i="7" s="1"/>
  <c r="AH39" i="7" s="1"/>
  <c r="AH38" i="7" s="1"/>
  <c r="AG46" i="7"/>
  <c r="AG45" i="7" s="1"/>
  <c r="AG44" i="7" s="1"/>
  <c r="AG43" i="7" s="1"/>
  <c r="AG42" i="7" s="1"/>
  <c r="AG41" i="7" s="1"/>
  <c r="AG40" i="7" s="1"/>
  <c r="AG39" i="7" s="1"/>
  <c r="AG38"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B0BB27-1973-44B0-B3D0-E8FDFEF1E776}" name="Query - Calculations" description="Connection to the 'Calculations' query in the workbook." type="100" refreshedVersion="8" minRefreshableVersion="5">
    <extLst>
      <ext xmlns:x15="http://schemas.microsoft.com/office/spreadsheetml/2010/11/main" uri="{DE250136-89BD-433C-8126-D09CA5730AF9}">
        <x15:connection id="dccd4fb5-057c-4e36-a62e-7c871f9b150a">
          <x15:oledbPr connection="Provider=Microsoft.Mashup.OleDb.1;Data Source=$Workbook$;Location=Calculations;Extended Properties=&quot;&quot;">
            <x15:dbTables>
              <x15:dbTable name="Calculations"/>
            </x15:dbTables>
          </x15:oledbPr>
        </x15:connection>
      </ext>
    </extLst>
  </connection>
  <connection id="2" xr16:uid="{660A84AE-E967-4639-9DAB-708B43CB8578}" name="Query - Date" description="Connection to the 'Date' query in the workbook." type="100" refreshedVersion="8" minRefreshableVersion="5">
    <extLst>
      <ext xmlns:x15="http://schemas.microsoft.com/office/spreadsheetml/2010/11/main" uri="{DE250136-89BD-433C-8126-D09CA5730AF9}">
        <x15:connection id="ed7983b9-bcb4-4631-adf1-110b67d6b03e">
          <x15:oledbPr connection="Provider=Microsoft.Mashup.OleDb.1;Data Source=$Workbook$;Location=Date;Extended Properties=&quot;&quot;">
            <x15:dbTables>
              <x15:dbTable name="Date"/>
            </x15:dbTables>
          </x15:oledbPr>
        </x15:connection>
      </ext>
    </extLst>
  </connection>
  <connection id="3" xr16:uid="{80F6290E-4B5A-4F37-8255-0EBB0618F5F4}" name="Query - Dim_customer" description="Connection to the 'Dim_customer' query in the workbook." type="100" refreshedVersion="8" minRefreshableVersion="5">
    <extLst>
      <ext xmlns:x15="http://schemas.microsoft.com/office/spreadsheetml/2010/11/main" uri="{DE250136-89BD-433C-8126-D09CA5730AF9}">
        <x15:connection id="c813d4ea-0825-49cd-b5f3-e612656ad884"/>
      </ext>
    </extLst>
  </connection>
  <connection id="4" xr16:uid="{6C99A1DF-ECD7-4645-BD84-D9C1C29DB272}" name="Query - dim_products" description="Connection to the 'dim_products' query in the workbook." type="100" refreshedVersion="8" minRefreshableVersion="5">
    <extLst>
      <ext xmlns:x15="http://schemas.microsoft.com/office/spreadsheetml/2010/11/main" uri="{DE250136-89BD-433C-8126-D09CA5730AF9}">
        <x15:connection id="87cec15e-5fbb-49d3-aeaf-fdf87084cbf0">
          <x15:oledbPr connection="Provider=Microsoft.Mashup.OleDb.1;Data Source=$Workbook$;Location=dim_products;Extended Properties=&quot;&quot;">
            <x15:dbTables>
              <x15:dbTable name="dim_products"/>
            </x15:dbTables>
          </x15:oledbPr>
        </x15:connection>
      </ext>
    </extLst>
  </connection>
  <connection id="5" xr16:uid="{606D9428-74DD-468D-8462-A671244239CD}" name="Query - Dim_salesperson" description="Connection to the 'Dim_salesperson' query in the workbook." type="100" refreshedVersion="8" minRefreshableVersion="5">
    <extLst>
      <ext xmlns:x15="http://schemas.microsoft.com/office/spreadsheetml/2010/11/main" uri="{DE250136-89BD-433C-8126-D09CA5730AF9}">
        <x15:connection id="53a86822-a94f-419d-b10d-2e60f6d1a32f">
          <x15:oledbPr connection="Provider=Microsoft.Mashup.OleDb.1;Data Source=$Workbook$;Location=Dim_salesperson;Extended Properties=&quot;&quot;">
            <x15:dbTables>
              <x15:dbTable name="Dim_salesperson"/>
            </x15:dbTables>
          </x15:oledbPr>
        </x15:connection>
      </ext>
    </extLst>
  </connection>
  <connection id="6" xr16:uid="{A884F1D3-6410-4496-831A-EA9B21AB0ABC}" name="Query - fact_table" description="Connection to the 'fact_table' query in the workbook." type="100" refreshedVersion="8" minRefreshableVersion="5">
    <extLst>
      <ext xmlns:x15="http://schemas.microsoft.com/office/spreadsheetml/2010/11/main" uri="{DE250136-89BD-433C-8126-D09CA5730AF9}">
        <x15:connection id="83811476-04fd-4f82-b57d-0e8de844b352">
          <x15:oledbPr connection="Provider=Microsoft.Mashup.OleDb.1;Data Source=$Workbook$;Location=fact_table;Extended Properties=&quot;&quot;">
            <x15:dbTables>
              <x15:dbTable name="fact_table"/>
            </x15:dbTables>
          </x15:oledbPr>
        </x15:connection>
      </ext>
    </extLst>
  </connection>
  <connection id="7" xr16:uid="{C467027A-13E1-4AA8-A23B-D90143D6CFE8}" name="Query - monthly_store_targets" description="Connection to the 'monthly_store_targets' query in the workbook." type="100" refreshedVersion="8" minRefreshableVersion="5">
    <extLst>
      <ext xmlns:x15="http://schemas.microsoft.com/office/spreadsheetml/2010/11/main" uri="{DE250136-89BD-433C-8126-D09CA5730AF9}">
        <x15:connection id="c46352b7-c4eb-41ac-8e9c-2bf07060e6ef">
          <x15:oledbPr connection="Provider=Microsoft.Mashup.OleDb.1;Data Source=$Workbook$;Location=monthly_store_targets;Extended Properties=&quot;&quot;">
            <x15:dbTables>
              <x15:dbTable name="monthly_store_targets"/>
            </x15:dbTables>
          </x15:oledbPr>
        </x15:connection>
      </ext>
    </extLst>
  </connection>
  <connection id="8" xr16:uid="{F5F9ED1B-2163-4D39-B98B-DED55C64F4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<sst xmlns="http://schemas.openxmlformats.org/spreadsheetml/2006/main" count="320" uniqueCount="142">
  <si>
    <t>Row Labels</t>
  </si>
  <si>
    <t>Grand Total</t>
  </si>
  <si>
    <t>Total revenue</t>
  </si>
  <si>
    <t>COGS</t>
  </si>
  <si>
    <t>Profit margin</t>
  </si>
  <si>
    <t>% Of profit margin</t>
  </si>
  <si>
    <t>#Transactions</t>
  </si>
  <si>
    <t>Total refund</t>
  </si>
  <si>
    <t>Refund rate</t>
  </si>
  <si>
    <t>Total products</t>
  </si>
  <si>
    <t>Qty sold</t>
  </si>
  <si>
    <t>Qty returend</t>
  </si>
  <si>
    <t>Total target</t>
  </si>
  <si>
    <t>Barron-Fleming</t>
  </si>
  <si>
    <t>Berg-Trujillo</t>
  </si>
  <si>
    <t>Lee-Myers</t>
  </si>
  <si>
    <t>Lopez</t>
  </si>
  <si>
    <t>Martinez</t>
  </si>
  <si>
    <t>Miller</t>
  </si>
  <si>
    <t>Myers-Lopez</t>
  </si>
  <si>
    <t>Novak PLC</t>
  </si>
  <si>
    <t>Thomas</t>
  </si>
  <si>
    <t>Valdez</t>
  </si>
  <si>
    <t>Jun</t>
  </si>
  <si>
    <t>Apr</t>
  </si>
  <si>
    <t>Aug</t>
  </si>
  <si>
    <t>Dec</t>
  </si>
  <si>
    <t>Feb</t>
  </si>
  <si>
    <t>Jan</t>
  </si>
  <si>
    <t>Jul</t>
  </si>
  <si>
    <t>Mar</t>
  </si>
  <si>
    <t>May</t>
  </si>
  <si>
    <t>Nov</t>
  </si>
  <si>
    <t>Oct</t>
  </si>
  <si>
    <t>Sep</t>
  </si>
  <si>
    <t>TOTAL REVENUE VS TOTAL TARGET BY STORE</t>
  </si>
  <si>
    <t>KPI'S</t>
  </si>
  <si>
    <t xml:space="preserve"> TOTAL SALES BY MONTH</t>
  </si>
  <si>
    <t>TOTAL REVANUE</t>
  </si>
  <si>
    <t>TOTAL TARGET</t>
  </si>
  <si>
    <t>TOTAL REVENUE</t>
  </si>
  <si>
    <t>Variance</t>
  </si>
  <si>
    <t xml:space="preserve">TOTOAL REVENUE </t>
  </si>
  <si>
    <t>HIGHLIGHT</t>
  </si>
  <si>
    <t>LARGE 1</t>
  </si>
  <si>
    <t>LARGE 2</t>
  </si>
  <si>
    <t>SHOWING DIFF BETWEEN REVENUE AND TARGET</t>
  </si>
  <si>
    <t>VARIANCE</t>
  </si>
  <si>
    <t>MONTH</t>
  </si>
  <si>
    <t>weekday</t>
  </si>
  <si>
    <t>Weekend</t>
  </si>
  <si>
    <t>WEEKDAY</t>
  </si>
  <si>
    <t>WEEKEND</t>
  </si>
  <si>
    <t>Q-1</t>
  </si>
  <si>
    <t>Q-2</t>
  </si>
  <si>
    <t>Q-3</t>
  </si>
  <si>
    <t>Q-4</t>
  </si>
  <si>
    <t>Total revenue2</t>
  </si>
  <si>
    <t>QUARTER</t>
  </si>
  <si>
    <t>AVG</t>
  </si>
  <si>
    <t>CAPTION</t>
  </si>
  <si>
    <t>option</t>
  </si>
  <si>
    <t>combo box</t>
  </si>
  <si>
    <t>BobbyAbbott</t>
  </si>
  <si>
    <t>ChristineHawkins</t>
  </si>
  <si>
    <t>JefferyPowell</t>
  </si>
  <si>
    <t>JohnBrown</t>
  </si>
  <si>
    <t>JudithSimmons</t>
  </si>
  <si>
    <t>KristineBarrett</t>
  </si>
  <si>
    <t>LauraGross</t>
  </si>
  <si>
    <t>LisaWest</t>
  </si>
  <si>
    <t>PaulNoble</t>
  </si>
  <si>
    <t>TravisEwing</t>
  </si>
  <si>
    <t xml:space="preserve">top 5 customer </t>
  </si>
  <si>
    <t>bottom 5 customer</t>
  </si>
  <si>
    <t>top 5 location</t>
  </si>
  <si>
    <t>bottom 5 location</t>
  </si>
  <si>
    <t>California</t>
  </si>
  <si>
    <t>Florida</t>
  </si>
  <si>
    <t>Indiana</t>
  </si>
  <si>
    <t>Maryland</t>
  </si>
  <si>
    <t>Michigan</t>
  </si>
  <si>
    <t>Missouri</t>
  </si>
  <si>
    <t>New York</t>
  </si>
  <si>
    <t>Virginia</t>
  </si>
  <si>
    <t>Washington</t>
  </si>
  <si>
    <t>Wisconsin</t>
  </si>
  <si>
    <t>customer table</t>
  </si>
  <si>
    <t>Full Name</t>
  </si>
  <si>
    <t>Customer</t>
  </si>
  <si>
    <t>Location</t>
  </si>
  <si>
    <t>location table</t>
  </si>
  <si>
    <t>chart</t>
  </si>
  <si>
    <t># Customers</t>
  </si>
  <si>
    <t># Location</t>
  </si>
  <si>
    <t>caption:</t>
  </si>
  <si>
    <t xml:space="preserve">customer/location </t>
  </si>
  <si>
    <t>cogs</t>
  </si>
  <si>
    <t>profit</t>
  </si>
  <si>
    <t>%profit margin</t>
  </si>
  <si>
    <t>21-30</t>
  </si>
  <si>
    <t>31-40</t>
  </si>
  <si>
    <t>41-50</t>
  </si>
  <si>
    <t>ABOVE 50</t>
  </si>
  <si>
    <t>BELOW 20</t>
  </si>
  <si>
    <t>Average of Customer age</t>
  </si>
  <si>
    <t>AGE GROUP</t>
  </si>
  <si>
    <t>GENDER</t>
  </si>
  <si>
    <t>Female</t>
  </si>
  <si>
    <t>Male</t>
  </si>
  <si>
    <t>PROFIT OVER TIME</t>
  </si>
  <si>
    <t>PROFIT</t>
  </si>
  <si>
    <t>PRFOIT</t>
  </si>
  <si>
    <t>Sunday</t>
  </si>
  <si>
    <t>Monday</t>
  </si>
  <si>
    <t>Tuesday</t>
  </si>
  <si>
    <t>Wednesday</t>
  </si>
  <si>
    <t>Thursday</t>
  </si>
  <si>
    <t>Friday</t>
  </si>
  <si>
    <t>Saturday</t>
  </si>
  <si>
    <t># PRODUCT</t>
  </si>
  <si>
    <t xml:space="preserve">RETURN RATE </t>
  </si>
  <si>
    <t>Attorney Mist</t>
  </si>
  <si>
    <t>Begin Brew</t>
  </si>
  <si>
    <t>Common Splash</t>
  </si>
  <si>
    <t>Eight Brew</t>
  </si>
  <si>
    <t>Onto Dew</t>
  </si>
  <si>
    <t>TOP 5 PRODUCT BY PROFIT MARGIN</t>
  </si>
  <si>
    <t>PROFIT BY PRODUCT CATEGORY</t>
  </si>
  <si>
    <t>Alcoholic Beverage</t>
  </si>
  <si>
    <t>Coffee</t>
  </si>
  <si>
    <t>Energy Drink</t>
  </si>
  <si>
    <t>Juice</t>
  </si>
  <si>
    <t>Soft Drink</t>
  </si>
  <si>
    <t>Sports Drink</t>
  </si>
  <si>
    <t>Tea</t>
  </si>
  <si>
    <t>Water</t>
  </si>
  <si>
    <t>CATEGORY</t>
  </si>
  <si>
    <t>PROFIT MARGIN</t>
  </si>
  <si>
    <t>F</t>
  </si>
  <si>
    <t>M</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</si>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</sst>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
    <numFmt numFmtId="165" formatCode="0.00%;\-0.00%;0.00%"/>
    <numFmt numFmtId="166" formatCode="0.0%"/>
    <numFmt numFmtId="167" formatCode="00.0,&quot;K&quot;"/>
    <numFmt numFmtId="168" formatCode="[&gt;=1000000]&quot;$&quot;0.0,,&quot;M&quot;;[&gt;=1000]&quot;$&quot;0.0,&quot;K&quot;;0"/>
    <numFmt numFmtId="169" formatCode="\+0.0%;\-0.0%"/>
    <numFmt numFmtId="170" formatCode=";;"/>
    <numFmt numFmtId="171" formatCode="[&gt;=1000000]&quot;$&quot;0.0,,&quot;M&quot;;[&gt;=1000]&quot;$&quot;0,&quot;K&quot;;0"/>
  </numFmts>
  <fonts count="12" x14ac:knownFonts="1">
    <font>
      <sz val="11"/>
      <color theme="1"/>
      <name val="Calibri"/>
      <family val="2"/>
      <scheme val="minor"/>
    </font>
    <font>
      <sz val="11"/>
      <color theme="1"/>
      <name val="Calibri"/>
      <family val="2"/>
      <scheme val="minor"/>
    </font>
    <font>
      <sz val="11"/>
      <color rgb="FFFF0000"/>
      <name val="Calibri"/>
      <family val="2"/>
      <scheme val="minor"/>
    </font>
    <font>
      <b/>
      <sz val="16"/>
      <color theme="1"/>
      <name val="Calibri"/>
      <family val="2"/>
      <scheme val="minor"/>
    </font>
    <font>
      <b/>
      <sz val="20"/>
      <color theme="1"/>
      <name val="Calibri"/>
      <family val="2"/>
      <scheme val="minor"/>
    </font>
    <font>
      <b/>
      <sz val="18"/>
      <color theme="1"/>
      <name val="Calibri"/>
      <family val="2"/>
      <scheme val="minor"/>
    </font>
    <font>
      <sz val="8"/>
      <name val="Calibri"/>
      <family val="2"/>
      <scheme val="minor"/>
    </font>
    <font>
      <sz val="11"/>
      <color theme="4" tint="0.79998168889431442"/>
      <name val="Calibri"/>
      <family val="2"/>
      <scheme val="minor"/>
    </font>
    <font>
      <b/>
      <sz val="11"/>
      <color theme="1"/>
      <name val="Calibri"/>
      <family val="2"/>
      <scheme val="minor"/>
    </font>
    <font>
      <b/>
      <i/>
      <sz val="11"/>
      <color theme="1"/>
      <name val="Calibri"/>
      <family val="2"/>
      <scheme val="minor"/>
    </font>
    <font>
      <b/>
      <sz val="18"/>
      <color theme="1"/>
      <name val="Arial Black"/>
      <family val="2"/>
    </font>
    <font>
      <sz val="8"/>
      <color rgb="FF000000"/>
      <name val="Segoe UI"/>
      <family val="2"/>
    </font>
  </fonts>
  <fills count="13">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9" tint="0.59999389629810485"/>
        <bgColor indexed="64"/>
      </patternFill>
    </fill>
    <fill>
      <patternFill patternType="solid">
        <fgColor theme="1"/>
        <bgColor indexed="64"/>
      </patternFill>
    </fill>
    <fill>
      <patternFill patternType="solid">
        <fgColor theme="9"/>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399975585192419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ck">
        <color theme="0" tint="-4.9989318521683403E-2"/>
      </right>
      <top/>
      <bottom style="thick">
        <color theme="0" tint="-4.9989318521683403E-2"/>
      </bottom>
      <diagonal/>
    </border>
    <border>
      <left style="thick">
        <color theme="0" tint="-4.9989318521683403E-2"/>
      </left>
      <right style="thick">
        <color theme="0" tint="-4.9989318521683403E-2"/>
      </right>
      <top/>
      <bottom style="thick">
        <color theme="0" tint="-4.9989318521683403E-2"/>
      </bottom>
      <diagonal/>
    </border>
    <border>
      <left style="thick">
        <color theme="0" tint="-4.9989318521683403E-2"/>
      </left>
      <right/>
      <top/>
      <bottom style="thick">
        <color theme="0" tint="-4.9989318521683403E-2"/>
      </bottom>
      <diagonal/>
    </border>
    <border>
      <left/>
      <right style="thick">
        <color theme="0" tint="-4.9989318521683403E-2"/>
      </right>
      <top style="thick">
        <color theme="0" tint="-4.9989318521683403E-2"/>
      </top>
      <bottom style="thick">
        <color theme="0" tint="-4.9989318521683403E-2"/>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style="thick">
        <color theme="0" tint="-4.9989318521683403E-2"/>
      </left>
      <right/>
      <top style="thick">
        <color theme="0" tint="-4.9989318521683403E-2"/>
      </top>
      <bottom style="thick">
        <color theme="0" tint="-4.9989318521683403E-2"/>
      </bottom>
      <diagonal/>
    </border>
    <border>
      <left/>
      <right style="thick">
        <color theme="0" tint="-4.9989318521683403E-2"/>
      </right>
      <top style="thick">
        <color theme="0" tint="-4.9989318521683403E-2"/>
      </top>
      <bottom/>
      <diagonal/>
    </border>
    <border>
      <left style="thick">
        <color theme="0" tint="-4.9989318521683403E-2"/>
      </left>
      <right style="thick">
        <color theme="0" tint="-4.9989318521683403E-2"/>
      </right>
      <top style="thick">
        <color theme="0" tint="-4.9989318521683403E-2"/>
      </top>
      <bottom/>
      <diagonal/>
    </border>
    <border>
      <left style="thick">
        <color theme="0" tint="-4.9989318521683403E-2"/>
      </left>
      <right/>
      <top style="thick">
        <color theme="0" tint="-4.9989318521683403E-2"/>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0" fontId="0" fillId="2" borderId="0" xfId="0" applyFill="1"/>
    <xf numFmtId="0" fontId="0" fillId="3" borderId="0" xfId="0" applyFill="1"/>
    <xf numFmtId="166" fontId="0" fillId="0" borderId="0" xfId="1" applyNumberFormat="1" applyFont="1"/>
    <xf numFmtId="0" fontId="0" fillId="5" borderId="0" xfId="0" applyFill="1"/>
    <xf numFmtId="167" fontId="0" fillId="0" borderId="0" xfId="0" applyNumberFormat="1"/>
    <xf numFmtId="168" fontId="0" fillId="0" borderId="0" xfId="0" applyNumberFormat="1"/>
    <xf numFmtId="0" fontId="0" fillId="8" borderId="0" xfId="0" applyFill="1"/>
    <xf numFmtId="166" fontId="3" fillId="0" borderId="0" xfId="1" applyNumberFormat="1" applyFont="1" applyAlignment="1">
      <alignment vertical="center"/>
    </xf>
    <xf numFmtId="0" fontId="7" fillId="2" borderId="0" xfId="0" applyFont="1" applyFill="1"/>
    <xf numFmtId="169" fontId="0" fillId="0" borderId="0" xfId="1" applyNumberFormat="1" applyFont="1"/>
    <xf numFmtId="0" fontId="0" fillId="10" borderId="0" xfId="0" applyFill="1"/>
    <xf numFmtId="0" fontId="2" fillId="10"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70" fontId="0" fillId="11" borderId="9" xfId="0" applyNumberFormat="1" applyFill="1" applyBorder="1"/>
    <xf numFmtId="170" fontId="0" fillId="11" borderId="10" xfId="0" applyNumberFormat="1" applyFill="1" applyBorder="1"/>
    <xf numFmtId="170" fontId="0" fillId="11" borderId="11" xfId="0" applyNumberFormat="1" applyFill="1" applyBorder="1"/>
    <xf numFmtId="170" fontId="0" fillId="11" borderId="12" xfId="0" applyNumberFormat="1" applyFill="1" applyBorder="1"/>
    <xf numFmtId="170" fontId="0" fillId="11" borderId="13" xfId="0" applyNumberFormat="1" applyFill="1" applyBorder="1"/>
    <xf numFmtId="170" fontId="0" fillId="11" borderId="14" xfId="0" applyNumberFormat="1" applyFill="1" applyBorder="1"/>
    <xf numFmtId="170" fontId="0" fillId="11" borderId="15" xfId="0" applyNumberFormat="1" applyFill="1" applyBorder="1"/>
    <xf numFmtId="170" fontId="0" fillId="11" borderId="16" xfId="0" applyNumberFormat="1" applyFill="1" applyBorder="1"/>
    <xf numFmtId="170" fontId="0" fillId="11" borderId="17" xfId="0" applyNumberFormat="1" applyFill="1" applyBorder="1"/>
    <xf numFmtId="10" fontId="0" fillId="0" borderId="0" xfId="0" applyNumberFormat="1"/>
    <xf numFmtId="171" fontId="0" fillId="0" borderId="0" xfId="0" applyNumberFormat="1"/>
    <xf numFmtId="0" fontId="0" fillId="12" borderId="18" xfId="0" applyFill="1" applyBorder="1"/>
    <xf numFmtId="0" fontId="8" fillId="0" borderId="0" xfId="0" applyFont="1"/>
    <xf numFmtId="0" fontId="8" fillId="8" borderId="0" xfId="0" applyFont="1" applyFill="1"/>
    <xf numFmtId="0" fontId="9" fillId="0" borderId="0" xfId="0" applyFont="1"/>
    <xf numFmtId="171" fontId="0" fillId="10" borderId="0" xfId="0" applyNumberFormat="1" applyFill="1"/>
    <xf numFmtId="0" fontId="10" fillId="0" borderId="0" xfId="0" applyFont="1"/>
    <xf numFmtId="0" fontId="3" fillId="4" borderId="0" xfId="0" applyFont="1" applyFill="1" applyAlignment="1">
      <alignment horizontal="center"/>
    </xf>
    <xf numFmtId="0" fontId="4" fillId="6" borderId="0" xfId="0" applyFont="1" applyFill="1" applyAlignment="1">
      <alignment horizontal="center"/>
    </xf>
    <xf numFmtId="0" fontId="5" fillId="7" borderId="0" xfId="0" applyFont="1" applyFill="1" applyAlignment="1">
      <alignment horizontal="center"/>
    </xf>
    <xf numFmtId="0" fontId="0" fillId="0" borderId="0" xfId="0" applyAlignment="1">
      <alignment horizontal="center"/>
    </xf>
    <xf numFmtId="0" fontId="0" fillId="9" borderId="0" xfId="0" applyFill="1" applyAlignment="1">
      <alignment horizontal="center"/>
    </xf>
    <xf numFmtId="169" fontId="0" fillId="0" borderId="0" xfId="0" applyNumberFormat="1" applyFill="1"/>
  </cellXfs>
  <cellStyles count="2">
    <cellStyle name="Normal" xfId="0" builtinId="0"/>
    <cellStyle name="Percent" xfId="1" builtinId="5"/>
  </cellStyles>
  <dxfs count="162">
    <dxf>
      <font>
        <color rgb="FFFF0000"/>
      </font>
    </dxf>
    <dxf>
      <font>
        <color rgb="FF00B050"/>
      </font>
    </dxf>
    <dxf>
      <font>
        <color theme="7" tint="0.39994506668294322"/>
      </font>
      <fill>
        <patternFill>
          <bgColor theme="7" tint="0.39994506668294322"/>
        </patternFill>
      </fill>
    </dxf>
    <dxf>
      <font>
        <color rgb="FF00A44A"/>
      </font>
      <fill>
        <patternFill>
          <bgColor rgb="FF00B050"/>
        </patternFill>
      </fill>
    </dxf>
    <dxf>
      <font>
        <color rgb="FF00B050"/>
      </font>
    </dxf>
    <dxf>
      <font>
        <color rgb="FF00B050"/>
      </font>
    </dxf>
    <dxf>
      <font>
        <color rgb="FFFF0000"/>
      </font>
    </dxf>
    <dxf>
      <font>
        <color rgb="FFFF0000"/>
      </font>
    </dxf>
    <dxf>
      <font>
        <color rgb="FFFF0000"/>
      </font>
    </dxf>
    <dxf>
      <font>
        <color rgb="FF00B050"/>
      </font>
    </dxf>
    <dxf>
      <font>
        <color rgb="FF00B050"/>
      </font>
    </dxf>
    <dxf>
      <font>
        <color rgb="FFFF0000"/>
      </font>
    </dxf>
    <dxf>
      <font>
        <color rgb="FF00B050"/>
      </font>
    </dxf>
    <dxf>
      <font>
        <color theme="7" tint="0.39994506668294322"/>
      </font>
      <fill>
        <patternFill>
          <bgColor theme="7" tint="0.39994506668294322"/>
        </patternFill>
      </fill>
    </dxf>
    <dxf>
      <font>
        <color rgb="FF00A44A"/>
      </font>
      <fill>
        <patternFill>
          <bgColor rgb="FF00B050"/>
        </patternFill>
      </fill>
    </dxf>
    <dxf>
      <font>
        <color rgb="FF00B050"/>
      </font>
    </dxf>
    <dxf>
      <font>
        <color rgb="FFFF0000"/>
      </font>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font>
        <color rgb="FF00B050"/>
      </font>
    </dxf>
    <dxf>
      <font>
        <color theme="7" tint="0.39994506668294322"/>
      </font>
      <fill>
        <patternFill>
          <bgColor theme="7" tint="0.39994506668294322"/>
        </patternFill>
      </fill>
    </dxf>
    <dxf>
      <font>
        <color rgb="FF00A44A"/>
      </font>
      <fill>
        <patternFill>
          <bgColor rgb="FF00B050"/>
        </patternFill>
      </fill>
    </dxf>
    <dxf>
      <font>
        <color rgb="FF00B050"/>
      </font>
    </dxf>
    <dxf>
      <font>
        <color rgb="FFFF0000"/>
      </font>
    </dxf>
    <dxf>
      <font>
        <color theme="7" tint="0.39994506668294322"/>
      </font>
      <fill>
        <patternFill>
          <bgColor theme="7" tint="0.39994506668294322"/>
        </patternFill>
      </fill>
    </dxf>
    <dxf>
      <font>
        <color rgb="FF00A44A"/>
      </font>
      <fill>
        <patternFill>
          <bgColor rgb="FF00B050"/>
        </patternFill>
      </fill>
    </dxf>
    <dxf>
      <font>
        <color rgb="FF00B050"/>
      </font>
    </dxf>
    <dxf>
      <font>
        <color rgb="FFFF0000"/>
      </font>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font>
        <color theme="7" tint="0.39994506668294322"/>
      </font>
      <fill>
        <patternFill>
          <bgColor theme="7" tint="0.39994506668294322"/>
        </patternFill>
      </fill>
    </dxf>
    <dxf>
      <font>
        <color rgb="FF00A44A"/>
      </font>
      <fill>
        <patternFill>
          <bgColor rgb="FF00B050"/>
        </patternFill>
      </fill>
    </dxf>
    <dxf>
      <font>
        <color rgb="FF00B050"/>
      </font>
    </dxf>
    <dxf>
      <font>
        <color rgb="FFFF0000"/>
      </font>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fill>
        <patternFill>
          <bgColor auto="1"/>
        </patternFill>
      </fill>
    </dxf>
    <dxf>
      <numFmt numFmtId="14" formatCode="0.00%"/>
    </dxf>
    <dxf>
      <numFmt numFmtId="169" formatCode="\+0.0%;\-0.0%"/>
    </dxf>
    <dxf>
      <numFmt numFmtId="171" formatCode="[&gt;=1000000]&quot;$&quot;0.0,,&quot;M&quot;;[&gt;=1000]&quot;$&quot;0,&quot;K&quot;;0"/>
    </dxf>
    <dxf>
      <numFmt numFmtId="168" formatCode="[&gt;=1000000]&quot;$&quot;0.0,,&quot;M&quot;;[&gt;=1000]&quot;$&quot;0.0,&quot;K&quot;;0"/>
    </dxf>
    <dxf>
      <font>
        <color theme="7" tint="0.39994506668294322"/>
      </font>
      <fill>
        <patternFill>
          <bgColor theme="7" tint="0.39994506668294322"/>
        </patternFill>
      </fill>
    </dxf>
    <dxf>
      <font>
        <color rgb="FF00A44A"/>
      </font>
      <fill>
        <patternFill>
          <bgColor rgb="FF00B050"/>
        </patternFill>
      </fill>
    </dxf>
    <dxf>
      <font>
        <color rgb="FF00B050"/>
      </font>
    </dxf>
    <dxf>
      <font>
        <color rgb="FFFF0000"/>
      </font>
    </dxf>
    <dxf>
      <font>
        <color rgb="FFFF0000"/>
      </font>
    </dxf>
    <dxf>
      <font>
        <color rgb="FF00B050"/>
      </font>
    </dxf>
    <dxf>
      <numFmt numFmtId="168" formatCode="[&gt;=1000000]&quot;$&quot;0.0,,&quot;M&quot;;[&gt;=1000]&quot;$&quot;0.0,&quot;K&quot;;0"/>
    </dxf>
    <dxf>
      <numFmt numFmtId="171" formatCode="[&gt;=1000000]&quot;$&quot;0.0,,&quot;M&quot;;[&gt;=1000]&quot;$&quot;0,&quot;K&quot;;0"/>
    </dxf>
    <dxf>
      <numFmt numFmtId="169" formatCode="\+0.0%;\-0.0%"/>
    </dxf>
    <dxf>
      <numFmt numFmtId="14" formatCode="0.00%"/>
    </dxf>
    <dxf>
      <numFmt numFmtId="168" formatCode="[&gt;=1000000]&quot;$&quot;0.0,,&quot;M&quot;;[&gt;=1000]&quot;$&quot;0.0,&quot;K&quot;;0"/>
      <fill>
        <patternFill>
          <bgColor auto="1"/>
        </patternFill>
      </fill>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4" formatCode="0.00%"/>
    </dxf>
    <dxf>
      <numFmt numFmtId="0" formatCode="General"/>
    </dxf>
    <dxf>
      <numFmt numFmtId="1" formatCode="0"/>
    </dxf>
    <dxf>
      <numFmt numFmtId="168" formatCode="[&gt;=1000000]&quot;$&quot;0.0,,&quot;M&quot;;[&gt;=1000]&quot;$&quot;0.0,&quot;K&quot;;0"/>
    </dxf>
    <dxf>
      <numFmt numFmtId="14" formatCode="0.00%"/>
    </dxf>
    <dxf>
      <numFmt numFmtId="168" formatCode="[&gt;=1000000]&quot;$&quot;0.0,,&quot;M&quot;;[&gt;=1000]&quot;$&quot;0.0,&quot;K&quot;;0"/>
    </dxf>
    <dxf>
      <numFmt numFmtId="14" formatCode="0.00%"/>
    </dxf>
    <dxf>
      <numFmt numFmtId="168" formatCode="[&gt;=1000000]&quot;$&quot;0.0,,&quot;M&quot;;[&gt;=1000]&quot;$&quot;0.0,&quot;K&quot;;0"/>
    </dxf>
    <dxf>
      <numFmt numFmtId="14" formatCode="0.00%"/>
    </dxf>
    <dxf>
      <numFmt numFmtId="168" formatCode="[&gt;=1000000]&quot;$&quot;0.0,,&quot;M&quot;;[&gt;=1000]&quot;$&quot;0.0,&quot;K&quot;;0"/>
    </dxf>
    <dxf>
      <numFmt numFmtId="171" formatCode="[&gt;=1000000]&quot;$&quot;0.0,,&quot;M&quot;;[&gt;=1000]&quot;$&quot;0,&quot;K&quot;;0"/>
    </dxf>
    <dxf>
      <numFmt numFmtId="0" formatCode="General"/>
    </dxf>
    <dxf>
      <numFmt numFmtId="1" formatCode="0"/>
    </dxf>
    <dxf>
      <numFmt numFmtId="14" formatCode="0.00%"/>
    </dxf>
    <dxf>
      <numFmt numFmtId="171" formatCode="[&gt;=1000000]&quot;$&quot;0.0,,&quot;M&quot;;[&gt;=1000]&quot;$&quot;0,&quot;K&quot;;0"/>
    </dxf>
    <dxf>
      <numFmt numFmtId="1" formatCode="0"/>
    </dxf>
    <dxf>
      <numFmt numFmtId="165" formatCode="0.00%;\-0.00%;0.00%"/>
    </dxf>
    <dxf>
      <numFmt numFmtId="165" formatCode="0.00%;\-0.00%;0.00%"/>
    </dxf>
    <dxf>
      <numFmt numFmtId="1" formatCode="0"/>
    </dxf>
    <dxf>
      <numFmt numFmtId="1" formatCode="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numFmt numFmtId="168" formatCode="[&gt;=1000000]&quot;$&quot;0.0,,&quot;M&quot;;[&gt;=1000]&quot;$&quot;0.0,&quot;K&quot;;0"/>
    </dxf>
    <dxf>
      <font>
        <b/>
        <i val="0"/>
        <sz val="14"/>
        <color theme="4"/>
        <name val="Calibri Light"/>
        <family val="2"/>
        <scheme val="major"/>
      </font>
      <fill>
        <patternFill>
          <bgColor theme="2"/>
        </patternFill>
      </fill>
      <border>
        <vertical/>
        <horizontal/>
      </border>
    </dxf>
    <dxf>
      <font>
        <color theme="1"/>
      </font>
      <fill>
        <patternFill>
          <bgColor theme="2"/>
        </patternFill>
      </fill>
      <border>
        <vertical/>
        <horizontal/>
      </border>
    </dxf>
  </dxfs>
  <tableStyles count="1" defaultTableStyle="TableStyleMedium2" defaultPivotStyle="PivotStyleLight16">
    <tableStyle name="SlicerStyleLight1 2" pivot="0" table="0" count="10" xr9:uid="{4A337E43-FE89-45DD-B5EB-052AF5110576}">
      <tableStyleElement type="wholeTable" dxfId="161"/>
      <tableStyleElement type="headerRow" dxfId="160"/>
    </tableStyle>
  </tableStyles>
  <colors>
    <mruColors>
      <color rgb="FFFB8E57"/>
      <color rgb="FF28F6F6"/>
      <color rgb="FF00A44A"/>
      <color rgb="FF32DAEC"/>
    </mruColors>
  </colors>
  <extLst>
    <ext xmlns:x14="http://schemas.microsoft.com/office/spreadsheetml/2009/9/main" uri="{46F421CA-312F-682f-3DD2-61675219B42D}">
      <x14:dxfs count="8">
        <dxf>
          <font>
            <color rgb="FF000000"/>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2065187536243"/>
              <bgColor theme="2" tint="-9.9948118533890809E-2"/>
            </patternFill>
          </fill>
          <border>
            <left style="thin">
              <color rgb="FFCCCCCC"/>
            </left>
            <right style="thin">
              <color rgb="FFCCCCCC"/>
            </right>
            <top style="thin">
              <color rgb="FFCCCCCC"/>
            </top>
            <bottom style="thin">
              <color rgb="FFCCCCCC"/>
            </bottom>
            <vertical/>
            <horizontal/>
          </border>
        </dxf>
        <dxf>
          <font>
            <b/>
            <i val="0"/>
            <sz val="11"/>
            <color theme="4"/>
          </font>
          <fill>
            <patternFill patternType="solid">
              <fgColor theme="4" tint="0.59999389629810485"/>
              <bgColor theme="2"/>
            </patternFill>
          </fill>
          <border diagonalUp="0" diagonalDown="0">
            <left/>
            <right/>
            <top/>
            <bottom style="thick">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patternFill>
          </fill>
          <border diagonalUp="0" diagonalDown="0">
            <left/>
            <right/>
            <top/>
            <bottom style="thick">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84" Type="http://schemas.openxmlformats.org/officeDocument/2006/relationships/customXml" Target="../customXml/item44.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microsoft.com/office/2007/relationships/slicerCache" Target="slicerCaches/slicerCache1.xml"/><Relationship Id="rId37" Type="http://schemas.openxmlformats.org/officeDocument/2006/relationships/styles" Target="styles.xml"/><Relationship Id="rId53" Type="http://schemas.openxmlformats.org/officeDocument/2006/relationships/customXml" Target="../customXml/item13.xml"/><Relationship Id="rId58" Type="http://schemas.openxmlformats.org/officeDocument/2006/relationships/customXml" Target="../customXml/item18.xml"/><Relationship Id="rId74" Type="http://schemas.openxmlformats.org/officeDocument/2006/relationships/customXml" Target="../customXml/item34.xml"/><Relationship Id="rId79" Type="http://schemas.openxmlformats.org/officeDocument/2006/relationships/customXml" Target="../customXml/item39.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77" Type="http://schemas.openxmlformats.org/officeDocument/2006/relationships/customXml" Target="../customXml/item37.xml"/><Relationship Id="rId8" Type="http://schemas.openxmlformats.org/officeDocument/2006/relationships/pivotCacheDefinition" Target="pivotCache/pivotCacheDefinition2.xml"/><Relationship Id="rId51" Type="http://schemas.openxmlformats.org/officeDocument/2006/relationships/customXml" Target="../customXml/item11.xml"/><Relationship Id="rId72" Type="http://schemas.openxmlformats.org/officeDocument/2006/relationships/customXml" Target="../customXml/item32.xml"/><Relationship Id="rId80" Type="http://schemas.openxmlformats.org/officeDocument/2006/relationships/customXml" Target="../customXml/item40.xml"/><Relationship Id="rId85"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4.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83"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78" Type="http://schemas.openxmlformats.org/officeDocument/2006/relationships/customXml" Target="../customXml/item38.xml"/><Relationship Id="rId81"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owerPivotData" Target="model/item.data"/><Relationship Id="rId34" Type="http://schemas.microsoft.com/office/2007/relationships/slicerCache" Target="slicerCaches/slicerCache3.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pivotCacheDefinition" Target="pivotCache/pivotCacheDefinition1.xml"/><Relationship Id="rId71"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calcChain" Target="calcChain.xml"/><Relationship Id="rId45" Type="http://schemas.openxmlformats.org/officeDocument/2006/relationships/customXml" Target="../customXml/item5.xml"/><Relationship Id="rId66" Type="http://schemas.openxmlformats.org/officeDocument/2006/relationships/customXml" Target="../customXml/item26.xml"/><Relationship Id="rId61" Type="http://schemas.openxmlformats.org/officeDocument/2006/relationships/customXml" Target="../customXml/item21.xml"/><Relationship Id="rId82" Type="http://schemas.openxmlformats.org/officeDocument/2006/relationships/customXml" Target="../customXml/item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profitanalysis!$I$17</c:f>
              <c:strCache>
                <c:ptCount val="1"/>
                <c:pt idx="0">
                  <c:v>Profit margin</c:v>
                </c:pt>
              </c:strCache>
            </c:strRef>
          </c:tx>
          <c:spPr>
            <a:gradFill flip="none" rotWithShape="1">
              <a:gsLst>
                <a:gs pos="0">
                  <a:schemeClr val="accent1">
                    <a:lumMod val="40000"/>
                    <a:lumOff val="60000"/>
                  </a:schemeClr>
                </a:gs>
                <a:gs pos="55000">
                  <a:schemeClr val="accent1">
                    <a:lumMod val="97000"/>
                    <a:lumOff val="3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profitanalysis!$H$18:$H$22</c:f>
              <c:strCache>
                <c:ptCount val="5"/>
                <c:pt idx="0">
                  <c:v>JohnBrown</c:v>
                </c:pt>
                <c:pt idx="1">
                  <c:v>PaulNoble</c:v>
                </c:pt>
                <c:pt idx="2">
                  <c:v>LauraGross</c:v>
                </c:pt>
                <c:pt idx="3">
                  <c:v>JudithSimmons</c:v>
                </c:pt>
                <c:pt idx="4">
                  <c:v>KristineBarrett</c:v>
                </c:pt>
              </c:strCache>
            </c:strRef>
          </c:cat>
          <c:val>
            <c:numRef>
              <c:f>profitanalysis!$I$18:$I$22</c:f>
              <c:numCache>
                <c:formatCode>0</c:formatCode>
                <c:ptCount val="5"/>
                <c:pt idx="0">
                  <c:v>8477.4799999999977</c:v>
                </c:pt>
                <c:pt idx="1">
                  <c:v>7569.0199999999959</c:v>
                </c:pt>
                <c:pt idx="2">
                  <c:v>7236.9200000000019</c:v>
                </c:pt>
                <c:pt idx="3">
                  <c:v>7191.9699999999975</c:v>
                </c:pt>
                <c:pt idx="4">
                  <c:v>6966.5800000000008</c:v>
                </c:pt>
              </c:numCache>
            </c:numRef>
          </c:val>
          <c:extLst>
            <c:ext xmlns:c16="http://schemas.microsoft.com/office/drawing/2014/chart" uri="{C3380CC4-5D6E-409C-BE32-E72D297353CC}">
              <c16:uniqueId val="{00000000-8C82-45BD-B464-D6A616383B01}"/>
            </c:ext>
          </c:extLst>
        </c:ser>
        <c:dLbls>
          <c:dLblPos val="outEnd"/>
          <c:showLegendKey val="0"/>
          <c:showVal val="1"/>
          <c:showCatName val="0"/>
          <c:showSerName val="0"/>
          <c:showPercent val="0"/>
          <c:showBubbleSize val="0"/>
        </c:dLbls>
        <c:gapWidth val="219"/>
        <c:overlap val="-27"/>
        <c:axId val="1628869183"/>
        <c:axId val="1628876383"/>
      </c:barChart>
      <c:catAx>
        <c:axId val="162886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628876383"/>
        <c:crosses val="autoZero"/>
        <c:auto val="1"/>
        <c:lblAlgn val="ctr"/>
        <c:lblOffset val="100"/>
        <c:noMultiLvlLbl val="0"/>
      </c:catAx>
      <c:valAx>
        <c:axId val="1628876383"/>
        <c:scaling>
          <c:orientation val="minMax"/>
        </c:scaling>
        <c:delete val="1"/>
        <c:axPos val="l"/>
        <c:numFmt formatCode="0" sourceLinked="1"/>
        <c:majorTickMark val="none"/>
        <c:minorTickMark val="none"/>
        <c:tickLblPos val="nextTo"/>
        <c:crossAx val="162886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profitanalysis!$S$4</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profitanalysis!$R$5:$R$10</c:f>
              <c:strCache>
                <c:ptCount val="5"/>
                <c:pt idx="0">
                  <c:v>ABOVE 50</c:v>
                </c:pt>
                <c:pt idx="1">
                  <c:v>41-50</c:v>
                </c:pt>
                <c:pt idx="2">
                  <c:v>31-40</c:v>
                </c:pt>
                <c:pt idx="3">
                  <c:v>21-30</c:v>
                </c:pt>
                <c:pt idx="4">
                  <c:v>BELOW 20</c:v>
                </c:pt>
              </c:strCache>
            </c:strRef>
          </c:cat>
          <c:val>
            <c:numRef>
              <c:f>profitanalysis!$S$5:$S$10</c:f>
              <c:numCache>
                <c:formatCode>[&gt;=1000000]"$"0.0,,"M";[&gt;=1000]"$"0.0,"K";0</c:formatCode>
                <c:ptCount val="5"/>
                <c:pt idx="0">
                  <c:v>933472.3399999924</c:v>
                </c:pt>
                <c:pt idx="1">
                  <c:v>499936.95000000054</c:v>
                </c:pt>
                <c:pt idx="2">
                  <c:v>424463.9299999983</c:v>
                </c:pt>
                <c:pt idx="3">
                  <c:v>375058.86999999976</c:v>
                </c:pt>
                <c:pt idx="4">
                  <c:v>64579.969999999928</c:v>
                </c:pt>
              </c:numCache>
            </c:numRef>
          </c:val>
          <c:extLst>
            <c:ext xmlns:c16="http://schemas.microsoft.com/office/drawing/2014/chart" uri="{C3380CC4-5D6E-409C-BE32-E72D297353CC}">
              <c16:uniqueId val="{00000000-F7BD-4FE9-B728-3BE05EF74CBA}"/>
            </c:ext>
          </c:extLst>
        </c:ser>
        <c:dLbls>
          <c:dLblPos val="outEnd"/>
          <c:showLegendKey val="0"/>
          <c:showVal val="1"/>
          <c:showCatName val="0"/>
          <c:showSerName val="0"/>
          <c:showPercent val="0"/>
          <c:showBubbleSize val="0"/>
        </c:dLbls>
        <c:gapWidth val="165"/>
        <c:overlap val="-27"/>
        <c:axId val="1962213551"/>
        <c:axId val="1962214031"/>
      </c:barChart>
      <c:catAx>
        <c:axId val="196221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62214031"/>
        <c:crosses val="autoZero"/>
        <c:auto val="1"/>
        <c:lblAlgn val="ctr"/>
        <c:lblOffset val="100"/>
        <c:noMultiLvlLbl val="0"/>
      </c:catAx>
      <c:valAx>
        <c:axId val="1962214031"/>
        <c:scaling>
          <c:orientation val="minMax"/>
        </c:scaling>
        <c:delete val="1"/>
        <c:axPos val="l"/>
        <c:numFmt formatCode="[&gt;=1000000]&quot;$&quot;0.0,,&quot;M&quot;;[&gt;=1000]&quot;$&quot;0.0,&quot;K&quot;;0" sourceLinked="1"/>
        <c:majorTickMark val="none"/>
        <c:minorTickMark val="none"/>
        <c:tickLblPos val="nextTo"/>
        <c:crossAx val="196221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99000">
                <a:srgbClr val="7030A0"/>
              </a:gs>
              <a:gs pos="100000">
                <a:srgbClr val="00B0F0"/>
              </a:gs>
            </a:gsLst>
            <a:path path="circle">
              <a:fillToRect l="50000" t="130000" r="50000" b="-30000"/>
            </a:path>
            <a:tileRect/>
          </a:gradFill>
          <a:ln w="19050">
            <a:noFill/>
          </a:ln>
          <a:effectLst/>
        </c:spPr>
      </c:pivotFmt>
      <c:pivotFmt>
        <c:idx val="6"/>
        <c:spPr>
          <a:gradFill flip="none" rotWithShape="1">
            <a:gsLst>
              <a:gs pos="0">
                <a:schemeClr val="accent4">
                  <a:lumMod val="0"/>
                  <a:lumOff val="100000"/>
                </a:schemeClr>
              </a:gs>
              <a:gs pos="0">
                <a:schemeClr val="accent4">
                  <a:lumMod val="0"/>
                  <a:lumOff val="100000"/>
                </a:schemeClr>
              </a:gs>
              <a:gs pos="100000">
                <a:schemeClr val="accent4">
                  <a:lumMod val="100000"/>
                </a:schemeClr>
              </a:gs>
            </a:gsLst>
            <a:path path="circle">
              <a:fillToRect l="50000" t="-80000" r="50000" b="180000"/>
            </a:path>
            <a:tileRect/>
          </a:gradFill>
          <a:ln w="19050">
            <a:noFill/>
          </a:ln>
          <a:effectLst/>
        </c:spPr>
      </c:pivotFmt>
    </c:pivotFmts>
    <c:plotArea>
      <c:layout>
        <c:manualLayout>
          <c:layoutTarget val="inner"/>
          <c:xMode val="edge"/>
          <c:yMode val="edge"/>
          <c:x val="9.8767700540828285E-2"/>
          <c:y val="7.4868075545172649E-2"/>
          <c:w val="0.78530616987385182"/>
          <c:h val="0.73426254524507728"/>
        </c:manualLayout>
      </c:layout>
      <c:doughnutChart>
        <c:varyColors val="1"/>
        <c:ser>
          <c:idx val="0"/>
          <c:order val="0"/>
          <c:tx>
            <c:strRef>
              <c:f>profitanalysis!$X$4</c:f>
              <c:strCache>
                <c:ptCount val="1"/>
                <c:pt idx="0">
                  <c:v>Total</c:v>
                </c:pt>
              </c:strCache>
            </c:strRef>
          </c:tx>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a:noFill/>
            </a:ln>
          </c:spPr>
          <c:dPt>
            <c:idx val="0"/>
            <c:bubble3D val="0"/>
            <c:spPr>
              <a:gradFill flip="none" rotWithShape="1">
                <a:gsLst>
                  <a:gs pos="99000">
                    <a:srgbClr val="7030A0"/>
                  </a:gs>
                  <a:gs pos="100000">
                    <a:srgbClr val="00B0F0"/>
                  </a:gs>
                </a:gsLst>
                <a:path path="circle">
                  <a:fillToRect l="50000" t="130000" r="50000" b="-30000"/>
                </a:path>
                <a:tileRect/>
              </a:gradFill>
              <a:ln w="19050">
                <a:noFill/>
              </a:ln>
              <a:effectLst/>
            </c:spPr>
            <c:extLst>
              <c:ext xmlns:c16="http://schemas.microsoft.com/office/drawing/2014/chart" uri="{C3380CC4-5D6E-409C-BE32-E72D297353CC}">
                <c16:uniqueId val="{00000001-5557-4F02-9062-415034935550}"/>
              </c:ext>
            </c:extLst>
          </c:dPt>
          <c:dPt>
            <c:idx val="1"/>
            <c:bubble3D val="0"/>
            <c:spPr>
              <a:gradFill flip="none" rotWithShape="1">
                <a:gsLst>
                  <a:gs pos="0">
                    <a:schemeClr val="accent4">
                      <a:lumMod val="0"/>
                      <a:lumOff val="100000"/>
                    </a:schemeClr>
                  </a:gs>
                  <a:gs pos="0">
                    <a:schemeClr val="accent4">
                      <a:lumMod val="0"/>
                      <a:lumOff val="100000"/>
                    </a:schemeClr>
                  </a:gs>
                  <a:gs pos="100000">
                    <a:schemeClr val="accent4">
                      <a:lumMod val="100000"/>
                    </a:schemeClr>
                  </a:gs>
                </a:gsLst>
                <a:path path="circle">
                  <a:fillToRect l="50000" t="-80000" r="50000" b="180000"/>
                </a:path>
                <a:tileRect/>
              </a:gradFill>
              <a:ln w="19050">
                <a:noFill/>
              </a:ln>
              <a:effectLst/>
            </c:spPr>
            <c:extLst>
              <c:ext xmlns:c16="http://schemas.microsoft.com/office/drawing/2014/chart" uri="{C3380CC4-5D6E-409C-BE32-E72D297353CC}">
                <c16:uniqueId val="{00000003-5557-4F02-9062-415034935550}"/>
              </c:ext>
            </c:extLst>
          </c:dPt>
          <c:cat>
            <c:strRef>
              <c:f>profitanalysis!$W$5:$W$7</c:f>
              <c:strCache>
                <c:ptCount val="2"/>
                <c:pt idx="0">
                  <c:v>Female</c:v>
                </c:pt>
                <c:pt idx="1">
                  <c:v>Male</c:v>
                </c:pt>
              </c:strCache>
            </c:strRef>
          </c:cat>
          <c:val>
            <c:numRef>
              <c:f>profitanalysis!$X$5:$X$7</c:f>
              <c:numCache>
                <c:formatCode>0.00%</c:formatCode>
                <c:ptCount val="2"/>
                <c:pt idx="0">
                  <c:v>0.48527656041986861</c:v>
                </c:pt>
                <c:pt idx="1">
                  <c:v>0.51472343958010647</c:v>
                </c:pt>
              </c:numCache>
            </c:numRef>
          </c:val>
          <c:extLst>
            <c:ext xmlns:c16="http://schemas.microsoft.com/office/drawing/2014/chart" uri="{C3380CC4-5D6E-409C-BE32-E72D297353CC}">
              <c16:uniqueId val="{00000004-5557-4F02-9062-415034935550}"/>
            </c:ext>
          </c:extLst>
        </c:ser>
        <c:dLbls>
          <c:showLegendKey val="0"/>
          <c:showVal val="0"/>
          <c:showCatName val="0"/>
          <c:showSerName val="0"/>
          <c:showPercent val="0"/>
          <c:showBubbleSize val="0"/>
          <c:showLeaderLines val="1"/>
        </c:dLbls>
        <c:firstSliceAng val="174"/>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2.5428331875182269E-2"/>
          <c:w val="0.98742125984251949"/>
          <c:h val="0.8416746864975212"/>
        </c:manualLayout>
      </c:layout>
      <c:areaChart>
        <c:grouping val="standard"/>
        <c:varyColors val="0"/>
        <c:ser>
          <c:idx val="1"/>
          <c:order val="1"/>
          <c:tx>
            <c:strRef>
              <c:f>profitanalysis!$AI$4</c:f>
              <c:strCache>
                <c:ptCount val="1"/>
                <c:pt idx="0">
                  <c:v>PRFOIT</c:v>
                </c:pt>
              </c:strCache>
            </c:strRef>
          </c:tx>
          <c:spPr>
            <a:gradFill flip="none" rotWithShape="1">
              <a:gsLst>
                <a:gs pos="100000">
                  <a:schemeClr val="accent6">
                    <a:lumMod val="60000"/>
                    <a:lumOff val="40000"/>
                  </a:schemeClr>
                </a:gs>
                <a:gs pos="100000">
                  <a:schemeClr val="accent6">
                    <a:lumMod val="60000"/>
                    <a:lumOff val="40000"/>
                  </a:schemeClr>
                </a:gs>
                <a:gs pos="0">
                  <a:schemeClr val="accent6">
                    <a:lumMod val="20000"/>
                    <a:lumOff val="80000"/>
                  </a:schemeClr>
                </a:gs>
              </a:gsLst>
              <a:lin ang="2700000" scaled="1"/>
              <a:tileRect/>
            </a:gradFill>
            <a:ln>
              <a:noFill/>
            </a:ln>
            <a:effectLst/>
          </c:spPr>
          <c:dLbls>
            <c:delete val="1"/>
          </c:dLbls>
          <c:val>
            <c:numRef>
              <c:f>profitanalysis!$AI$5:$AI$16</c:f>
              <c:numCache>
                <c:formatCode>[&gt;=1000000]"$"0.0,,"M";[&gt;=1000]"$"0,"K";0</c:formatCode>
                <c:ptCount val="12"/>
                <c:pt idx="0">
                  <c:v>177715.37999999989</c:v>
                </c:pt>
                <c:pt idx="1">
                  <c:v>177756.56999999966</c:v>
                </c:pt>
                <c:pt idx="2">
                  <c:v>204515.86999999953</c:v>
                </c:pt>
                <c:pt idx="3">
                  <c:v>192977.03999999998</c:v>
                </c:pt>
                <c:pt idx="4">
                  <c:v>205642.8500000005</c:v>
                </c:pt>
                <c:pt idx="5">
                  <c:v>195489.95000000036</c:v>
                </c:pt>
                <c:pt idx="6">
                  <c:v>182737.19000000064</c:v>
                </c:pt>
                <c:pt idx="7">
                  <c:v>208599.36000000022</c:v>
                </c:pt>
                <c:pt idx="8">
                  <c:v>190084.82000000018</c:v>
                </c:pt>
                <c:pt idx="9">
                  <c:v>190384.21999999986</c:v>
                </c:pt>
                <c:pt idx="10">
                  <c:v>192253.24999999942</c:v>
                </c:pt>
                <c:pt idx="11">
                  <c:v>179355.56000000011</c:v>
                </c:pt>
              </c:numCache>
            </c:numRef>
          </c:val>
          <c:extLst>
            <c:ext xmlns:c16="http://schemas.microsoft.com/office/drawing/2014/chart" uri="{C3380CC4-5D6E-409C-BE32-E72D297353CC}">
              <c16:uniqueId val="{00000000-C6F6-4441-94DB-183285022EFE}"/>
            </c:ext>
          </c:extLst>
        </c:ser>
        <c:dLbls>
          <c:showLegendKey val="0"/>
          <c:showVal val="1"/>
          <c:showCatName val="0"/>
          <c:showSerName val="0"/>
          <c:showPercent val="0"/>
          <c:showBubbleSize val="0"/>
        </c:dLbls>
        <c:axId val="1628912863"/>
        <c:axId val="1628886463"/>
      </c:areaChart>
      <c:lineChart>
        <c:grouping val="standard"/>
        <c:varyColors val="0"/>
        <c:ser>
          <c:idx val="0"/>
          <c:order val="0"/>
          <c:tx>
            <c:strRef>
              <c:f>profitanalysis!$AH$4</c:f>
              <c:strCache>
                <c:ptCount val="1"/>
                <c:pt idx="0">
                  <c:v>PROFIT</c:v>
                </c:pt>
              </c:strCache>
            </c:strRef>
          </c:tx>
          <c:spPr>
            <a:ln w="31750" cap="rnd">
              <a:solidFill>
                <a:schemeClr val="accent1">
                  <a:lumMod val="75000"/>
                </a:schemeClr>
              </a:solidFill>
              <a:round/>
            </a:ln>
            <a:effectLst/>
          </c:spPr>
          <c:marker>
            <c:symbol val="circle"/>
            <c:size val="8"/>
            <c:spPr>
              <a:solidFill>
                <a:schemeClr val="accent1"/>
              </a:solidFill>
              <a:ln w="9525">
                <a:solidFill>
                  <a:schemeClr val="accent1"/>
                </a:solidFill>
              </a:ln>
              <a:effectLst/>
            </c:spPr>
          </c:marker>
          <c:dLbls>
            <c:dLbl>
              <c:idx val="0"/>
              <c:tx>
                <c:rich>
                  <a:bodyPr/>
                  <a:lstStyle/>
                  <a:p>
                    <a:fld id="{9B196B41-10C9-4058-9F17-CB0FB51822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6F6-4441-94DB-183285022EFE}"/>
                </c:ext>
              </c:extLst>
            </c:dLbl>
            <c:dLbl>
              <c:idx val="1"/>
              <c:tx>
                <c:rich>
                  <a:bodyPr/>
                  <a:lstStyle/>
                  <a:p>
                    <a:fld id="{C01BA2B0-2E43-4F82-9509-2257384071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6F6-4441-94DB-183285022EFE}"/>
                </c:ext>
              </c:extLst>
            </c:dLbl>
            <c:dLbl>
              <c:idx val="2"/>
              <c:tx>
                <c:rich>
                  <a:bodyPr/>
                  <a:lstStyle/>
                  <a:p>
                    <a:fld id="{F5EDB948-74B5-4FCB-99A6-E5C0064A3A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6F6-4441-94DB-183285022EFE}"/>
                </c:ext>
              </c:extLst>
            </c:dLbl>
            <c:dLbl>
              <c:idx val="3"/>
              <c:tx>
                <c:rich>
                  <a:bodyPr/>
                  <a:lstStyle/>
                  <a:p>
                    <a:fld id="{98063D35-C1D5-4D77-8E54-8F127EF693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6F6-4441-94DB-183285022EFE}"/>
                </c:ext>
              </c:extLst>
            </c:dLbl>
            <c:dLbl>
              <c:idx val="4"/>
              <c:layout>
                <c:manualLayout>
                  <c:x val="2.7777777777777779E-3"/>
                  <c:y val="-3.5572137213217163E-2"/>
                </c:manualLayout>
              </c:layout>
              <c:tx>
                <c:rich>
                  <a:bodyPr/>
                  <a:lstStyle/>
                  <a:p>
                    <a:fld id="{23F7D4D6-37B4-4F6C-9C2C-C76ECAEAFC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6F6-4441-94DB-183285022EFE}"/>
                </c:ext>
              </c:extLst>
            </c:dLbl>
            <c:dLbl>
              <c:idx val="5"/>
              <c:tx>
                <c:rich>
                  <a:bodyPr/>
                  <a:lstStyle/>
                  <a:p>
                    <a:fld id="{94C22D18-57CD-44F6-8C2A-B39F65211E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6F6-4441-94DB-183285022EFE}"/>
                </c:ext>
              </c:extLst>
            </c:dLbl>
            <c:dLbl>
              <c:idx val="6"/>
              <c:tx>
                <c:rich>
                  <a:bodyPr/>
                  <a:lstStyle/>
                  <a:p>
                    <a:fld id="{5D2D2D0E-54F4-4B86-A77B-DF107060F9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6F6-4441-94DB-183285022EFE}"/>
                </c:ext>
              </c:extLst>
            </c:dLbl>
            <c:dLbl>
              <c:idx val="7"/>
              <c:layout>
                <c:manualLayout>
                  <c:x val="-3.3333333333333333E-2"/>
                  <c:y val="-0.10810805059158832"/>
                </c:manualLayout>
              </c:layout>
              <c:tx>
                <c:rich>
                  <a:bodyPr/>
                  <a:lstStyle/>
                  <a:p>
                    <a:fld id="{C6A69848-0AF3-46BF-B9E8-AA2E7A05C4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6F6-4441-94DB-183285022EFE}"/>
                </c:ext>
              </c:extLst>
            </c:dLbl>
            <c:dLbl>
              <c:idx val="8"/>
              <c:layout>
                <c:manualLayout>
                  <c:x val="-4.1666666666666664E-2"/>
                  <c:y val="-0.11486480375356259"/>
                </c:manualLayout>
              </c:layout>
              <c:tx>
                <c:rich>
                  <a:bodyPr/>
                  <a:lstStyle/>
                  <a:p>
                    <a:fld id="{BBA9D1F8-02A5-4D35-BAF9-50F021F59D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6F6-4441-94DB-183285022EFE}"/>
                </c:ext>
              </c:extLst>
            </c:dLbl>
            <c:dLbl>
              <c:idx val="9"/>
              <c:layout>
                <c:manualLayout>
                  <c:x val="-3.0555555555555659E-2"/>
                  <c:y val="-0.12162155691553689"/>
                </c:manualLayout>
              </c:layout>
              <c:tx>
                <c:rich>
                  <a:bodyPr/>
                  <a:lstStyle/>
                  <a:p>
                    <a:fld id="{3B162422-6053-4941-99E0-E54744437A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6F6-4441-94DB-183285022EFE}"/>
                </c:ext>
              </c:extLst>
            </c:dLbl>
            <c:dLbl>
              <c:idx val="10"/>
              <c:layout>
                <c:manualLayout>
                  <c:x val="-1.6666666666666767E-2"/>
                  <c:y val="-0.12162155691553689"/>
                </c:manualLayout>
              </c:layout>
              <c:tx>
                <c:rich>
                  <a:bodyPr/>
                  <a:lstStyle/>
                  <a:p>
                    <a:fld id="{74196E07-8187-4FD3-9291-470853C433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6F6-4441-94DB-183285022EFE}"/>
                </c:ext>
              </c:extLst>
            </c:dLbl>
            <c:dLbl>
              <c:idx val="11"/>
              <c:layout>
                <c:manualLayout>
                  <c:x val="-1.0185067526415994E-16"/>
                  <c:y val="-0.11486480375356266"/>
                </c:manualLayout>
              </c:layout>
              <c:tx>
                <c:rich>
                  <a:bodyPr/>
                  <a:lstStyle/>
                  <a:p>
                    <a:fld id="{CB2763F4-F526-423B-9840-95A1571247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6F6-4441-94DB-183285022E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profitanalysis!$AG$5:$AG$16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profitanalysis!$AH$5:$AH$16</c:f>
              <c:numCache>
                <c:formatCode>[&gt;=1000000]"$"0.0,,"M";[&gt;=1000]"$"0,"K";0</c:formatCode>
                <c:ptCount val="12"/>
                <c:pt idx="0">
                  <c:v>177715.37999999989</c:v>
                </c:pt>
                <c:pt idx="1">
                  <c:v>177756.56999999966</c:v>
                </c:pt>
                <c:pt idx="2">
                  <c:v>204515.86999999953</c:v>
                </c:pt>
                <c:pt idx="3">
                  <c:v>192977.03999999998</c:v>
                </c:pt>
                <c:pt idx="4">
                  <c:v>205642.8500000005</c:v>
                </c:pt>
                <c:pt idx="5">
                  <c:v>195489.95000000036</c:v>
                </c:pt>
                <c:pt idx="6">
                  <c:v>182737.19000000064</c:v>
                </c:pt>
                <c:pt idx="7">
                  <c:v>208599.36000000022</c:v>
                </c:pt>
                <c:pt idx="8">
                  <c:v>190084.82000000018</c:v>
                </c:pt>
                <c:pt idx="9">
                  <c:v>190384.21999999986</c:v>
                </c:pt>
                <c:pt idx="10">
                  <c:v>192253.24999999942</c:v>
                </c:pt>
                <c:pt idx="11">
                  <c:v>179355.56000000011</c:v>
                </c:pt>
              </c:numCache>
            </c:numRef>
          </c:val>
          <c:smooth val="1"/>
          <c:extLst>
            <c:ext xmlns:c15="http://schemas.microsoft.com/office/drawing/2012/chart" uri="{02D57815-91ED-43cb-92C2-25804820EDAC}">
              <c15:datalabelsRange>
                <c15:f>profitanalysis!$AE$5:$AE$16</c15:f>
                <c15:dlblRangeCache>
                  <c:ptCount val="12"/>
                  <c:pt idx="1">
                    <c:v>0.02%</c:v>
                  </c:pt>
                  <c:pt idx="2">
                    <c:v>15.05%</c:v>
                  </c:pt>
                  <c:pt idx="3">
                    <c:v>-5.64%</c:v>
                  </c:pt>
                  <c:pt idx="4">
                    <c:v>6.56%</c:v>
                  </c:pt>
                  <c:pt idx="5">
                    <c:v>-4.94%</c:v>
                  </c:pt>
                  <c:pt idx="6">
                    <c:v>-6.52%</c:v>
                  </c:pt>
                  <c:pt idx="7">
                    <c:v>14.15%</c:v>
                  </c:pt>
                  <c:pt idx="8">
                    <c:v>-8.88%</c:v>
                  </c:pt>
                  <c:pt idx="9">
                    <c:v>0.16%</c:v>
                  </c:pt>
                  <c:pt idx="10">
                    <c:v>0.98%</c:v>
                  </c:pt>
                  <c:pt idx="11">
                    <c:v>-6.71%</c:v>
                  </c:pt>
                </c15:dlblRangeCache>
              </c15:datalabelsRange>
            </c:ext>
            <c:ext xmlns:c16="http://schemas.microsoft.com/office/drawing/2014/chart" uri="{C3380CC4-5D6E-409C-BE32-E72D297353CC}">
              <c16:uniqueId val="{0000000D-C6F6-4441-94DB-183285022EFE}"/>
            </c:ext>
          </c:extLst>
        </c:ser>
        <c:dLbls>
          <c:showLegendKey val="0"/>
          <c:showVal val="1"/>
          <c:showCatName val="0"/>
          <c:showSerName val="0"/>
          <c:showPercent val="0"/>
          <c:showBubbleSize val="0"/>
        </c:dLbls>
        <c:marker val="1"/>
        <c:smooth val="0"/>
        <c:axId val="1016732831"/>
        <c:axId val="1016733311"/>
      </c:lineChart>
      <c:catAx>
        <c:axId val="101673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75000"/>
                  </a:schemeClr>
                </a:solidFill>
                <a:latin typeface="+mn-lt"/>
                <a:ea typeface="+mn-ea"/>
                <a:cs typeface="+mn-cs"/>
              </a:defRPr>
            </a:pPr>
            <a:endParaRPr lang="en-US"/>
          </a:p>
        </c:txPr>
        <c:crossAx val="1016733311"/>
        <c:crosses val="autoZero"/>
        <c:auto val="1"/>
        <c:lblAlgn val="ctr"/>
        <c:lblOffset val="100"/>
        <c:noMultiLvlLbl val="0"/>
      </c:catAx>
      <c:valAx>
        <c:axId val="1016733311"/>
        <c:scaling>
          <c:orientation val="minMax"/>
        </c:scaling>
        <c:delete val="1"/>
        <c:axPos val="l"/>
        <c:numFmt formatCode="[&gt;=1000000]&quot;$&quot;0.0,,&quot;M&quot;;[&gt;=1000]&quot;$&quot;0,&quot;K&quot;;0" sourceLinked="1"/>
        <c:majorTickMark val="none"/>
        <c:minorTickMark val="none"/>
        <c:tickLblPos val="nextTo"/>
        <c:crossAx val="1016732831"/>
        <c:crosses val="autoZero"/>
        <c:crossBetween val="between"/>
      </c:valAx>
      <c:valAx>
        <c:axId val="1628886463"/>
        <c:scaling>
          <c:orientation val="minMax"/>
        </c:scaling>
        <c:delete val="1"/>
        <c:axPos val="r"/>
        <c:numFmt formatCode="[&gt;=1000000]&quot;$&quot;0.0,,&quot;M&quot;;[&gt;=1000]&quot;$&quot;0,&quot;K&quot;;0" sourceLinked="1"/>
        <c:majorTickMark val="out"/>
        <c:minorTickMark val="none"/>
        <c:tickLblPos val="nextTo"/>
        <c:crossAx val="1628912863"/>
        <c:crosses val="max"/>
        <c:crossBetween val="between"/>
      </c:valAx>
      <c:catAx>
        <c:axId val="1628912863"/>
        <c:scaling>
          <c:orientation val="minMax"/>
        </c:scaling>
        <c:delete val="1"/>
        <c:axPos val="b"/>
        <c:majorTickMark val="out"/>
        <c:minorTickMark val="none"/>
        <c:tickLblPos val="nextTo"/>
        <c:crossAx val="16288864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6">
                  <a:lumMod val="40000"/>
                  <a:lumOff val="60000"/>
                </a:schemeClr>
              </a:gs>
              <a:gs pos="63000">
                <a:schemeClr val="accent6">
                  <a:lumMod val="95000"/>
                  <a:lumOff val="5000"/>
                </a:schemeClr>
              </a:gs>
              <a:gs pos="0">
                <a:schemeClr val="accent6">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64008589859889"/>
          <c:y val="5.5782656557521591E-2"/>
          <c:w val="0.69803872377166454"/>
          <c:h val="0.91526998756212985"/>
        </c:manualLayout>
      </c:layout>
      <c:barChart>
        <c:barDir val="bar"/>
        <c:grouping val="clustered"/>
        <c:varyColors val="0"/>
        <c:ser>
          <c:idx val="0"/>
          <c:order val="0"/>
          <c:tx>
            <c:strRef>
              <c:f>profitanalysis!$AC$34</c:f>
              <c:strCache>
                <c:ptCount val="1"/>
                <c:pt idx="0">
                  <c:v>Total</c:v>
                </c:pt>
              </c:strCache>
            </c:strRef>
          </c:tx>
          <c:spPr>
            <a:gradFill flip="none" rotWithShape="1">
              <a:gsLst>
                <a:gs pos="100000">
                  <a:schemeClr val="accent6">
                    <a:lumMod val="40000"/>
                    <a:lumOff val="60000"/>
                  </a:schemeClr>
                </a:gs>
                <a:gs pos="63000">
                  <a:schemeClr val="accent6">
                    <a:lumMod val="95000"/>
                    <a:lumOff val="5000"/>
                  </a:schemeClr>
                </a:gs>
                <a:gs pos="0">
                  <a:schemeClr val="accent6">
                    <a:lumMod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profitanalysis!$AB$35:$AB$42</c:f>
              <c:strCache>
                <c:ptCount val="7"/>
                <c:pt idx="0">
                  <c:v>Saturday</c:v>
                </c:pt>
                <c:pt idx="1">
                  <c:v>Friday</c:v>
                </c:pt>
                <c:pt idx="2">
                  <c:v>Thursday</c:v>
                </c:pt>
                <c:pt idx="3">
                  <c:v>Wednesday</c:v>
                </c:pt>
                <c:pt idx="4">
                  <c:v>Tuesday</c:v>
                </c:pt>
                <c:pt idx="5">
                  <c:v>Monday</c:v>
                </c:pt>
                <c:pt idx="6">
                  <c:v>Sunday</c:v>
                </c:pt>
              </c:strCache>
            </c:strRef>
          </c:cat>
          <c:val>
            <c:numRef>
              <c:f>profitanalysis!$AC$35:$AC$42</c:f>
              <c:numCache>
                <c:formatCode>[&gt;=1000000]"$"0.0,,"M";[&gt;=1000]"$"0.0,"K";0</c:formatCode>
                <c:ptCount val="7"/>
                <c:pt idx="0">
                  <c:v>332458.74000000069</c:v>
                </c:pt>
                <c:pt idx="1">
                  <c:v>319564.96000000124</c:v>
                </c:pt>
                <c:pt idx="2">
                  <c:v>340665.27999999869</c:v>
                </c:pt>
                <c:pt idx="3">
                  <c:v>324189.0599999979</c:v>
                </c:pt>
                <c:pt idx="4">
                  <c:v>324340.81999999884</c:v>
                </c:pt>
                <c:pt idx="5">
                  <c:v>342889.85000000324</c:v>
                </c:pt>
                <c:pt idx="6">
                  <c:v>313403.34999999951</c:v>
                </c:pt>
              </c:numCache>
            </c:numRef>
          </c:val>
          <c:extLst>
            <c:ext xmlns:c16="http://schemas.microsoft.com/office/drawing/2014/chart" uri="{C3380CC4-5D6E-409C-BE32-E72D297353CC}">
              <c16:uniqueId val="{00000000-D298-4BCE-8528-9BD1D6D1F462}"/>
            </c:ext>
          </c:extLst>
        </c:ser>
        <c:dLbls>
          <c:dLblPos val="outEnd"/>
          <c:showLegendKey val="0"/>
          <c:showVal val="1"/>
          <c:showCatName val="0"/>
          <c:showSerName val="0"/>
          <c:showPercent val="0"/>
          <c:showBubbleSize val="0"/>
        </c:dLbls>
        <c:gapWidth val="182"/>
        <c:axId val="1628913823"/>
        <c:axId val="1628914303"/>
      </c:barChart>
      <c:catAx>
        <c:axId val="162891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1628914303"/>
        <c:crosses val="autoZero"/>
        <c:auto val="1"/>
        <c:lblAlgn val="ctr"/>
        <c:lblOffset val="100"/>
        <c:noMultiLvlLbl val="0"/>
      </c:catAx>
      <c:valAx>
        <c:axId val="1628914303"/>
        <c:scaling>
          <c:orientation val="minMax"/>
        </c:scaling>
        <c:delete val="1"/>
        <c:axPos val="b"/>
        <c:numFmt formatCode="[&gt;=1000000]&quot;$&quot;0.0,,&quot;M&quot;;[&gt;=1000]&quot;$&quot;0.0,&quot;K&quot;;0" sourceLinked="1"/>
        <c:majorTickMark val="none"/>
        <c:minorTickMark val="none"/>
        <c:tickLblPos val="nextTo"/>
        <c:crossAx val="162891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Copy.xlsx]profitanalysis!PivotTable14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5">
                  <a:lumMod val="40000"/>
                  <a:lumOff val="60000"/>
                </a:schemeClr>
              </a:gs>
              <a:gs pos="21000">
                <a:schemeClr val="accent6">
                  <a:lumMod val="10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95545015949886"/>
          <c:y val="6.5723825380687731E-2"/>
          <c:w val="0.59546367028571856"/>
          <c:h val="0.86855234923862457"/>
        </c:manualLayout>
      </c:layout>
      <c:barChart>
        <c:barDir val="bar"/>
        <c:grouping val="clustered"/>
        <c:varyColors val="0"/>
        <c:ser>
          <c:idx val="0"/>
          <c:order val="0"/>
          <c:tx>
            <c:strRef>
              <c:f>profitanalysis!$AR$4</c:f>
              <c:strCache>
                <c:ptCount val="1"/>
                <c:pt idx="0">
                  <c:v>Total</c:v>
                </c:pt>
              </c:strCache>
            </c:strRef>
          </c:tx>
          <c:spPr>
            <a:gradFill flip="none" rotWithShape="1">
              <a:gsLst>
                <a:gs pos="100000">
                  <a:schemeClr val="accent5">
                    <a:lumMod val="40000"/>
                    <a:lumOff val="60000"/>
                  </a:schemeClr>
                </a:gs>
                <a:gs pos="21000">
                  <a:schemeClr val="accent6">
                    <a:lumMod val="100000"/>
                  </a:schemeClr>
                </a:gs>
              </a:gsLst>
              <a:path path="circle">
                <a:fillToRect l="100000" b="100000"/>
              </a:path>
              <a:tileRect t="-100000" r="-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profitanalysis!$AQ$5:$AQ$10</c:f>
              <c:strCache>
                <c:ptCount val="5"/>
                <c:pt idx="0">
                  <c:v>Attorney Mist</c:v>
                </c:pt>
                <c:pt idx="1">
                  <c:v>Begin Brew</c:v>
                </c:pt>
                <c:pt idx="2">
                  <c:v>Common Splash</c:v>
                </c:pt>
                <c:pt idx="3">
                  <c:v>Eight Brew</c:v>
                </c:pt>
                <c:pt idx="4">
                  <c:v>Onto Dew</c:v>
                </c:pt>
              </c:strCache>
            </c:strRef>
          </c:cat>
          <c:val>
            <c:numRef>
              <c:f>profitanalysis!$AR$5:$AR$10</c:f>
              <c:numCache>
                <c:formatCode>[&gt;=1000000]"$"0.0,,"M";[&gt;=1000]"$"0.0,"K";0</c:formatCode>
                <c:ptCount val="5"/>
                <c:pt idx="0">
                  <c:v>78081.849999999962</c:v>
                </c:pt>
                <c:pt idx="1">
                  <c:v>95024.850000000035</c:v>
                </c:pt>
                <c:pt idx="2">
                  <c:v>84506.489999999932</c:v>
                </c:pt>
                <c:pt idx="3">
                  <c:v>82987.239999999991</c:v>
                </c:pt>
                <c:pt idx="4">
                  <c:v>83284.599999999977</c:v>
                </c:pt>
              </c:numCache>
            </c:numRef>
          </c:val>
          <c:extLst>
            <c:ext xmlns:c16="http://schemas.microsoft.com/office/drawing/2014/chart" uri="{C3380CC4-5D6E-409C-BE32-E72D297353CC}">
              <c16:uniqueId val="{00000000-48FA-4B04-948F-877658EF7442}"/>
            </c:ext>
          </c:extLst>
        </c:ser>
        <c:dLbls>
          <c:showLegendKey val="0"/>
          <c:showVal val="0"/>
          <c:showCatName val="0"/>
          <c:showSerName val="0"/>
          <c:showPercent val="0"/>
          <c:showBubbleSize val="0"/>
        </c:dLbls>
        <c:gapWidth val="219"/>
        <c:axId val="1619514223"/>
        <c:axId val="1619514703"/>
      </c:barChart>
      <c:catAx>
        <c:axId val="161951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619514703"/>
        <c:crosses val="autoZero"/>
        <c:auto val="1"/>
        <c:lblAlgn val="ctr"/>
        <c:lblOffset val="100"/>
        <c:noMultiLvlLbl val="0"/>
      </c:catAx>
      <c:valAx>
        <c:axId val="1619514703"/>
        <c:scaling>
          <c:orientation val="minMax"/>
        </c:scaling>
        <c:delete val="1"/>
        <c:axPos val="b"/>
        <c:numFmt formatCode="[&gt;=1000000]&quot;$&quot;0.0,,&quot;M&quot;;[&gt;=1000]&quot;$&quot;0.0,&quot;K&quot;;0" sourceLinked="1"/>
        <c:majorTickMark val="none"/>
        <c:minorTickMark val="none"/>
        <c:tickLblPos val="nextTo"/>
        <c:crossAx val="161951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964671836663756E-2"/>
          <c:y val="7.5560459355823839E-2"/>
          <c:w val="0.90796801824132745"/>
          <c:h val="0.89684740813777919"/>
        </c:manualLayout>
      </c:layout>
      <c:barChart>
        <c:barDir val="bar"/>
        <c:grouping val="clustered"/>
        <c:varyColors val="0"/>
        <c:ser>
          <c:idx val="0"/>
          <c:order val="0"/>
          <c:spPr>
            <a:solidFill>
              <a:srgbClr val="5B9BD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storeanalysis!$V$4:$V$13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storeanalysis!$W$4:$W$13</c:f>
              <c:numCache>
                <c:formatCode>00.0,"K"</c:formatCode>
                <c:ptCount val="10"/>
                <c:pt idx="0">
                  <c:v>53629.420000000042</c:v>
                </c:pt>
                <c:pt idx="1">
                  <c:v>51363.059999999823</c:v>
                </c:pt>
                <c:pt idx="2">
                  <c:v>-175090.07000000007</c:v>
                </c:pt>
                <c:pt idx="3">
                  <c:v>119210.15000000014</c:v>
                </c:pt>
                <c:pt idx="4">
                  <c:v>-98604.699999999953</c:v>
                </c:pt>
                <c:pt idx="5">
                  <c:v>-64831.099999999977</c:v>
                </c:pt>
                <c:pt idx="6">
                  <c:v>125664.25999999989</c:v>
                </c:pt>
                <c:pt idx="7">
                  <c:v>130237.81999999995</c:v>
                </c:pt>
                <c:pt idx="8">
                  <c:v>-74323</c:v>
                </c:pt>
                <c:pt idx="9">
                  <c:v>124563.63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03CD-469A-B89C-8F8B370B631E}"/>
            </c:ext>
          </c:extLst>
        </c:ser>
        <c:dLbls>
          <c:dLblPos val="outEnd"/>
          <c:showLegendKey val="0"/>
          <c:showVal val="1"/>
          <c:showCatName val="0"/>
          <c:showSerName val="0"/>
          <c:showPercent val="0"/>
          <c:showBubbleSize val="0"/>
        </c:dLbls>
        <c:gapWidth val="122"/>
        <c:overlap val="3"/>
        <c:axId val="599422271"/>
        <c:axId val="599421311"/>
      </c:barChart>
      <c:catAx>
        <c:axId val="599422271"/>
        <c:scaling>
          <c:orientation val="minMax"/>
        </c:scaling>
        <c:delete val="1"/>
        <c:axPos val="l"/>
        <c:numFmt formatCode="General" sourceLinked="1"/>
        <c:majorTickMark val="none"/>
        <c:minorTickMark val="none"/>
        <c:tickLblPos val="nextTo"/>
        <c:crossAx val="599421311"/>
        <c:crosses val="autoZero"/>
        <c:auto val="1"/>
        <c:lblAlgn val="ctr"/>
        <c:lblOffset val="100"/>
        <c:noMultiLvlLbl val="0"/>
      </c:catAx>
      <c:valAx>
        <c:axId val="599421311"/>
        <c:scaling>
          <c:orientation val="minMax"/>
        </c:scaling>
        <c:delete val="1"/>
        <c:axPos val="b"/>
        <c:numFmt formatCode="00.0,&quot;K&quot;" sourceLinked="1"/>
        <c:majorTickMark val="none"/>
        <c:minorTickMark val="none"/>
        <c:tickLblPos val="nextTo"/>
        <c:crossAx val="59942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83889416676466E-2"/>
          <c:y val="3.0349363097868332E-2"/>
          <c:w val="0.88903222116664704"/>
          <c:h val="0.96137353787544033"/>
        </c:manualLayout>
      </c:layout>
      <c:barChart>
        <c:barDir val="bar"/>
        <c:grouping val="clustered"/>
        <c:varyColors val="0"/>
        <c:ser>
          <c:idx val="0"/>
          <c:order val="0"/>
          <c:spPr>
            <a:solidFill>
              <a:srgbClr val="00B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storeanalysis!$X$4:$X$13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storeanalysis!$Y$4:$Y$13</c:f>
              <c:numCache>
                <c:formatCode>0.0%</c:formatCode>
                <c:ptCount val="10"/>
                <c:pt idx="0">
                  <c:v>0.10629116523173041</c:v>
                </c:pt>
                <c:pt idx="1">
                  <c:v>0.10575407054792792</c:v>
                </c:pt>
                <c:pt idx="2">
                  <c:v>-0.24616506226178217</c:v>
                </c:pt>
                <c:pt idx="3">
                  <c:v>0.26731250476502305</c:v>
                </c:pt>
                <c:pt idx="4">
                  <c:v>-0.15261995418524016</c:v>
                </c:pt>
                <c:pt idx="5">
                  <c:v>-0.10781697202926288</c:v>
                </c:pt>
                <c:pt idx="6">
                  <c:v>0.29960651453993598</c:v>
                </c:pt>
                <c:pt idx="7">
                  <c:v>0.31143515086588253</c:v>
                </c:pt>
                <c:pt idx="8">
                  <c:v>-0.12376646517127109</c:v>
                </c:pt>
                <c:pt idx="9">
                  <c:v>0.29516678475205621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C54E-4F84-A462-FDA7DA9B95F2}"/>
            </c:ext>
          </c:extLst>
        </c:ser>
        <c:dLbls>
          <c:dLblPos val="outEnd"/>
          <c:showLegendKey val="0"/>
          <c:showVal val="1"/>
          <c:showCatName val="0"/>
          <c:showSerName val="0"/>
          <c:showPercent val="0"/>
          <c:showBubbleSize val="0"/>
        </c:dLbls>
        <c:gapWidth val="141"/>
        <c:axId val="593620767"/>
        <c:axId val="593619807"/>
      </c:barChart>
      <c:catAx>
        <c:axId val="593620767"/>
        <c:scaling>
          <c:orientation val="minMax"/>
        </c:scaling>
        <c:delete val="1"/>
        <c:axPos val="l"/>
        <c:numFmt formatCode="General" sourceLinked="1"/>
        <c:majorTickMark val="none"/>
        <c:minorTickMark val="none"/>
        <c:tickLblPos val="nextTo"/>
        <c:crossAx val="593619807"/>
        <c:crosses val="autoZero"/>
        <c:auto val="1"/>
        <c:lblAlgn val="ctr"/>
        <c:lblOffset val="100"/>
        <c:noMultiLvlLbl val="0"/>
      </c:catAx>
      <c:valAx>
        <c:axId val="593619807"/>
        <c:scaling>
          <c:orientation val="minMax"/>
        </c:scaling>
        <c:delete val="1"/>
        <c:axPos val="b"/>
        <c:numFmt formatCode="0.0%" sourceLinked="1"/>
        <c:majorTickMark val="none"/>
        <c:minorTickMark val="none"/>
        <c:tickLblPos val="nextTo"/>
        <c:crossAx val="59362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401936119033696"/>
          <c:y val="6.802888963357949E-2"/>
          <c:w val="0.62598062514912911"/>
          <c:h val="0.88078328989045107"/>
        </c:manualLayout>
      </c:layout>
      <c:barChart>
        <c:barDir val="bar"/>
        <c:grouping val="clustered"/>
        <c:varyColors val="0"/>
        <c:ser>
          <c:idx val="0"/>
          <c:order val="0"/>
          <c:tx>
            <c:strRef>
              <c:f>storeanalysis!$T$3</c:f>
              <c:strCache>
                <c:ptCount val="1"/>
                <c:pt idx="0">
                  <c:v>TOTAL REVANUE</c:v>
                </c:pt>
              </c:strCache>
            </c:strRef>
          </c:tx>
          <c:spPr>
            <a:gradFill flip="none" rotWithShape="1">
              <a:gsLst>
                <a:gs pos="0">
                  <a:srgbClr val="92D050"/>
                </a:gs>
                <a:gs pos="12000">
                  <a:srgbClr val="92D050"/>
                </a:gs>
                <a:gs pos="100000">
                  <a:srgbClr val="00A44A"/>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storeanalysis!$S$4:$S$13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storeanalysis!$T$4:$T$13</c:f>
              <c:numCache>
                <c:formatCode>00.0,"K"</c:formatCode>
                <c:ptCount val="10"/>
                <c:pt idx="0">
                  <c:v>558181.42000000004</c:v>
                </c:pt>
                <c:pt idx="1">
                  <c:v>537047.05999999982</c:v>
                </c:pt>
                <c:pt idx="2">
                  <c:v>536180.92999999993</c:v>
                </c:pt>
                <c:pt idx="3">
                  <c:v>565168.15000000014</c:v>
                </c:pt>
                <c:pt idx="4">
                  <c:v>547475.30000000005</c:v>
                </c:pt>
                <c:pt idx="5">
                  <c:v>536475.9</c:v>
                </c:pt>
                <c:pt idx="6">
                  <c:v>545095.25999999989</c:v>
                </c:pt>
                <c:pt idx="7">
                  <c:v>548423.81999999995</c:v>
                </c:pt>
                <c:pt idx="8">
                  <c:v>526187</c:v>
                </c:pt>
                <c:pt idx="9">
                  <c:v>546574.63</c:v>
                </c:pt>
              </c:numCache>
            </c:numRef>
          </c:val>
          <c:extLst>
            <c:ext xmlns:c16="http://schemas.microsoft.com/office/drawing/2014/chart" uri="{C3380CC4-5D6E-409C-BE32-E72D297353CC}">
              <c16:uniqueId val="{00000000-D755-419F-BDA3-1A3FC34980C4}"/>
            </c:ext>
          </c:extLst>
        </c:ser>
        <c:ser>
          <c:idx val="1"/>
          <c:order val="1"/>
          <c:tx>
            <c:strRef>
              <c:f>storeanalysis!$U$3</c:f>
              <c:strCache>
                <c:ptCount val="1"/>
                <c:pt idx="0">
                  <c:v>TOTAL TARGET</c:v>
                </c:pt>
              </c:strCache>
            </c:strRef>
          </c:tx>
          <c:spPr>
            <a:gradFill flip="none" rotWithShape="1">
              <a:gsLst>
                <a:gs pos="100000">
                  <a:schemeClr val="accent1">
                    <a:lumMod val="40000"/>
                    <a:lumOff val="60000"/>
                  </a:schemeClr>
                </a:gs>
                <a:gs pos="38000">
                  <a:schemeClr val="accent1">
                    <a:lumMod val="95000"/>
                    <a:lumOff val="5000"/>
                  </a:schemeClr>
                </a:gs>
                <a:gs pos="9000">
                  <a:schemeClr val="accent1">
                    <a:lumMod val="60000"/>
                  </a:schemeClr>
                </a:gs>
              </a:gsLst>
              <a:path path="circle">
                <a:fillToRect l="100000" b="100000"/>
              </a:path>
              <a:tileRect t="-100000" r="-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storeanalysis!$S$4:$S$13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storeanalysis!$U$4:$U$13</c:f>
              <c:numCache>
                <c:formatCode>00.0,"K"</c:formatCode>
                <c:ptCount val="10"/>
                <c:pt idx="0">
                  <c:v>504552</c:v>
                </c:pt>
                <c:pt idx="1">
                  <c:v>485684</c:v>
                </c:pt>
                <c:pt idx="2">
                  <c:v>711271</c:v>
                </c:pt>
                <c:pt idx="3">
                  <c:v>445958</c:v>
                </c:pt>
                <c:pt idx="4">
                  <c:v>646080</c:v>
                </c:pt>
                <c:pt idx="5">
                  <c:v>601307</c:v>
                </c:pt>
                <c:pt idx="6">
                  <c:v>419431</c:v>
                </c:pt>
                <c:pt idx="7">
                  <c:v>418186</c:v>
                </c:pt>
                <c:pt idx="8">
                  <c:v>600510</c:v>
                </c:pt>
                <c:pt idx="9">
                  <c:v>422011</c:v>
                </c:pt>
              </c:numCache>
            </c:numRef>
          </c:val>
          <c:extLst>
            <c:ext xmlns:c16="http://schemas.microsoft.com/office/drawing/2014/chart" uri="{C3380CC4-5D6E-409C-BE32-E72D297353CC}">
              <c16:uniqueId val="{00000001-D755-419F-BDA3-1A3FC34980C4}"/>
            </c:ext>
          </c:extLst>
        </c:ser>
        <c:dLbls>
          <c:dLblPos val="outEnd"/>
          <c:showLegendKey val="0"/>
          <c:showVal val="1"/>
          <c:showCatName val="0"/>
          <c:showSerName val="0"/>
          <c:showPercent val="0"/>
          <c:showBubbleSize val="0"/>
        </c:dLbls>
        <c:gapWidth val="182"/>
        <c:axId val="594740191"/>
        <c:axId val="594732991"/>
      </c:barChart>
      <c:catAx>
        <c:axId val="59474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70C0"/>
                </a:solidFill>
                <a:latin typeface="Segoe UI Semibold" panose="020B0702040204020203" pitchFamily="34" charset="0"/>
                <a:ea typeface="+mn-ea"/>
                <a:cs typeface="Segoe UI Semibold" panose="020B0702040204020203" pitchFamily="34" charset="0"/>
              </a:defRPr>
            </a:pPr>
            <a:endParaRPr lang="en-US"/>
          </a:p>
        </c:txPr>
        <c:crossAx val="594732991"/>
        <c:crosses val="autoZero"/>
        <c:auto val="1"/>
        <c:lblAlgn val="ctr"/>
        <c:lblOffset val="100"/>
        <c:noMultiLvlLbl val="0"/>
      </c:catAx>
      <c:valAx>
        <c:axId val="594732991"/>
        <c:scaling>
          <c:orientation val="minMax"/>
        </c:scaling>
        <c:delete val="1"/>
        <c:axPos val="b"/>
        <c:numFmt formatCode="00.0,&quot;K&quot;" sourceLinked="1"/>
        <c:majorTickMark val="none"/>
        <c:minorTickMark val="none"/>
        <c:tickLblPos val="nextTo"/>
        <c:crossAx val="594740191"/>
        <c:crosses val="autoZero"/>
        <c:crossBetween val="between"/>
      </c:valAx>
      <c:spPr>
        <a:noFill/>
        <a:ln>
          <a:noFill/>
        </a:ln>
        <a:effectLst/>
      </c:spPr>
    </c:plotArea>
    <c:legend>
      <c:legendPos val="t"/>
      <c:layout>
        <c:manualLayout>
          <c:xMode val="edge"/>
          <c:yMode val="edge"/>
          <c:x val="0"/>
          <c:y val="0"/>
          <c:w val="1"/>
          <c:h val="6.910933645061803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storeanalysis!$V$4:$V$13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storeanalysis!$W$4:$W$13</c:f>
              <c:numCache>
                <c:formatCode>00.0,"K"</c:formatCode>
                <c:ptCount val="10"/>
                <c:pt idx="0">
                  <c:v>53629.420000000042</c:v>
                </c:pt>
                <c:pt idx="1">
                  <c:v>51363.059999999823</c:v>
                </c:pt>
                <c:pt idx="2">
                  <c:v>-175090.07000000007</c:v>
                </c:pt>
                <c:pt idx="3">
                  <c:v>119210.15000000014</c:v>
                </c:pt>
                <c:pt idx="4">
                  <c:v>-98604.699999999953</c:v>
                </c:pt>
                <c:pt idx="5">
                  <c:v>-64831.099999999977</c:v>
                </c:pt>
                <c:pt idx="6">
                  <c:v>125664.25999999989</c:v>
                </c:pt>
                <c:pt idx="7">
                  <c:v>130237.81999999995</c:v>
                </c:pt>
                <c:pt idx="8">
                  <c:v>-74323</c:v>
                </c:pt>
                <c:pt idx="9">
                  <c:v>124563.63</c:v>
                </c:pt>
              </c:numCache>
            </c:numRef>
          </c:val>
          <c:extLst>
            <c:ext xmlns:c16="http://schemas.microsoft.com/office/drawing/2014/chart" uri="{C3380CC4-5D6E-409C-BE32-E72D297353CC}">
              <c16:uniqueId val="{00000000-5BF2-4759-B2B9-EEE3CED13A8B}"/>
            </c:ext>
          </c:extLst>
        </c:ser>
        <c:dLbls>
          <c:showLegendKey val="0"/>
          <c:showVal val="0"/>
          <c:showCatName val="0"/>
          <c:showSerName val="0"/>
          <c:showPercent val="0"/>
          <c:showBubbleSize val="0"/>
        </c:dLbls>
        <c:gapWidth val="182"/>
        <c:axId val="599422271"/>
        <c:axId val="599421311"/>
      </c:barChart>
      <c:catAx>
        <c:axId val="59942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21311"/>
        <c:crosses val="autoZero"/>
        <c:auto val="1"/>
        <c:lblAlgn val="ctr"/>
        <c:lblOffset val="100"/>
        <c:noMultiLvlLbl val="0"/>
      </c:catAx>
      <c:valAx>
        <c:axId val="599421311"/>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2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storeanalysis!$X$4:$X$13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storeanalysis!$Y$4:$Y$13</c:f>
              <c:numCache>
                <c:formatCode>0.0%</c:formatCode>
                <c:ptCount val="10"/>
                <c:pt idx="0">
                  <c:v>0.10629116523173041</c:v>
                </c:pt>
                <c:pt idx="1">
                  <c:v>0.10575407054792792</c:v>
                </c:pt>
                <c:pt idx="2">
                  <c:v>-0.24616506226178217</c:v>
                </c:pt>
                <c:pt idx="3">
                  <c:v>0.26731250476502305</c:v>
                </c:pt>
                <c:pt idx="4">
                  <c:v>-0.15261995418524016</c:v>
                </c:pt>
                <c:pt idx="5">
                  <c:v>-0.10781697202926288</c:v>
                </c:pt>
                <c:pt idx="6">
                  <c:v>0.29960651453993598</c:v>
                </c:pt>
                <c:pt idx="7">
                  <c:v>0.31143515086588253</c:v>
                </c:pt>
                <c:pt idx="8">
                  <c:v>-0.12376646517127109</c:v>
                </c:pt>
                <c:pt idx="9">
                  <c:v>0.29516678475205621</c:v>
                </c:pt>
              </c:numCache>
            </c:numRef>
          </c:val>
          <c:extLst>
            <c:ext xmlns:c16="http://schemas.microsoft.com/office/drawing/2014/chart" uri="{C3380CC4-5D6E-409C-BE32-E72D297353CC}">
              <c16:uniqueId val="{00000000-091B-423A-8CA2-94A04FBE129D}"/>
            </c:ext>
          </c:extLst>
        </c:ser>
        <c:dLbls>
          <c:showLegendKey val="0"/>
          <c:showVal val="0"/>
          <c:showCatName val="0"/>
          <c:showSerName val="0"/>
          <c:showPercent val="0"/>
          <c:showBubbleSize val="0"/>
        </c:dLbls>
        <c:gapWidth val="182"/>
        <c:axId val="593620767"/>
        <c:axId val="593619807"/>
      </c:barChart>
      <c:catAx>
        <c:axId val="59362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19807"/>
        <c:crosses val="autoZero"/>
        <c:auto val="1"/>
        <c:lblAlgn val="ctr"/>
        <c:lblOffset val="100"/>
        <c:noMultiLvlLbl val="0"/>
      </c:catAx>
      <c:valAx>
        <c:axId val="5936198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2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storeanalysis!$T$3</c:f>
              <c:strCache>
                <c:ptCount val="1"/>
                <c:pt idx="0">
                  <c:v>TOTAL REVANUE</c:v>
                </c:pt>
              </c:strCache>
            </c:strRef>
          </c:tx>
          <c:spPr>
            <a:solidFill>
              <a:schemeClr val="accent1"/>
            </a:solidFill>
            <a:ln>
              <a:noFill/>
            </a:ln>
            <a:effectLst/>
          </c:spPr>
          <c:invertIfNegative val="0"/>
          <c:cat>
            <c:strRef>
              <c:f>storeanalysis!$S$4:$S$13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storeanalysis!$T$4:$T$13</c:f>
              <c:numCache>
                <c:formatCode>00.0,"K"</c:formatCode>
                <c:ptCount val="10"/>
                <c:pt idx="0">
                  <c:v>558181.42000000004</c:v>
                </c:pt>
                <c:pt idx="1">
                  <c:v>537047.05999999982</c:v>
                </c:pt>
                <c:pt idx="2">
                  <c:v>536180.92999999993</c:v>
                </c:pt>
                <c:pt idx="3">
                  <c:v>565168.15000000014</c:v>
                </c:pt>
                <c:pt idx="4">
                  <c:v>547475.30000000005</c:v>
                </c:pt>
                <c:pt idx="5">
                  <c:v>536475.9</c:v>
                </c:pt>
                <c:pt idx="6">
                  <c:v>545095.25999999989</c:v>
                </c:pt>
                <c:pt idx="7">
                  <c:v>548423.81999999995</c:v>
                </c:pt>
                <c:pt idx="8">
                  <c:v>526187</c:v>
                </c:pt>
                <c:pt idx="9">
                  <c:v>546574.63</c:v>
                </c:pt>
              </c:numCache>
            </c:numRef>
          </c:val>
          <c:extLst>
            <c:ext xmlns:c16="http://schemas.microsoft.com/office/drawing/2014/chart" uri="{C3380CC4-5D6E-409C-BE32-E72D297353CC}">
              <c16:uniqueId val="{00000000-8124-42A6-805E-AE882FD3B364}"/>
            </c:ext>
          </c:extLst>
        </c:ser>
        <c:ser>
          <c:idx val="1"/>
          <c:order val="1"/>
          <c:tx>
            <c:strRef>
              <c:f>storeanalysis!$U$3</c:f>
              <c:strCache>
                <c:ptCount val="1"/>
                <c:pt idx="0">
                  <c:v>TOTAL TARGET</c:v>
                </c:pt>
              </c:strCache>
            </c:strRef>
          </c:tx>
          <c:spPr>
            <a:solidFill>
              <a:schemeClr val="accent2"/>
            </a:solidFill>
            <a:ln>
              <a:noFill/>
            </a:ln>
            <a:effectLst/>
          </c:spPr>
          <c:invertIfNegative val="0"/>
          <c:cat>
            <c:strRef>
              <c:f>storeanalysis!$S$4:$S$13</c:f>
              <c:strCache>
                <c:ptCount val="10"/>
                <c:pt idx="0">
                  <c:v>Valdez</c:v>
                </c:pt>
                <c:pt idx="1">
                  <c:v>Thomas</c:v>
                </c:pt>
                <c:pt idx="2">
                  <c:v>Novak PLC</c:v>
                </c:pt>
                <c:pt idx="3">
                  <c:v>Myers-Lopez</c:v>
                </c:pt>
                <c:pt idx="4">
                  <c:v>Miller</c:v>
                </c:pt>
                <c:pt idx="5">
                  <c:v>Martinez</c:v>
                </c:pt>
                <c:pt idx="6">
                  <c:v>Lopez</c:v>
                </c:pt>
                <c:pt idx="7">
                  <c:v>Lee-Myers</c:v>
                </c:pt>
                <c:pt idx="8">
                  <c:v>Berg-Trujillo</c:v>
                </c:pt>
                <c:pt idx="9">
                  <c:v>Barron-Fleming</c:v>
                </c:pt>
              </c:strCache>
            </c:strRef>
          </c:cat>
          <c:val>
            <c:numRef>
              <c:f>storeanalysis!$U$4:$U$13</c:f>
              <c:numCache>
                <c:formatCode>00.0,"K"</c:formatCode>
                <c:ptCount val="10"/>
                <c:pt idx="0">
                  <c:v>504552</c:v>
                </c:pt>
                <c:pt idx="1">
                  <c:v>485684</c:v>
                </c:pt>
                <c:pt idx="2">
                  <c:v>711271</c:v>
                </c:pt>
                <c:pt idx="3">
                  <c:v>445958</c:v>
                </c:pt>
                <c:pt idx="4">
                  <c:v>646080</c:v>
                </c:pt>
                <c:pt idx="5">
                  <c:v>601307</c:v>
                </c:pt>
                <c:pt idx="6">
                  <c:v>419431</c:v>
                </c:pt>
                <c:pt idx="7">
                  <c:v>418186</c:v>
                </c:pt>
                <c:pt idx="8">
                  <c:v>600510</c:v>
                </c:pt>
                <c:pt idx="9">
                  <c:v>422011</c:v>
                </c:pt>
              </c:numCache>
            </c:numRef>
          </c:val>
          <c:extLst>
            <c:ext xmlns:c16="http://schemas.microsoft.com/office/drawing/2014/chart" uri="{C3380CC4-5D6E-409C-BE32-E72D297353CC}">
              <c16:uniqueId val="{00000001-8124-42A6-805E-AE882FD3B364}"/>
            </c:ext>
          </c:extLst>
        </c:ser>
        <c:dLbls>
          <c:showLegendKey val="0"/>
          <c:showVal val="0"/>
          <c:showCatName val="0"/>
          <c:showSerName val="0"/>
          <c:showPercent val="0"/>
          <c:showBubbleSize val="0"/>
        </c:dLbls>
        <c:gapWidth val="182"/>
        <c:axId val="594740191"/>
        <c:axId val="594732991"/>
      </c:barChart>
      <c:catAx>
        <c:axId val="59474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32991"/>
        <c:crosses val="autoZero"/>
        <c:auto val="1"/>
        <c:lblAlgn val="ctr"/>
        <c:lblOffset val="100"/>
        <c:noMultiLvlLbl val="0"/>
      </c:catAx>
      <c:valAx>
        <c:axId val="594732991"/>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40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01210262851947"/>
          <c:y val="5.2629024853251327E-2"/>
          <c:w val="0.87858591643840922"/>
          <c:h val="0.74323149095882612"/>
        </c:manualLayout>
      </c:layout>
      <c:lineChart>
        <c:grouping val="standard"/>
        <c:varyColors val="0"/>
        <c:ser>
          <c:idx val="0"/>
          <c:order val="0"/>
          <c:tx>
            <c:strRef>
              <c:f>'time analysis'!$F$3</c:f>
              <c:strCache>
                <c:ptCount val="1"/>
                <c:pt idx="0">
                  <c:v>TOTOAL REVENUE </c:v>
                </c:pt>
              </c:strCache>
            </c:strRef>
          </c:tx>
          <c:spPr>
            <a:ln w="41275" cap="rnd">
              <a:solidFill>
                <a:srgbClr val="00B050">
                  <a:alpha val="95000"/>
                </a:srgbClr>
              </a:solidFill>
              <a:round/>
            </a:ln>
            <a:effectLst>
              <a:softEdge rad="0"/>
            </a:effectLst>
          </c:spPr>
          <c:marker>
            <c:symbol val="none"/>
          </c:marker>
          <c:dLbls>
            <c:dLbl>
              <c:idx val="0"/>
              <c:tx>
                <c:rich>
                  <a:bodyPr/>
                  <a:lstStyle/>
                  <a:p>
                    <a:fld id="{5ED49983-B5FF-432B-B5E0-1D1335899C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D57-430D-8BCA-4EEA67797466}"/>
                </c:ext>
              </c:extLst>
            </c:dLbl>
            <c:dLbl>
              <c:idx val="1"/>
              <c:tx>
                <c:rich>
                  <a:bodyPr/>
                  <a:lstStyle/>
                  <a:p>
                    <a:fld id="{81F7284E-A938-4074-A2E2-136A51264C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D57-430D-8BCA-4EEA67797466}"/>
                </c:ext>
              </c:extLst>
            </c:dLbl>
            <c:dLbl>
              <c:idx val="2"/>
              <c:tx>
                <c:rich>
                  <a:bodyPr/>
                  <a:lstStyle/>
                  <a:p>
                    <a:fld id="{E3CCD888-0F4C-4A16-A167-499A5A22B1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D57-430D-8BCA-4EEA67797466}"/>
                </c:ext>
              </c:extLst>
            </c:dLbl>
            <c:dLbl>
              <c:idx val="3"/>
              <c:tx>
                <c:rich>
                  <a:bodyPr/>
                  <a:lstStyle/>
                  <a:p>
                    <a:fld id="{461F3709-EA63-4F10-9992-D4385AB37A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D57-430D-8BCA-4EEA67797466}"/>
                </c:ext>
              </c:extLst>
            </c:dLbl>
            <c:dLbl>
              <c:idx val="4"/>
              <c:tx>
                <c:rich>
                  <a:bodyPr/>
                  <a:lstStyle/>
                  <a:p>
                    <a:fld id="{DD4FE5E1-92B6-4889-8056-A3BBA23D0A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D57-430D-8BCA-4EEA67797466}"/>
                </c:ext>
              </c:extLst>
            </c:dLbl>
            <c:dLbl>
              <c:idx val="5"/>
              <c:tx>
                <c:rich>
                  <a:bodyPr/>
                  <a:lstStyle/>
                  <a:p>
                    <a:fld id="{5D1058D6-02CD-48F0-BC3C-2AC8FA3345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D57-430D-8BCA-4EEA67797466}"/>
                </c:ext>
              </c:extLst>
            </c:dLbl>
            <c:dLbl>
              <c:idx val="6"/>
              <c:tx>
                <c:rich>
                  <a:bodyPr/>
                  <a:lstStyle/>
                  <a:p>
                    <a:fld id="{75A10482-3F72-4B1A-9D3D-268C5819AC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D57-430D-8BCA-4EEA67797466}"/>
                </c:ext>
              </c:extLst>
            </c:dLbl>
            <c:dLbl>
              <c:idx val="7"/>
              <c:tx>
                <c:rich>
                  <a:bodyPr/>
                  <a:lstStyle/>
                  <a:p>
                    <a:fld id="{2BBB3A34-8779-48A5-B034-784D70A19B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D57-430D-8BCA-4EEA67797466}"/>
                </c:ext>
              </c:extLst>
            </c:dLbl>
            <c:dLbl>
              <c:idx val="8"/>
              <c:tx>
                <c:rich>
                  <a:bodyPr/>
                  <a:lstStyle/>
                  <a:p>
                    <a:fld id="{9EF315B4-E9F2-4636-BA19-01D0725CEF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D57-430D-8BCA-4EEA67797466}"/>
                </c:ext>
              </c:extLst>
            </c:dLbl>
            <c:dLbl>
              <c:idx val="9"/>
              <c:tx>
                <c:rich>
                  <a:bodyPr/>
                  <a:lstStyle/>
                  <a:p>
                    <a:fld id="{708B30FC-9388-4BC2-827E-B9223E8F77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D57-430D-8BCA-4EEA67797466}"/>
                </c:ext>
              </c:extLst>
            </c:dLbl>
            <c:dLbl>
              <c:idx val="10"/>
              <c:tx>
                <c:rich>
                  <a:bodyPr/>
                  <a:lstStyle/>
                  <a:p>
                    <a:fld id="{60AA6C55-87D1-4816-96EB-4830ACFBA1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D57-430D-8BCA-4EEA67797466}"/>
                </c:ext>
              </c:extLst>
            </c:dLbl>
            <c:dLbl>
              <c:idx val="11"/>
              <c:tx>
                <c:rich>
                  <a:bodyPr/>
                  <a:lstStyle/>
                  <a:p>
                    <a:fld id="{59C8FB69-DF42-47B0-932A-19F3C6862E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D57-430D-8BCA-4EEA6779746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'time analysis'!$E$4:$E$15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analysis'!$F$4:$F$15</c:f>
              <c:numCache>
                <c:formatCode>[&gt;=1000000]"$"0.0,,"M";[&gt;=1000]"$"0.0,"K";0</c:formatCode>
                <c:ptCount val="12"/>
                <c:pt idx="0">
                  <c:v>44298.269999999975</c:v>
                </c:pt>
                <c:pt idx="1">
                  <c:v>38941.549999999996</c:v>
                </c:pt>
                <c:pt idx="2">
                  <c:v>50074.630000000019</c:v>
                </c:pt>
                <c:pt idx="3">
                  <c:v>43948.810000000005</c:v>
                </c:pt>
                <c:pt idx="4">
                  <c:v>48923.540000000008</c:v>
                </c:pt>
                <c:pt idx="5">
                  <c:v>41951.799999999988</c:v>
                </c:pt>
                <c:pt idx="6">
                  <c:v>44768.409999999982</c:v>
                </c:pt>
                <c:pt idx="7">
                  <c:v>51449.09</c:v>
                </c:pt>
                <c:pt idx="8">
                  <c:v>54290.479999999996</c:v>
                </c:pt>
                <c:pt idx="9">
                  <c:v>41606.340000000033</c:v>
                </c:pt>
                <c:pt idx="10">
                  <c:v>40990.89999999998</c:v>
                </c:pt>
                <c:pt idx="11">
                  <c:v>46231.48</c:v>
                </c:pt>
              </c:numCache>
            </c:numRef>
          </c:val>
          <c:smooth val="1"/>
          <c:extLst>
            <c:ext xmlns:c15="http://schemas.microsoft.com/office/drawing/2012/chart" uri="{02D57815-91ED-43cb-92C2-25804820EDAC}">
              <c15:datalabelsRange>
                <c15:f>'time analysis'!$H$4:$H$15</c15:f>
                <c15:dlblRangeCache>
                  <c:ptCount val="12"/>
                  <c:pt idx="7">
                    <c:v>$51.4K</c:v>
                  </c:pt>
                  <c:pt idx="8">
                    <c:v>54604</c:v>
                  </c:pt>
                </c15:dlblRangeCache>
              </c15:datalabelsRange>
            </c:ext>
            <c:ext xmlns:c16="http://schemas.microsoft.com/office/drawing/2014/chart" uri="{C3380CC4-5D6E-409C-BE32-E72D297353CC}">
              <c16:uniqueId val="{0000000C-9D57-430D-8BCA-4EEA67797466}"/>
            </c:ext>
          </c:extLst>
        </c:ser>
        <c:ser>
          <c:idx val="1"/>
          <c:order val="1"/>
          <c:tx>
            <c:strRef>
              <c:f>'time analysis'!$G$3</c:f>
              <c:strCache>
                <c:ptCount val="1"/>
                <c:pt idx="0">
                  <c:v>TOTAL TARGET</c:v>
                </c:pt>
              </c:strCache>
            </c:strRef>
          </c:tx>
          <c:spPr>
            <a:ln w="41275" cap="rnd">
              <a:solidFill>
                <a:schemeClr val="accent1"/>
              </a:solidFill>
              <a:round/>
            </a:ln>
            <a:effectLst/>
          </c:spPr>
          <c:marker>
            <c:symbol val="none"/>
          </c:marker>
          <c:cat>
            <c:strRef>
              <c:f>'time analysis'!$E$4:$E$15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analysis'!$G$4:$G$15</c:f>
              <c:numCache>
                <c:formatCode>[&gt;=1000000]"$"0.0,,"M";[&gt;=1000]"$"0.0,"K";0</c:formatCode>
                <c:ptCount val="12"/>
                <c:pt idx="0">
                  <c:v>57367</c:v>
                </c:pt>
                <c:pt idx="1">
                  <c:v>60401</c:v>
                </c:pt>
                <c:pt idx="2">
                  <c:v>68774</c:v>
                </c:pt>
                <c:pt idx="3">
                  <c:v>67925</c:v>
                </c:pt>
                <c:pt idx="4">
                  <c:v>53319</c:v>
                </c:pt>
                <c:pt idx="5">
                  <c:v>65382</c:v>
                </c:pt>
                <c:pt idx="6">
                  <c:v>59880</c:v>
                </c:pt>
                <c:pt idx="7">
                  <c:v>53945</c:v>
                </c:pt>
                <c:pt idx="8">
                  <c:v>54604</c:v>
                </c:pt>
                <c:pt idx="9">
                  <c:v>31823</c:v>
                </c:pt>
                <c:pt idx="10">
                  <c:v>33281</c:v>
                </c:pt>
                <c:pt idx="11">
                  <c:v>39379</c:v>
                </c:pt>
              </c:numCache>
            </c:numRef>
          </c:val>
          <c:smooth val="1"/>
          <c:extLst>
            <c:ext xmlns:c16="http://schemas.microsoft.com/office/drawing/2014/chart" uri="{C3380CC4-5D6E-409C-BE32-E72D297353CC}">
              <c16:uniqueId val="{0000000D-9D57-430D-8BCA-4EEA67797466}"/>
            </c:ext>
          </c:extLst>
        </c:ser>
        <c:dLbls>
          <c:showLegendKey val="0"/>
          <c:showVal val="0"/>
          <c:showCatName val="0"/>
          <c:showSerName val="0"/>
          <c:showPercent val="0"/>
          <c:showBubbleSize val="0"/>
        </c:dLbls>
        <c:smooth val="0"/>
        <c:axId val="348038400"/>
        <c:axId val="348038880"/>
      </c:lineChart>
      <c:catAx>
        <c:axId val="3480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348038880"/>
        <c:crosses val="autoZero"/>
        <c:auto val="1"/>
        <c:lblAlgn val="ctr"/>
        <c:lblOffset val="100"/>
        <c:noMultiLvlLbl val="0"/>
      </c:catAx>
      <c:valAx>
        <c:axId val="348038880"/>
        <c:scaling>
          <c:orientation val="minMax"/>
        </c:scaling>
        <c:delete val="0"/>
        <c:axPos val="l"/>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solidFill>
                <a:latin typeface="Segoe UI Semibold" panose="020B0702040204020203" pitchFamily="34" charset="0"/>
                <a:ea typeface="+mn-ea"/>
                <a:cs typeface="Segoe UI Semibold" panose="020B0702040204020203" pitchFamily="34" charset="0"/>
              </a:defRPr>
            </a:pPr>
            <a:endParaRPr lang="en-US"/>
          </a:p>
        </c:txPr>
        <c:crossAx val="348038400"/>
        <c:crosses val="autoZero"/>
        <c:crossBetween val="between"/>
      </c:valAx>
      <c:spPr>
        <a:noFill/>
        <a:ln>
          <a:noFill/>
        </a:ln>
        <a:effectLst/>
      </c:spPr>
    </c:plotArea>
    <c:legend>
      <c:legendPos val="b"/>
      <c:layout>
        <c:manualLayout>
          <c:xMode val="edge"/>
          <c:yMode val="edge"/>
          <c:x val="0.25897967068572714"/>
          <c:y val="0.87646167171935907"/>
          <c:w val="0.49050923910006505"/>
          <c:h val="0.1235383282806409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'time analysis'!$K$3</c:f>
              <c:strCache>
                <c:ptCount val="1"/>
                <c:pt idx="0">
                  <c:v>VARIANCE</c:v>
                </c:pt>
              </c:strCache>
            </c:strRef>
          </c:tx>
          <c:spPr>
            <a:solidFill>
              <a:srgbClr val="00A44A"/>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analysis'!$K$4:$K$15</c:f>
              <c:numCache>
                <c:formatCode>\+0.0%;\-0.0%</c:formatCode>
                <c:ptCount val="12"/>
                <c:pt idx="0">
                  <c:v>-0.22780919343873698</c:v>
                </c:pt>
                <c:pt idx="1">
                  <c:v>-0.35528302511547827</c:v>
                </c:pt>
                <c:pt idx="2">
                  <c:v>-0.27189591996975571</c:v>
                </c:pt>
                <c:pt idx="3">
                  <c:v>-0.35298034596981959</c:v>
                </c:pt>
                <c:pt idx="4">
                  <c:v>-8.2437029951799398E-2</c:v>
                </c:pt>
                <c:pt idx="5">
                  <c:v>-0.35835856963690332</c:v>
                </c:pt>
                <c:pt idx="6">
                  <c:v>-0.25236456245825012</c:v>
                </c:pt>
                <c:pt idx="7">
                  <c:v>-4.626768004448982E-2</c:v>
                </c:pt>
                <c:pt idx="8">
                  <c:v>-5.7417039044759368E-3</c:v>
                </c:pt>
                <c:pt idx="9">
                  <c:v>0.30742984633755566</c:v>
                </c:pt>
                <c:pt idx="10">
                  <c:v>0.23166070731047683</c:v>
                </c:pt>
                <c:pt idx="11">
                  <c:v>0.17401356052718461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4BE6-4507-992D-4E1AE17FB909}"/>
            </c:ext>
          </c:extLst>
        </c:ser>
        <c:dLbls>
          <c:showLegendKey val="0"/>
          <c:showVal val="0"/>
          <c:showCatName val="0"/>
          <c:showSerName val="0"/>
          <c:showPercent val="0"/>
          <c:showBubbleSize val="0"/>
        </c:dLbls>
        <c:gapWidth val="219"/>
        <c:overlap val="-27"/>
        <c:axId val="713755247"/>
        <c:axId val="263622560"/>
      </c:barChart>
      <c:catAx>
        <c:axId val="713755247"/>
        <c:scaling>
          <c:orientation val="minMax"/>
        </c:scaling>
        <c:delete val="1"/>
        <c:axPos val="b"/>
        <c:numFmt formatCode="General" sourceLinked="1"/>
        <c:majorTickMark val="none"/>
        <c:minorTickMark val="none"/>
        <c:tickLblPos val="nextTo"/>
        <c:crossAx val="263622560"/>
        <c:crosses val="autoZero"/>
        <c:auto val="1"/>
        <c:lblAlgn val="ctr"/>
        <c:lblOffset val="100"/>
        <c:noMultiLvlLbl val="0"/>
      </c:catAx>
      <c:valAx>
        <c:axId val="263622560"/>
        <c:scaling>
          <c:orientation val="minMax"/>
        </c:scaling>
        <c:delete val="1"/>
        <c:axPos val="l"/>
        <c:numFmt formatCode="\+0.0%;\-0.0%" sourceLinked="1"/>
        <c:majorTickMark val="none"/>
        <c:minorTickMark val="none"/>
        <c:tickLblPos val="nextTo"/>
        <c:crossAx val="71375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760962374427447E-2"/>
          <c:y val="0.12258376691935084"/>
          <c:w val="0.96047807525114515"/>
          <c:h val="0.7302775554813129"/>
        </c:manualLayout>
      </c:layout>
      <c:barChart>
        <c:barDir val="col"/>
        <c:grouping val="clustered"/>
        <c:varyColors val="0"/>
        <c:ser>
          <c:idx val="0"/>
          <c:order val="0"/>
          <c:tx>
            <c:strRef>
              <c:f>'time analysis'!$AM$11</c:f>
              <c:strCache>
                <c:ptCount val="1"/>
                <c:pt idx="0">
                  <c:v>TOTAL REVENUE</c:v>
                </c:pt>
              </c:strCache>
            </c:strRef>
          </c:tx>
          <c:spPr>
            <a:solidFill>
              <a:srgbClr val="C00000"/>
            </a:solidFill>
            <a:ln>
              <a:noFill/>
            </a:ln>
            <a:effectLst/>
          </c:spPr>
          <c:invertIfNegative val="0"/>
          <c:dLbls>
            <c:dLbl>
              <c:idx val="0"/>
              <c:tx>
                <c:rich>
                  <a:bodyPr/>
                  <a:lstStyle/>
                  <a:p>
                    <a:fld id="{52DFF467-CB28-4F7D-A582-18EA466AB0E8}" type="CELLRANGE">
                      <a:rPr lang="en-US" baseline="0"/>
                      <a:pPr/>
                      <a:t>[CELLRANGE]</a:t>
                    </a:fld>
                    <a:r>
                      <a:rPr lang="en-US" baseline="0"/>
                      <a:t>, </a:t>
                    </a:r>
                    <a:fld id="{82A002E6-7880-47E4-A073-CB3771A5652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DD7-4B2B-BD06-A1467D765E62}"/>
                </c:ext>
              </c:extLst>
            </c:dLbl>
            <c:dLbl>
              <c:idx val="1"/>
              <c:tx>
                <c:rich>
                  <a:bodyPr/>
                  <a:lstStyle/>
                  <a:p>
                    <a:fld id="{A3FD14D0-9466-4EAF-B16D-7F084F3B7054}" type="CELLRANGE">
                      <a:rPr lang="en-US"/>
                      <a:pPr/>
                      <a:t>[CELLRANGE]</a:t>
                    </a:fld>
                    <a:r>
                      <a:rPr lang="en-US" baseline="0"/>
                      <a:t>, </a:t>
                    </a:r>
                    <a:fld id="{80D6A6BC-0748-4BE5-8E7E-B0C9CBB489AC}"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DD7-4B2B-BD06-A1467D765E62}"/>
                </c:ext>
              </c:extLst>
            </c:dLbl>
            <c:dLbl>
              <c:idx val="2"/>
              <c:layout>
                <c:manualLayout>
                  <c:x val="0"/>
                  <c:y val="-4.0475507537368137E-2"/>
                </c:manualLayout>
              </c:layout>
              <c:tx>
                <c:rich>
                  <a:bodyPr/>
                  <a:lstStyle/>
                  <a:p>
                    <a:fld id="{2A040448-20AA-43D3-AF46-8A70ADD9021E}" type="CELLRANGE">
                      <a:rPr lang="en-US" baseline="0"/>
                      <a:pPr/>
                      <a:t>[CELLRANGE]</a:t>
                    </a:fld>
                    <a:r>
                      <a:rPr lang="en-US" baseline="0"/>
                      <a:t>, </a:t>
                    </a:r>
                    <a:fld id="{5279AF57-7242-4A89-A4A1-A8A4B554519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DD7-4B2B-BD06-A1467D765E62}"/>
                </c:ext>
              </c:extLst>
            </c:dLbl>
            <c:dLbl>
              <c:idx val="3"/>
              <c:tx>
                <c:rich>
                  <a:bodyPr/>
                  <a:lstStyle/>
                  <a:p>
                    <a:fld id="{B99FCCBF-A96F-49DC-BBFA-A61A204EDD89}" type="CELLRANGE">
                      <a:rPr lang="en-US"/>
                      <a:pPr/>
                      <a:t>[CELLRANGE]</a:t>
                    </a:fld>
                    <a:r>
                      <a:rPr lang="en-US" baseline="0"/>
                      <a:t>, </a:t>
                    </a:r>
                    <a:fld id="{1CE598D1-EE8E-4D14-B2E6-3AFF4888575D}"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DD7-4B2B-BD06-A1467D765E6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'time analysis'!$AL$12:$AL$15</c:f>
              <c:strCache>
                <c:ptCount val="4"/>
                <c:pt idx="0">
                  <c:v>Q-1</c:v>
                </c:pt>
                <c:pt idx="1">
                  <c:v>Q-2</c:v>
                </c:pt>
                <c:pt idx="2">
                  <c:v>Q-3</c:v>
                </c:pt>
                <c:pt idx="3">
                  <c:v>Q-4</c:v>
                </c:pt>
              </c:strCache>
            </c:strRef>
          </c:cat>
          <c:val>
            <c:numRef>
              <c:f>'time analysis'!$AM$12:$AM$15</c:f>
              <c:numCache>
                <c:formatCode>[&gt;=1000000]"$"0.0,,"M";[&gt;=1000]"$"0,"K";0</c:formatCode>
                <c:ptCount val="4"/>
                <c:pt idx="0">
                  <c:v>133314.45000000007</c:v>
                </c:pt>
                <c:pt idx="1">
                  <c:v>134824.14999999997</c:v>
                </c:pt>
                <c:pt idx="2">
                  <c:v>150507.98000000016</c:v>
                </c:pt>
                <c:pt idx="3">
                  <c:v>128828.7199999999</c:v>
                </c:pt>
              </c:numCache>
            </c:numRef>
          </c:val>
          <c:extLst>
            <c:ext xmlns:c15="http://schemas.microsoft.com/office/drawing/2012/chart" uri="{02D57815-91ED-43cb-92C2-25804820EDAC}">
              <c15:datalabelsRange>
                <c15:f>'time analysis'!$AN$4:$AN$7</c15:f>
                <c15:dlblRangeCache>
                  <c:ptCount val="4"/>
                  <c:pt idx="1">
                    <c:v>+1.1%</c:v>
                  </c:pt>
                  <c:pt idx="2">
                    <c:v>+11.6%</c:v>
                  </c:pt>
                  <c:pt idx="3">
                    <c:v>-14.4%</c:v>
                  </c:pt>
                </c15:dlblRangeCache>
              </c15:datalabelsRange>
            </c:ext>
            <c:ext xmlns:c16="http://schemas.microsoft.com/office/drawing/2014/chart" uri="{C3380CC4-5D6E-409C-BE32-E72D297353CC}">
              <c16:uniqueId val="{00000004-ADD7-4B2B-BD06-A1467D765E62}"/>
            </c:ext>
          </c:extLst>
        </c:ser>
        <c:ser>
          <c:idx val="1"/>
          <c:order val="1"/>
          <c:tx>
            <c:strRef>
              <c:f>'time analysis'!$AN$11</c:f>
              <c:strCache>
                <c:ptCount val="1"/>
                <c:pt idx="0">
                  <c:v>HIGHLIGHT</c:v>
                </c:pt>
              </c:strCache>
            </c:strRef>
          </c:tx>
          <c:spPr>
            <a:solidFill>
              <a:srgbClr val="00A44A"/>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5-ADD7-4B2B-BD06-A1467D765E62}"/>
                </c:ext>
              </c:extLst>
            </c:dLbl>
            <c:dLbl>
              <c:idx val="2"/>
              <c:delete val="1"/>
              <c:extLst>
                <c:ext xmlns:c15="http://schemas.microsoft.com/office/drawing/2012/chart" uri="{CE6537A1-D6FC-4f65-9D91-7224C49458BB}"/>
                <c:ext xmlns:c16="http://schemas.microsoft.com/office/drawing/2014/chart" uri="{C3380CC4-5D6E-409C-BE32-E72D297353CC}">
                  <c16:uniqueId val="{00000000-9E50-4966-9281-EE6C6BB942B7}"/>
                </c:ext>
              </c:extLst>
            </c:dLbl>
            <c:dLbl>
              <c:idx val="3"/>
              <c:delete val="1"/>
              <c:extLst>
                <c:ext xmlns:c15="http://schemas.microsoft.com/office/drawing/2012/chart" uri="{CE6537A1-D6FC-4f65-9D91-7224C49458BB}"/>
                <c:ext xmlns:c16="http://schemas.microsoft.com/office/drawing/2014/chart" uri="{C3380CC4-5D6E-409C-BE32-E72D297353CC}">
                  <c16:uniqueId val="{00000006-ADD7-4B2B-BD06-A1467D765E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'time analysis'!$AN$12:$AN$15</c:f>
              <c:numCache>
                <c:formatCode>General</c:formatCode>
                <c:ptCount val="4"/>
                <c:pt idx="0">
                  <c:v>0</c:v>
                </c:pt>
                <c:pt idx="1">
                  <c:v>0</c:v>
                </c:pt>
                <c:pt idx="2">
                  <c:v>150507.98000000016</c:v>
                </c:pt>
                <c:pt idx="3">
                  <c:v>0</c:v>
                </c:pt>
              </c:numCache>
            </c:numRef>
          </c:val>
          <c:extLst>
            <c:ext xmlns:c16="http://schemas.microsoft.com/office/drawing/2014/chart" uri="{C3380CC4-5D6E-409C-BE32-E72D297353CC}">
              <c16:uniqueId val="{00000007-ADD7-4B2B-BD06-A1467D765E62}"/>
            </c:ext>
          </c:extLst>
        </c:ser>
        <c:dLbls>
          <c:showLegendKey val="0"/>
          <c:showVal val="1"/>
          <c:showCatName val="0"/>
          <c:showSerName val="0"/>
          <c:showPercent val="0"/>
          <c:showBubbleSize val="0"/>
        </c:dLbls>
        <c:gapWidth val="141"/>
        <c:overlap val="100"/>
        <c:axId val="737840543"/>
        <c:axId val="737826143"/>
      </c:barChart>
      <c:lineChart>
        <c:grouping val="standard"/>
        <c:varyColors val="0"/>
        <c:ser>
          <c:idx val="2"/>
          <c:order val="2"/>
          <c:tx>
            <c:strRef>
              <c:f>'time analysis'!$AO$11</c:f>
              <c:strCache>
                <c:ptCount val="1"/>
                <c:pt idx="0">
                  <c:v>AVG</c:v>
                </c:pt>
              </c:strCache>
            </c:strRef>
          </c:tx>
          <c:spPr>
            <a:ln w="28575" cap="rnd">
              <a:solidFill>
                <a:schemeClr val="accent3"/>
              </a:solidFill>
              <a:prstDash val="lgDash"/>
              <a:round/>
            </a:ln>
            <a:effectLst/>
          </c:spPr>
          <c:marker>
            <c:symbol val="none"/>
          </c:marker>
          <c:dLbls>
            <c:delete val="1"/>
          </c:dLbls>
          <c:val>
            <c:numRef>
              <c:f>'time analysis'!$AO$12:$AO$15</c:f>
              <c:numCache>
                <c:formatCode>[&gt;=1000000]"$"0.0,,"M";[&gt;=1000]"$"0,"K";0</c:formatCode>
                <c:ptCount val="4"/>
                <c:pt idx="0">
                  <c:v>136868.82500000001</c:v>
                </c:pt>
                <c:pt idx="1">
                  <c:v>136868.82500000001</c:v>
                </c:pt>
                <c:pt idx="2">
                  <c:v>136868.82500000001</c:v>
                </c:pt>
                <c:pt idx="3">
                  <c:v>136868.82500000001</c:v>
                </c:pt>
              </c:numCache>
            </c:numRef>
          </c:val>
          <c:smooth val="0"/>
          <c:extLst>
            <c:ext xmlns:c16="http://schemas.microsoft.com/office/drawing/2014/chart" uri="{C3380CC4-5D6E-409C-BE32-E72D297353CC}">
              <c16:uniqueId val="{00000008-ADD7-4B2B-BD06-A1467D765E62}"/>
            </c:ext>
          </c:extLst>
        </c:ser>
        <c:dLbls>
          <c:showLegendKey val="0"/>
          <c:showVal val="1"/>
          <c:showCatName val="0"/>
          <c:showSerName val="0"/>
          <c:showPercent val="0"/>
          <c:showBubbleSize val="0"/>
        </c:dLbls>
        <c:marker val="1"/>
        <c:smooth val="0"/>
        <c:axId val="737840543"/>
        <c:axId val="737826143"/>
      </c:lineChart>
      <c:catAx>
        <c:axId val="73784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37826143"/>
        <c:crosses val="autoZero"/>
        <c:auto val="1"/>
        <c:lblAlgn val="ctr"/>
        <c:lblOffset val="100"/>
        <c:noMultiLvlLbl val="0"/>
      </c:catAx>
      <c:valAx>
        <c:axId val="737826143"/>
        <c:scaling>
          <c:orientation val="minMax"/>
        </c:scaling>
        <c:delete val="1"/>
        <c:axPos val="l"/>
        <c:numFmt formatCode="[&gt;=1000000]&quot;$&quot;0.0,,&quot;M&quot;;[&gt;=1000]&quot;$&quot;0,&quot;K&quot;;0" sourceLinked="1"/>
        <c:majorTickMark val="none"/>
        <c:minorTickMark val="none"/>
        <c:tickLblPos val="nextTo"/>
        <c:crossAx val="73784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profitanalysis!$I$17</c:f>
              <c:strCache>
                <c:ptCount val="1"/>
                <c:pt idx="0">
                  <c:v>Profit margin</c:v>
                </c:pt>
              </c:strCache>
            </c:strRef>
          </c:tx>
          <c:spPr>
            <a:solidFill>
              <a:schemeClr val="accent1"/>
            </a:solidFill>
            <a:ln>
              <a:noFill/>
            </a:ln>
            <a:effectLst/>
          </c:spPr>
          <c:invertIfNegative val="0"/>
          <c:cat>
            <c:strRef>
              <c:f>profitanalysis!$H$18:$H$22</c:f>
              <c:strCache>
                <c:ptCount val="5"/>
                <c:pt idx="0">
                  <c:v>JohnBrown</c:v>
                </c:pt>
                <c:pt idx="1">
                  <c:v>PaulNoble</c:v>
                </c:pt>
                <c:pt idx="2">
                  <c:v>LauraGross</c:v>
                </c:pt>
                <c:pt idx="3">
                  <c:v>JudithSimmons</c:v>
                </c:pt>
                <c:pt idx="4">
                  <c:v>KristineBarrett</c:v>
                </c:pt>
              </c:strCache>
            </c:strRef>
          </c:cat>
          <c:val>
            <c:numRef>
              <c:f>profitanalysis!$I$18:$I$22</c:f>
              <c:numCache>
                <c:formatCode>0</c:formatCode>
                <c:ptCount val="5"/>
                <c:pt idx="0">
                  <c:v>8477.4799999999977</c:v>
                </c:pt>
                <c:pt idx="1">
                  <c:v>7569.0199999999959</c:v>
                </c:pt>
                <c:pt idx="2">
                  <c:v>7236.9200000000019</c:v>
                </c:pt>
                <c:pt idx="3">
                  <c:v>7191.9699999999975</c:v>
                </c:pt>
                <c:pt idx="4">
                  <c:v>6966.5800000000008</c:v>
                </c:pt>
              </c:numCache>
            </c:numRef>
          </c:val>
          <c:extLst>
            <c:ext xmlns:c16="http://schemas.microsoft.com/office/drawing/2014/chart" uri="{C3380CC4-5D6E-409C-BE32-E72D297353CC}">
              <c16:uniqueId val="{00000000-3BA1-4A3A-AD8D-C07B86A02C28}"/>
            </c:ext>
          </c:extLst>
        </c:ser>
        <c:dLbls>
          <c:showLegendKey val="0"/>
          <c:showVal val="0"/>
          <c:showCatName val="0"/>
          <c:showSerName val="0"/>
          <c:showPercent val="0"/>
          <c:showBubbleSize val="0"/>
        </c:dLbls>
        <c:gapWidth val="219"/>
        <c:overlap val="-27"/>
        <c:axId val="1628869183"/>
        <c:axId val="1628876383"/>
      </c:barChart>
      <c:catAx>
        <c:axId val="162886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76383"/>
        <c:crosses val="autoZero"/>
        <c:auto val="1"/>
        <c:lblAlgn val="ctr"/>
        <c:lblOffset val="100"/>
        <c:noMultiLvlLbl val="0"/>
      </c:catAx>
      <c:valAx>
        <c:axId val="1628876383"/>
        <c:scaling>
          <c:orientation val="minMax"/>
        </c:scaling>
        <c:delete val="1"/>
        <c:axPos val="l"/>
        <c:numFmt formatCode="0" sourceLinked="1"/>
        <c:majorTickMark val="none"/>
        <c:minorTickMark val="none"/>
        <c:tickLblPos val="nextTo"/>
        <c:crossAx val="162886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profitanalysis!$S$4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profitanalysis!$R$5:$R$10</c:f>
              <c:strCache>
                <c:ptCount val="5"/>
                <c:pt idx="0">
                  <c:v>ABOVE 50</c:v>
                </c:pt>
                <c:pt idx="1">
                  <c:v>41-50</c:v>
                </c:pt>
                <c:pt idx="2">
                  <c:v>31-40</c:v>
                </c:pt>
                <c:pt idx="3">
                  <c:v>21-30</c:v>
                </c:pt>
                <c:pt idx="4">
                  <c:v>BELOW 20</c:v>
                </c:pt>
              </c:strCache>
            </c:strRef>
          </c:cat>
          <c:val>
            <c:numRef>
              <c:f>profitanalysis!$S$5:$S$10</c:f>
              <c:numCache>
                <c:formatCode>[&gt;=1000000]"$"0.0,,"M";[&gt;=1000]"$"0.0,"K";0</c:formatCode>
                <c:ptCount val="5"/>
                <c:pt idx="0">
                  <c:v>933472.3399999924</c:v>
                </c:pt>
                <c:pt idx="1">
                  <c:v>499936.95000000054</c:v>
                </c:pt>
                <c:pt idx="2">
                  <c:v>424463.9299999983</c:v>
                </c:pt>
                <c:pt idx="3">
                  <c:v>375058.86999999976</c:v>
                </c:pt>
                <c:pt idx="4">
                  <c:v>64579.969999999928</c:v>
                </c:pt>
              </c:numCache>
            </c:numRef>
          </c:val>
          <c:extLst>
            <c:ext xmlns:c16="http://schemas.microsoft.com/office/drawing/2014/chart" uri="{C3380CC4-5D6E-409C-BE32-E72D297353CC}">
              <c16:uniqueId val="{00000002-18B4-4E40-8158-8061F35982EF}"/>
            </c:ext>
          </c:extLst>
        </c:ser>
        <c:dLbls>
          <c:dLblPos val="outEnd"/>
          <c:showLegendKey val="0"/>
          <c:showVal val="1"/>
          <c:showCatName val="0"/>
          <c:showSerName val="0"/>
          <c:showPercent val="0"/>
          <c:showBubbleSize val="0"/>
        </c:dLbls>
        <c:gapWidth val="219"/>
        <c:overlap val="-27"/>
        <c:axId val="1962213551"/>
        <c:axId val="1962214031"/>
      </c:barChart>
      <c:catAx>
        <c:axId val="196221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14031"/>
        <c:crosses val="autoZero"/>
        <c:auto val="1"/>
        <c:lblAlgn val="ctr"/>
        <c:lblOffset val="100"/>
        <c:noMultiLvlLbl val="0"/>
      </c:catAx>
      <c:valAx>
        <c:axId val="1962214031"/>
        <c:scaling>
          <c:orientation val="minMax"/>
        </c:scaling>
        <c:delete val="1"/>
        <c:axPos val="l"/>
        <c:numFmt formatCode="[&gt;=1000000]&quot;$&quot;0.0,,&quot;M&quot;;[&gt;=1000]&quot;$&quot;0.0,&quot;K&quot;;0" sourceLinked="1"/>
        <c:majorTickMark val="none"/>
        <c:minorTickMark val="none"/>
        <c:tickLblPos val="nextTo"/>
        <c:crossAx val="196221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profitanalysis!$X$4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0A-4F10-861D-CF9CE6ADE1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0A-4F10-861D-CF9CE6ADE1EB}"/>
              </c:ext>
            </c:extLst>
          </c:dPt>
          <c:cat>
            <c:strRef>
              <c:f>profitanalysis!$W$5:$W$7</c:f>
              <c:strCache>
                <c:ptCount val="2"/>
                <c:pt idx="0">
                  <c:v>Female</c:v>
                </c:pt>
                <c:pt idx="1">
                  <c:v>Male</c:v>
                </c:pt>
              </c:strCache>
            </c:strRef>
          </c:cat>
          <c:val>
            <c:numRef>
              <c:f>profitanalysis!$X$5:$X$7</c:f>
              <c:numCache>
                <c:formatCode>0.00%</c:formatCode>
                <c:ptCount val="2"/>
                <c:pt idx="0">
                  <c:v>0.48527656041986861</c:v>
                </c:pt>
                <c:pt idx="1">
                  <c:v>0.51472343958010647</c:v>
                </c:pt>
              </c:numCache>
            </c:numRef>
          </c:val>
          <c:extLst>
            <c:ext xmlns:c16="http://schemas.microsoft.com/office/drawing/2014/chart" uri="{C3380CC4-5D6E-409C-BE32-E72D297353CC}">
              <c16:uniqueId val="{00000000-2932-4258-A9A6-B4D0BBA0F6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011592300962382E-2"/>
          <c:y val="2.5428331875182269E-2"/>
          <c:w val="0.79019903762029742"/>
          <c:h val="0.8416746864975212"/>
        </c:manualLayout>
      </c:layout>
      <c:areaChart>
        <c:grouping val="standard"/>
        <c:varyColors val="0"/>
        <c:ser>
          <c:idx val="1"/>
          <c:order val="1"/>
          <c:tx>
            <c:strRef>
              <c:f>profitanalysis!$AI$4</c:f>
              <c:strCache>
                <c:ptCount val="1"/>
                <c:pt idx="0">
                  <c:v>PRFOIT</c:v>
                </c:pt>
              </c:strCache>
            </c:strRef>
          </c:tx>
          <c:spPr>
            <a:gradFill flip="none" rotWithShape="1">
              <a:gsLst>
                <a:gs pos="100000">
                  <a:schemeClr val="accent6">
                    <a:lumMod val="60000"/>
                    <a:lumOff val="40000"/>
                  </a:schemeClr>
                </a:gs>
                <a:gs pos="100000">
                  <a:schemeClr val="accent6">
                    <a:lumMod val="60000"/>
                    <a:lumOff val="40000"/>
                  </a:schemeClr>
                </a:gs>
                <a:gs pos="0">
                  <a:schemeClr val="accent6">
                    <a:lumMod val="20000"/>
                    <a:lumOff val="80000"/>
                  </a:schemeClr>
                </a:gs>
              </a:gsLst>
              <a:lin ang="2700000" scaled="1"/>
              <a:tileRect/>
            </a:gradFill>
            <a:ln>
              <a:noFill/>
            </a:ln>
            <a:effectLst/>
          </c:spPr>
          <c:dLbls>
            <c:delete val="1"/>
          </c:dLbls>
          <c:val>
            <c:numRef>
              <c:f>profitanalysis!$AI$5:$AI$16</c:f>
              <c:numCache>
                <c:formatCode>[&gt;=1000000]"$"0.0,,"M";[&gt;=1000]"$"0,"K";0</c:formatCode>
                <c:ptCount val="12"/>
                <c:pt idx="0">
                  <c:v>177715.37999999989</c:v>
                </c:pt>
                <c:pt idx="1">
                  <c:v>177756.56999999966</c:v>
                </c:pt>
                <c:pt idx="2">
                  <c:v>204515.86999999953</c:v>
                </c:pt>
                <c:pt idx="3">
                  <c:v>192977.03999999998</c:v>
                </c:pt>
                <c:pt idx="4">
                  <c:v>205642.8500000005</c:v>
                </c:pt>
                <c:pt idx="5">
                  <c:v>195489.95000000036</c:v>
                </c:pt>
                <c:pt idx="6">
                  <c:v>182737.19000000064</c:v>
                </c:pt>
                <c:pt idx="7">
                  <c:v>208599.36000000022</c:v>
                </c:pt>
                <c:pt idx="8">
                  <c:v>190084.82000000018</c:v>
                </c:pt>
                <c:pt idx="9">
                  <c:v>190384.21999999986</c:v>
                </c:pt>
                <c:pt idx="10">
                  <c:v>192253.24999999942</c:v>
                </c:pt>
                <c:pt idx="11">
                  <c:v>179355.56000000011</c:v>
                </c:pt>
              </c:numCache>
            </c:numRef>
          </c:val>
          <c:extLst>
            <c:ext xmlns:c16="http://schemas.microsoft.com/office/drawing/2014/chart" uri="{C3380CC4-5D6E-409C-BE32-E72D297353CC}">
              <c16:uniqueId val="{00000003-DFE3-4502-85B7-05C81515CCC4}"/>
            </c:ext>
          </c:extLst>
        </c:ser>
        <c:dLbls>
          <c:showLegendKey val="0"/>
          <c:showVal val="1"/>
          <c:showCatName val="0"/>
          <c:showSerName val="0"/>
          <c:showPercent val="0"/>
          <c:showBubbleSize val="0"/>
        </c:dLbls>
        <c:axId val="1628912863"/>
        <c:axId val="1628886463"/>
      </c:areaChart>
      <c:lineChart>
        <c:grouping val="standard"/>
        <c:varyColors val="0"/>
        <c:ser>
          <c:idx val="0"/>
          <c:order val="0"/>
          <c:tx>
            <c:strRef>
              <c:f>profitanalysis!$AH$4</c:f>
              <c:strCache>
                <c:ptCount val="1"/>
                <c:pt idx="0">
                  <c:v>PROFIT</c:v>
                </c:pt>
              </c:strCache>
            </c:strRef>
          </c:tx>
          <c:spPr>
            <a:ln w="317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8"/>
            <c:spPr>
              <a:solidFill>
                <a:schemeClr val="accent1"/>
              </a:solidFill>
              <a:ln w="9525">
                <a:solidFill>
                  <a:schemeClr val="accent1"/>
                </a:solidFill>
              </a:ln>
              <a:effectLst/>
            </c:spPr>
          </c:marker>
          <c:dLbls>
            <c:dLbl>
              <c:idx val="0"/>
              <c:tx>
                <c:rich>
                  <a:bodyPr/>
                  <a:lstStyle/>
                  <a:p>
                    <a:fld id="{891A6DCC-266F-4CB3-9883-A5CD341A08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FE3-4502-85B7-05C81515CCC4}"/>
                </c:ext>
              </c:extLst>
            </c:dLbl>
            <c:dLbl>
              <c:idx val="1"/>
              <c:tx>
                <c:rich>
                  <a:bodyPr/>
                  <a:lstStyle/>
                  <a:p>
                    <a:fld id="{936D63C8-D302-4A53-A3EE-DE14AF4C91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FE3-4502-85B7-05C81515CCC4}"/>
                </c:ext>
              </c:extLst>
            </c:dLbl>
            <c:dLbl>
              <c:idx val="2"/>
              <c:tx>
                <c:rich>
                  <a:bodyPr/>
                  <a:lstStyle/>
                  <a:p>
                    <a:fld id="{C805125E-D1A0-48AA-B490-6C505917A5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FE3-4502-85B7-05C81515CCC4}"/>
                </c:ext>
              </c:extLst>
            </c:dLbl>
            <c:dLbl>
              <c:idx val="3"/>
              <c:tx>
                <c:rich>
                  <a:bodyPr/>
                  <a:lstStyle/>
                  <a:p>
                    <a:fld id="{6E9CE4F3-4314-4CF7-A162-2008863417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FE3-4502-85B7-05C81515CCC4}"/>
                </c:ext>
              </c:extLst>
            </c:dLbl>
            <c:dLbl>
              <c:idx val="4"/>
              <c:tx>
                <c:rich>
                  <a:bodyPr/>
                  <a:lstStyle/>
                  <a:p>
                    <a:fld id="{927CA103-476B-4094-8D84-F76DC25BFC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FE3-4502-85B7-05C81515CCC4}"/>
                </c:ext>
              </c:extLst>
            </c:dLbl>
            <c:dLbl>
              <c:idx val="5"/>
              <c:tx>
                <c:rich>
                  <a:bodyPr/>
                  <a:lstStyle/>
                  <a:p>
                    <a:fld id="{091B95C4-E3BA-4B3E-9F9F-1E8A5332F1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FE3-4502-85B7-05C81515CCC4}"/>
                </c:ext>
              </c:extLst>
            </c:dLbl>
            <c:dLbl>
              <c:idx val="6"/>
              <c:tx>
                <c:rich>
                  <a:bodyPr/>
                  <a:lstStyle/>
                  <a:p>
                    <a:fld id="{C0CE737C-F5F5-4E8A-BE9E-BA4E06BBFE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FE3-4502-85B7-05C81515CCC4}"/>
                </c:ext>
              </c:extLst>
            </c:dLbl>
            <c:dLbl>
              <c:idx val="7"/>
              <c:tx>
                <c:rich>
                  <a:bodyPr/>
                  <a:lstStyle/>
                  <a:p>
                    <a:fld id="{A6EE4532-68AB-47D8-9059-9A3D19DBEB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FE3-4502-85B7-05C81515CCC4}"/>
                </c:ext>
              </c:extLst>
            </c:dLbl>
            <c:dLbl>
              <c:idx val="8"/>
              <c:tx>
                <c:rich>
                  <a:bodyPr/>
                  <a:lstStyle/>
                  <a:p>
                    <a:fld id="{E2B635F2-A76A-44B3-8460-4FBF8F9124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FE3-4502-85B7-05C81515CCC4}"/>
                </c:ext>
              </c:extLst>
            </c:dLbl>
            <c:dLbl>
              <c:idx val="9"/>
              <c:tx>
                <c:rich>
                  <a:bodyPr/>
                  <a:lstStyle/>
                  <a:p>
                    <a:fld id="{59E06B09-B609-4479-A662-D172274197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FE3-4502-85B7-05C81515CCC4}"/>
                </c:ext>
              </c:extLst>
            </c:dLbl>
            <c:dLbl>
              <c:idx val="10"/>
              <c:tx>
                <c:rich>
                  <a:bodyPr/>
                  <a:lstStyle/>
                  <a:p>
                    <a:fld id="{08CB168F-476C-41A7-A645-9F8A61F220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FE3-4502-85B7-05C81515CCC4}"/>
                </c:ext>
              </c:extLst>
            </c:dLbl>
            <c:dLbl>
              <c:idx val="11"/>
              <c:tx>
                <c:rich>
                  <a:bodyPr/>
                  <a:lstStyle/>
                  <a:p>
                    <a:fld id="{5A2CF3BD-D725-4CD4-8FC0-B0E3E9B7E7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FE3-4502-85B7-05C81515CCC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profitanalysis!$AG$5:$AG$16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profitanalysis!$AH$5:$AH$16</c:f>
              <c:numCache>
                <c:formatCode>[&gt;=1000000]"$"0.0,,"M";[&gt;=1000]"$"0,"K";0</c:formatCode>
                <c:ptCount val="12"/>
                <c:pt idx="0">
                  <c:v>177715.37999999989</c:v>
                </c:pt>
                <c:pt idx="1">
                  <c:v>177756.56999999966</c:v>
                </c:pt>
                <c:pt idx="2">
                  <c:v>204515.86999999953</c:v>
                </c:pt>
                <c:pt idx="3">
                  <c:v>192977.03999999998</c:v>
                </c:pt>
                <c:pt idx="4">
                  <c:v>205642.8500000005</c:v>
                </c:pt>
                <c:pt idx="5">
                  <c:v>195489.95000000036</c:v>
                </c:pt>
                <c:pt idx="6">
                  <c:v>182737.19000000064</c:v>
                </c:pt>
                <c:pt idx="7">
                  <c:v>208599.36000000022</c:v>
                </c:pt>
                <c:pt idx="8">
                  <c:v>190084.82000000018</c:v>
                </c:pt>
                <c:pt idx="9">
                  <c:v>190384.21999999986</c:v>
                </c:pt>
                <c:pt idx="10">
                  <c:v>192253.24999999942</c:v>
                </c:pt>
                <c:pt idx="11">
                  <c:v>179355.56000000011</c:v>
                </c:pt>
              </c:numCache>
            </c:numRef>
          </c:val>
          <c:smooth val="1"/>
          <c:extLst>
            <c:ext xmlns:c15="http://schemas.microsoft.com/office/drawing/2012/chart" uri="{02D57815-91ED-43cb-92C2-25804820EDAC}">
              <c15:datalabelsRange>
                <c15:f>profitanalysis!$AE$5:$AE$16</c15:f>
                <c15:dlblRangeCache>
                  <c:ptCount val="12"/>
                  <c:pt idx="1">
                    <c:v>0.02%</c:v>
                  </c:pt>
                  <c:pt idx="2">
                    <c:v>15.05%</c:v>
                  </c:pt>
                  <c:pt idx="3">
                    <c:v>-5.64%</c:v>
                  </c:pt>
                  <c:pt idx="4">
                    <c:v>6.56%</c:v>
                  </c:pt>
                  <c:pt idx="5">
                    <c:v>-4.94%</c:v>
                  </c:pt>
                  <c:pt idx="6">
                    <c:v>-6.52%</c:v>
                  </c:pt>
                  <c:pt idx="7">
                    <c:v>14.15%</c:v>
                  </c:pt>
                  <c:pt idx="8">
                    <c:v>-8.88%</c:v>
                  </c:pt>
                  <c:pt idx="9">
                    <c:v>0.16%</c:v>
                  </c:pt>
                  <c:pt idx="10">
                    <c:v>0.98%</c:v>
                  </c:pt>
                  <c:pt idx="11">
                    <c:v>-6.71%</c:v>
                  </c:pt>
                </c15:dlblRangeCache>
              </c15:datalabelsRange>
            </c:ext>
            <c:ext xmlns:c16="http://schemas.microsoft.com/office/drawing/2014/chart" uri="{C3380CC4-5D6E-409C-BE32-E72D297353CC}">
              <c16:uniqueId val="{00000000-DFE3-4502-85B7-05C81515CCC4}"/>
            </c:ext>
          </c:extLst>
        </c:ser>
        <c:dLbls>
          <c:showLegendKey val="0"/>
          <c:showVal val="1"/>
          <c:showCatName val="0"/>
          <c:showSerName val="0"/>
          <c:showPercent val="0"/>
          <c:showBubbleSize val="0"/>
        </c:dLbls>
        <c:marker val="1"/>
        <c:smooth val="0"/>
        <c:axId val="1016732831"/>
        <c:axId val="1016733311"/>
      </c:lineChart>
      <c:catAx>
        <c:axId val="101673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33311"/>
        <c:crosses val="autoZero"/>
        <c:auto val="1"/>
        <c:lblAlgn val="ctr"/>
        <c:lblOffset val="100"/>
        <c:noMultiLvlLbl val="0"/>
      </c:catAx>
      <c:valAx>
        <c:axId val="1016733311"/>
        <c:scaling>
          <c:orientation val="minMax"/>
        </c:scaling>
        <c:delete val="1"/>
        <c:axPos val="l"/>
        <c:numFmt formatCode="[&gt;=1000000]&quot;$&quot;0.0,,&quot;M&quot;;[&gt;=1000]&quot;$&quot;0,&quot;K&quot;;0" sourceLinked="1"/>
        <c:majorTickMark val="none"/>
        <c:minorTickMark val="none"/>
        <c:tickLblPos val="nextTo"/>
        <c:crossAx val="1016732831"/>
        <c:crosses val="autoZero"/>
        <c:crossBetween val="between"/>
      </c:valAx>
      <c:valAx>
        <c:axId val="1628886463"/>
        <c:scaling>
          <c:orientation val="minMax"/>
        </c:scaling>
        <c:delete val="1"/>
        <c:axPos val="r"/>
        <c:numFmt formatCode="[&gt;=1000000]&quot;$&quot;0.0,,&quot;M&quot;;[&gt;=1000]&quot;$&quot;0,&quot;K&quot;;0" sourceLinked="1"/>
        <c:majorTickMark val="out"/>
        <c:minorTickMark val="none"/>
        <c:tickLblPos val="nextTo"/>
        <c:crossAx val="1628912863"/>
        <c:crosses val="max"/>
        <c:crossBetween val="between"/>
      </c:valAx>
      <c:catAx>
        <c:axId val="1628912863"/>
        <c:scaling>
          <c:orientation val="minMax"/>
        </c:scaling>
        <c:delete val="1"/>
        <c:axPos val="b"/>
        <c:majorTickMark val="out"/>
        <c:minorTickMark val="none"/>
        <c:tickLblPos val="nextTo"/>
        <c:crossAx val="16288864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Copy.xlsx]profitanalysis!PivotTable12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64008589859889"/>
          <c:y val="3.1574081575272944E-2"/>
          <c:w val="0.736359914101401"/>
          <c:h val="0.91526998756212985"/>
        </c:manualLayout>
      </c:layout>
      <c:barChart>
        <c:barDir val="bar"/>
        <c:grouping val="clustered"/>
        <c:varyColors val="0"/>
        <c:ser>
          <c:idx val="0"/>
          <c:order val="0"/>
          <c:tx>
            <c:strRef>
              <c:f>profitanalysis!$AC$34</c:f>
              <c:strCache>
                <c:ptCount val="1"/>
                <c:pt idx="0">
                  <c:v>Total</c:v>
                </c:pt>
              </c:strCache>
            </c:strRef>
          </c:tx>
          <c:spPr>
            <a:solidFill>
              <a:schemeClr val="accent1"/>
            </a:solidFill>
            <a:ln>
              <a:noFill/>
            </a:ln>
            <a:effectLst/>
          </c:spPr>
          <c:invertIfNegative val="0"/>
          <c:cat>
            <c:strRef>
              <c:f>profitanalysis!$AB$35:$AB$42</c:f>
              <c:strCache>
                <c:ptCount val="7"/>
                <c:pt idx="0">
                  <c:v>Saturday</c:v>
                </c:pt>
                <c:pt idx="1">
                  <c:v>Friday</c:v>
                </c:pt>
                <c:pt idx="2">
                  <c:v>Thursday</c:v>
                </c:pt>
                <c:pt idx="3">
                  <c:v>Wednesday</c:v>
                </c:pt>
                <c:pt idx="4">
                  <c:v>Tuesday</c:v>
                </c:pt>
                <c:pt idx="5">
                  <c:v>Monday</c:v>
                </c:pt>
                <c:pt idx="6">
                  <c:v>Sunday</c:v>
                </c:pt>
              </c:strCache>
            </c:strRef>
          </c:cat>
          <c:val>
            <c:numRef>
              <c:f>profitanalysis!$AC$35:$AC$42</c:f>
              <c:numCache>
                <c:formatCode>[&gt;=1000000]"$"0.0,,"M";[&gt;=1000]"$"0.0,"K";0</c:formatCode>
                <c:ptCount val="7"/>
                <c:pt idx="0">
                  <c:v>332458.74000000069</c:v>
                </c:pt>
                <c:pt idx="1">
                  <c:v>319564.96000000124</c:v>
                </c:pt>
                <c:pt idx="2">
                  <c:v>340665.27999999869</c:v>
                </c:pt>
                <c:pt idx="3">
                  <c:v>324189.0599999979</c:v>
                </c:pt>
                <c:pt idx="4">
                  <c:v>324340.81999999884</c:v>
                </c:pt>
                <c:pt idx="5">
                  <c:v>342889.85000000324</c:v>
                </c:pt>
                <c:pt idx="6">
                  <c:v>313403.34999999951</c:v>
                </c:pt>
              </c:numCache>
            </c:numRef>
          </c:val>
          <c:extLst>
            <c:ext xmlns:c16="http://schemas.microsoft.com/office/drawing/2014/chart" uri="{C3380CC4-5D6E-409C-BE32-E72D297353CC}">
              <c16:uniqueId val="{00000000-2CEB-442D-BAA9-B3363701D668}"/>
            </c:ext>
          </c:extLst>
        </c:ser>
        <c:dLbls>
          <c:showLegendKey val="0"/>
          <c:showVal val="0"/>
          <c:showCatName val="0"/>
          <c:showSerName val="0"/>
          <c:showPercent val="0"/>
          <c:showBubbleSize val="0"/>
        </c:dLbls>
        <c:gapWidth val="182"/>
        <c:axId val="1628913823"/>
        <c:axId val="1628914303"/>
      </c:barChart>
      <c:catAx>
        <c:axId val="162891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914303"/>
        <c:crosses val="autoZero"/>
        <c:auto val="1"/>
        <c:lblAlgn val="ctr"/>
        <c:lblOffset val="100"/>
        <c:noMultiLvlLbl val="0"/>
      </c:catAx>
      <c:valAx>
        <c:axId val="1628914303"/>
        <c:scaling>
          <c:orientation val="minMax"/>
        </c:scaling>
        <c:delete val="1"/>
        <c:axPos val="b"/>
        <c:numFmt formatCode="[&gt;=1000000]&quot;$&quot;0.0,,&quot;M&quot;;[&gt;=1000]&quot;$&quot;0.0,&quot;K&quot;;0" sourceLinked="1"/>
        <c:majorTickMark val="none"/>
        <c:minorTickMark val="none"/>
        <c:tickLblPos val="nextTo"/>
        <c:crossAx val="162891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 Copy.xlsx]profitanalysis!PivotTable14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profitanalysis!$AR$4</c:f>
              <c:strCache>
                <c:ptCount val="1"/>
                <c:pt idx="0">
                  <c:v>Total</c:v>
                </c:pt>
              </c:strCache>
            </c:strRef>
          </c:tx>
          <c:spPr>
            <a:solidFill>
              <a:schemeClr val="accent1"/>
            </a:solidFill>
            <a:ln>
              <a:noFill/>
            </a:ln>
            <a:effectLst/>
          </c:spPr>
          <c:invertIfNegative val="0"/>
          <c:cat>
            <c:strRef>
              <c:f>profitanalysis!$AQ$5:$AQ$10</c:f>
              <c:strCache>
                <c:ptCount val="5"/>
                <c:pt idx="0">
                  <c:v>Attorney Mist</c:v>
                </c:pt>
                <c:pt idx="1">
                  <c:v>Begin Brew</c:v>
                </c:pt>
                <c:pt idx="2">
                  <c:v>Common Splash</c:v>
                </c:pt>
                <c:pt idx="3">
                  <c:v>Eight Brew</c:v>
                </c:pt>
                <c:pt idx="4">
                  <c:v>Onto Dew</c:v>
                </c:pt>
              </c:strCache>
            </c:strRef>
          </c:cat>
          <c:val>
            <c:numRef>
              <c:f>profitanalysis!$AR$5:$AR$10</c:f>
              <c:numCache>
                <c:formatCode>[&gt;=1000000]"$"0.0,,"M";[&gt;=1000]"$"0.0,"K";0</c:formatCode>
                <c:ptCount val="5"/>
                <c:pt idx="0">
                  <c:v>78081.849999999962</c:v>
                </c:pt>
                <c:pt idx="1">
                  <c:v>95024.850000000035</c:v>
                </c:pt>
                <c:pt idx="2">
                  <c:v>84506.489999999932</c:v>
                </c:pt>
                <c:pt idx="3">
                  <c:v>82987.239999999991</c:v>
                </c:pt>
                <c:pt idx="4">
                  <c:v>83284.599999999977</c:v>
                </c:pt>
              </c:numCache>
            </c:numRef>
          </c:val>
          <c:extLst>
            <c:ext xmlns:c16="http://schemas.microsoft.com/office/drawing/2014/chart" uri="{C3380CC4-5D6E-409C-BE32-E72D297353CC}">
              <c16:uniqueId val="{00000000-C501-489F-8BD1-4A37415DBB58}"/>
            </c:ext>
          </c:extLst>
        </c:ser>
        <c:dLbls>
          <c:showLegendKey val="0"/>
          <c:showVal val="0"/>
          <c:showCatName val="0"/>
          <c:showSerName val="0"/>
          <c:showPercent val="0"/>
          <c:showBubbleSize val="0"/>
        </c:dLbls>
        <c:gapWidth val="219"/>
        <c:overlap val="-27"/>
        <c:axId val="1619514223"/>
        <c:axId val="1619514703"/>
      </c:barChart>
      <c:catAx>
        <c:axId val="161951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14703"/>
        <c:crosses val="autoZero"/>
        <c:auto val="1"/>
        <c:lblAlgn val="ctr"/>
        <c:lblOffset val="100"/>
        <c:noMultiLvlLbl val="0"/>
      </c:catAx>
      <c:valAx>
        <c:axId val="1619514703"/>
        <c:scaling>
          <c:orientation val="minMax"/>
        </c:scaling>
        <c:delete val="1"/>
        <c:axPos val="l"/>
        <c:majorGridlines>
          <c:spPr>
            <a:ln w="9525" cap="flat" cmpd="sng" algn="ctr">
              <a:solidFill>
                <a:schemeClr val="tx1">
                  <a:lumMod val="15000"/>
                  <a:lumOff val="85000"/>
                </a:schemeClr>
              </a:solidFill>
              <a:round/>
            </a:ln>
            <a:effectLst/>
          </c:spPr>
        </c:majorGridlines>
        <c:numFmt formatCode="[&gt;=1000000]&quot;$&quot;0.0,,&quot;M&quot;;[&gt;=1000]&quot;$&quot;0.0,&quot;K&quot;;0" sourceLinked="1"/>
        <c:majorTickMark val="none"/>
        <c:minorTickMark val="none"/>
        <c:tickLblPos val="nextTo"/>
        <c:crossAx val="161951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'time analysis'!$F$3</c:f>
              <c:strCache>
                <c:ptCount val="1"/>
                <c:pt idx="0">
                  <c:v>TOTOAL REVENUE </c:v>
                </c:pt>
              </c:strCache>
            </c:strRef>
          </c:tx>
          <c:spPr>
            <a:ln w="28575" cap="rnd">
              <a:solidFill>
                <a:schemeClr val="accent1"/>
              </a:solidFill>
              <a:round/>
            </a:ln>
            <a:effectLst/>
          </c:spPr>
          <c:marker>
            <c:symbol val="none"/>
          </c:marker>
          <c:dLbls>
            <c:dLbl>
              <c:idx val="0"/>
              <c:tx>
                <c:rich>
                  <a:bodyPr/>
                  <a:lstStyle/>
                  <a:p>
                    <a:fld id="{887E8198-1CA0-4035-BFCC-545D887774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11D-4E25-9D38-EA078F65F444}"/>
                </c:ext>
              </c:extLst>
            </c:dLbl>
            <c:dLbl>
              <c:idx val="1"/>
              <c:tx>
                <c:rich>
                  <a:bodyPr/>
                  <a:lstStyle/>
                  <a:p>
                    <a:fld id="{E9CCFE03-60EF-4C9F-970C-258E2A1F2E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11D-4E25-9D38-EA078F65F444}"/>
                </c:ext>
              </c:extLst>
            </c:dLbl>
            <c:dLbl>
              <c:idx val="2"/>
              <c:tx>
                <c:rich>
                  <a:bodyPr/>
                  <a:lstStyle/>
                  <a:p>
                    <a:fld id="{29C9C6CE-46BD-4A95-B0E5-5968C21F74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11D-4E25-9D38-EA078F65F444}"/>
                </c:ext>
              </c:extLst>
            </c:dLbl>
            <c:dLbl>
              <c:idx val="3"/>
              <c:tx>
                <c:rich>
                  <a:bodyPr/>
                  <a:lstStyle/>
                  <a:p>
                    <a:fld id="{48759A7B-6580-4307-ACA3-CB086EA42F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11D-4E25-9D38-EA078F65F444}"/>
                </c:ext>
              </c:extLst>
            </c:dLbl>
            <c:dLbl>
              <c:idx val="4"/>
              <c:tx>
                <c:rich>
                  <a:bodyPr/>
                  <a:lstStyle/>
                  <a:p>
                    <a:fld id="{863C9464-B665-4B08-8DC6-BCCD917ACB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11D-4E25-9D38-EA078F65F444}"/>
                </c:ext>
              </c:extLst>
            </c:dLbl>
            <c:dLbl>
              <c:idx val="5"/>
              <c:tx>
                <c:rich>
                  <a:bodyPr/>
                  <a:lstStyle/>
                  <a:p>
                    <a:fld id="{DDF36042-A9D3-4A8C-9732-1C64DD5EA7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11D-4E25-9D38-EA078F65F444}"/>
                </c:ext>
              </c:extLst>
            </c:dLbl>
            <c:dLbl>
              <c:idx val="6"/>
              <c:tx>
                <c:rich>
                  <a:bodyPr/>
                  <a:lstStyle/>
                  <a:p>
                    <a:fld id="{3FD16DF3-8C5B-4241-BC36-42CF61BD3A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11D-4E25-9D38-EA078F65F444}"/>
                </c:ext>
              </c:extLst>
            </c:dLbl>
            <c:dLbl>
              <c:idx val="7"/>
              <c:tx>
                <c:rich>
                  <a:bodyPr/>
                  <a:lstStyle/>
                  <a:p>
                    <a:fld id="{56C3B86F-6F12-43AD-818B-B9C9D951D7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11D-4E25-9D38-EA078F65F444}"/>
                </c:ext>
              </c:extLst>
            </c:dLbl>
            <c:dLbl>
              <c:idx val="8"/>
              <c:tx>
                <c:rich>
                  <a:bodyPr/>
                  <a:lstStyle/>
                  <a:p>
                    <a:fld id="{02386664-7160-4B14-91A1-E12F9A3114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11D-4E25-9D38-EA078F65F444}"/>
                </c:ext>
              </c:extLst>
            </c:dLbl>
            <c:dLbl>
              <c:idx val="9"/>
              <c:tx>
                <c:rich>
                  <a:bodyPr/>
                  <a:lstStyle/>
                  <a:p>
                    <a:fld id="{7AF38E63-C06C-4348-9440-94BC510B0D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11D-4E25-9D38-EA078F65F444}"/>
                </c:ext>
              </c:extLst>
            </c:dLbl>
            <c:dLbl>
              <c:idx val="10"/>
              <c:tx>
                <c:rich>
                  <a:bodyPr/>
                  <a:lstStyle/>
                  <a:p>
                    <a:fld id="{CDE67A95-D0F2-4269-A1E1-FF891336B3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11D-4E25-9D38-EA078F65F444}"/>
                </c:ext>
              </c:extLst>
            </c:dLbl>
            <c:dLbl>
              <c:idx val="11"/>
              <c:tx>
                <c:rich>
                  <a:bodyPr/>
                  <a:lstStyle/>
                  <a:p>
                    <a:fld id="{0D7A0347-A9C0-4E58-982B-DDEF64B10D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11D-4E25-9D38-EA078F65F4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'time analysis'!$E$4:$E$15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analysis'!$F$4:$F$15</c:f>
              <c:numCache>
                <c:formatCode>[&gt;=1000000]"$"0.0,,"M";[&gt;=1000]"$"0.0,"K";0</c:formatCode>
                <c:ptCount val="12"/>
                <c:pt idx="0">
                  <c:v>44298.269999999975</c:v>
                </c:pt>
                <c:pt idx="1">
                  <c:v>38941.549999999996</c:v>
                </c:pt>
                <c:pt idx="2">
                  <c:v>50074.630000000019</c:v>
                </c:pt>
                <c:pt idx="3">
                  <c:v>43948.810000000005</c:v>
                </c:pt>
                <c:pt idx="4">
                  <c:v>48923.540000000008</c:v>
                </c:pt>
                <c:pt idx="5">
                  <c:v>41951.799999999988</c:v>
                </c:pt>
                <c:pt idx="6">
                  <c:v>44768.409999999982</c:v>
                </c:pt>
                <c:pt idx="7">
                  <c:v>51449.09</c:v>
                </c:pt>
                <c:pt idx="8">
                  <c:v>54290.479999999996</c:v>
                </c:pt>
                <c:pt idx="9">
                  <c:v>41606.340000000033</c:v>
                </c:pt>
                <c:pt idx="10">
                  <c:v>40990.89999999998</c:v>
                </c:pt>
                <c:pt idx="11">
                  <c:v>46231.48</c:v>
                </c:pt>
              </c:numCache>
            </c:numRef>
          </c:val>
          <c:smooth val="0"/>
          <c:extLst>
            <c:ext xmlns:c15="http://schemas.microsoft.com/office/drawing/2012/chart" uri="{02D57815-91ED-43cb-92C2-25804820EDAC}">
              <c15:datalabelsRange>
                <c15:f>'time analysis'!$H$4:$H$15</c15:f>
                <c15:dlblRangeCache>
                  <c:ptCount val="12"/>
                  <c:pt idx="7">
                    <c:v>$51.4K</c:v>
                  </c:pt>
                  <c:pt idx="8">
                    <c:v>54604</c:v>
                  </c:pt>
                </c15:dlblRangeCache>
              </c15:datalabelsRange>
            </c:ext>
            <c:ext xmlns:c16="http://schemas.microsoft.com/office/drawing/2014/chart" uri="{C3380CC4-5D6E-409C-BE32-E72D297353CC}">
              <c16:uniqueId val="{00000000-E11D-4E25-9D38-EA078F65F444}"/>
            </c:ext>
          </c:extLst>
        </c:ser>
        <c:ser>
          <c:idx val="1"/>
          <c:order val="1"/>
          <c:tx>
            <c:strRef>
              <c:f>'time analysis'!$G$3</c:f>
              <c:strCache>
                <c:ptCount val="1"/>
                <c:pt idx="0">
                  <c:v>TOTAL TARGET</c:v>
                </c:pt>
              </c:strCache>
            </c:strRef>
          </c:tx>
          <c:spPr>
            <a:ln w="28575" cap="rnd">
              <a:solidFill>
                <a:schemeClr val="accent2"/>
              </a:solidFill>
              <a:round/>
            </a:ln>
            <a:effectLst/>
          </c:spPr>
          <c:marker>
            <c:symbol val="none"/>
          </c:marker>
          <c:dLbls>
            <c:delete val="1"/>
          </c:dLbls>
          <c:cat>
            <c:strRef>
              <c:f>'time analysis'!$E$4:$E$15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analysis'!$G$4:$G$15</c:f>
              <c:numCache>
                <c:formatCode>[&gt;=1000000]"$"0.0,,"M";[&gt;=1000]"$"0.0,"K";0</c:formatCode>
                <c:ptCount val="12"/>
                <c:pt idx="0">
                  <c:v>57367</c:v>
                </c:pt>
                <c:pt idx="1">
                  <c:v>60401</c:v>
                </c:pt>
                <c:pt idx="2">
                  <c:v>68774</c:v>
                </c:pt>
                <c:pt idx="3">
                  <c:v>67925</c:v>
                </c:pt>
                <c:pt idx="4">
                  <c:v>53319</c:v>
                </c:pt>
                <c:pt idx="5">
                  <c:v>65382</c:v>
                </c:pt>
                <c:pt idx="6">
                  <c:v>59880</c:v>
                </c:pt>
                <c:pt idx="7">
                  <c:v>53945</c:v>
                </c:pt>
                <c:pt idx="8">
                  <c:v>54604</c:v>
                </c:pt>
                <c:pt idx="9">
                  <c:v>31823</c:v>
                </c:pt>
                <c:pt idx="10">
                  <c:v>33281</c:v>
                </c:pt>
                <c:pt idx="11">
                  <c:v>39379</c:v>
                </c:pt>
              </c:numCache>
            </c:numRef>
          </c:val>
          <c:smooth val="0"/>
          <c:extLst>
            <c:ext xmlns:c16="http://schemas.microsoft.com/office/drawing/2014/chart" uri="{C3380CC4-5D6E-409C-BE32-E72D297353CC}">
              <c16:uniqueId val="{00000001-E11D-4E25-9D38-EA078F65F444}"/>
            </c:ext>
          </c:extLst>
        </c:ser>
        <c:dLbls>
          <c:showLegendKey val="0"/>
          <c:showVal val="1"/>
          <c:showCatName val="0"/>
          <c:showSerName val="0"/>
          <c:showPercent val="0"/>
          <c:showBubbleSize val="0"/>
        </c:dLbls>
        <c:smooth val="0"/>
        <c:axId val="348038400"/>
        <c:axId val="348038880"/>
      </c:lineChart>
      <c:catAx>
        <c:axId val="34803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38880"/>
        <c:crosses val="autoZero"/>
        <c:auto val="1"/>
        <c:lblAlgn val="ctr"/>
        <c:lblOffset val="100"/>
        <c:noMultiLvlLbl val="0"/>
      </c:catAx>
      <c:valAx>
        <c:axId val="34803888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3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'time analysis'!$K$3</c:f>
              <c:strCache>
                <c:ptCount val="1"/>
                <c:pt idx="0">
                  <c:v>VARIANCE</c:v>
                </c:pt>
              </c:strCache>
            </c:strRef>
          </c:tx>
          <c:spPr>
            <a:solidFill>
              <a:schemeClr val="accent1"/>
            </a:solidFill>
            <a:ln>
              <a:noFill/>
            </a:ln>
            <a:effectLst/>
          </c:spPr>
          <c:invertIfNegative val="0"/>
          <c:cat>
            <c:strRef>
              <c:f>'time analysis'!$J$4:$J$15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analysis'!$K$4:$K$15</c:f>
              <c:numCache>
                <c:formatCode>\+0.0%;\-0.0%</c:formatCode>
                <c:ptCount val="12"/>
                <c:pt idx="0">
                  <c:v>-0.22780919343873698</c:v>
                </c:pt>
                <c:pt idx="1">
                  <c:v>-0.35528302511547827</c:v>
                </c:pt>
                <c:pt idx="2">
                  <c:v>-0.27189591996975571</c:v>
                </c:pt>
                <c:pt idx="3">
                  <c:v>-0.35298034596981959</c:v>
                </c:pt>
                <c:pt idx="4">
                  <c:v>-8.2437029951799398E-2</c:v>
                </c:pt>
                <c:pt idx="5">
                  <c:v>-0.35835856963690332</c:v>
                </c:pt>
                <c:pt idx="6">
                  <c:v>-0.25236456245825012</c:v>
                </c:pt>
                <c:pt idx="7">
                  <c:v>-4.626768004448982E-2</c:v>
                </c:pt>
                <c:pt idx="8">
                  <c:v>-5.7417039044759368E-3</c:v>
                </c:pt>
                <c:pt idx="9">
                  <c:v>0.30742984633755566</c:v>
                </c:pt>
                <c:pt idx="10">
                  <c:v>0.23166070731047683</c:v>
                </c:pt>
                <c:pt idx="11">
                  <c:v>0.17401356052718461</c:v>
                </c:pt>
              </c:numCache>
            </c:numRef>
          </c:val>
          <c:extLst>
            <c:ext xmlns:c16="http://schemas.microsoft.com/office/drawing/2014/chart" uri="{C3380CC4-5D6E-409C-BE32-E72D297353CC}">
              <c16:uniqueId val="{00000000-FBB5-42CE-BACD-AA69613C1406}"/>
            </c:ext>
          </c:extLst>
        </c:ser>
        <c:dLbls>
          <c:showLegendKey val="0"/>
          <c:showVal val="0"/>
          <c:showCatName val="0"/>
          <c:showSerName val="0"/>
          <c:showPercent val="0"/>
          <c:showBubbleSize val="0"/>
        </c:dLbls>
        <c:gapWidth val="219"/>
        <c:overlap val="-27"/>
        <c:axId val="713755247"/>
        <c:axId val="263622560"/>
      </c:barChart>
      <c:catAx>
        <c:axId val="713755247"/>
        <c:scaling>
          <c:orientation val="minMax"/>
        </c:scaling>
        <c:delete val="1"/>
        <c:axPos val="b"/>
        <c:numFmt formatCode="General" sourceLinked="1"/>
        <c:majorTickMark val="none"/>
        <c:minorTickMark val="none"/>
        <c:tickLblPos val="nextTo"/>
        <c:crossAx val="263622560"/>
        <c:crosses val="autoZero"/>
        <c:auto val="1"/>
        <c:lblAlgn val="ctr"/>
        <c:lblOffset val="100"/>
        <c:noMultiLvlLbl val="0"/>
      </c:catAx>
      <c:valAx>
        <c:axId val="263622560"/>
        <c:scaling>
          <c:orientation val="minMax"/>
        </c:scaling>
        <c:delete val="1"/>
        <c:axPos val="l"/>
        <c:numFmt formatCode="\+0.0%;\-0.0%" sourceLinked="1"/>
        <c:majorTickMark val="none"/>
        <c:minorTickMark val="none"/>
        <c:tickLblPos val="nextTo"/>
        <c:crossAx val="71375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'time analysis'!$AM$11</c:f>
              <c:strCache>
                <c:ptCount val="1"/>
                <c:pt idx="0">
                  <c:v>TOTAL REVENUE</c:v>
                </c:pt>
              </c:strCache>
            </c:strRef>
          </c:tx>
          <c:spPr>
            <a:solidFill>
              <a:schemeClr val="accent1"/>
            </a:solidFill>
            <a:ln>
              <a:noFill/>
            </a:ln>
            <a:effectLst/>
          </c:spPr>
          <c:invertIfNegative val="0"/>
          <c:dLbls>
            <c:dLbl>
              <c:idx val="0"/>
              <c:tx>
                <c:rich>
                  <a:bodyPr/>
                  <a:lstStyle/>
                  <a:p>
                    <a:fld id="{D8067D92-6D9F-4B47-9EEF-7A03119C3D69}" type="CELLRANGE">
                      <a:rPr lang="en-US" baseline="0"/>
                      <a:pPr/>
                      <a:t>[CELLRANGE]</a:t>
                    </a:fld>
                    <a:r>
                      <a:rPr lang="en-US" baseline="0"/>
                      <a:t>, </a:t>
                    </a:r>
                    <a:fld id="{0F8275B1-1FDA-4469-9FCF-132C15A5C5C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EE0-4ABC-A345-9B441B87956D}"/>
                </c:ext>
              </c:extLst>
            </c:dLbl>
            <c:dLbl>
              <c:idx val="1"/>
              <c:tx>
                <c:rich>
                  <a:bodyPr/>
                  <a:lstStyle/>
                  <a:p>
                    <a:fld id="{11742684-2350-4D1D-8596-1B00572BB07A}" type="CELLRANGE">
                      <a:rPr lang="en-US"/>
                      <a:pPr/>
                      <a:t>[CELLRANGE]</a:t>
                    </a:fld>
                    <a:r>
                      <a:rPr lang="en-US" baseline="0"/>
                      <a:t>, </a:t>
                    </a:r>
                    <a:fld id="{9E5886F6-F1CA-47FA-B4CD-6BBAA93B3C52}"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E0-4ABC-A345-9B441B87956D}"/>
                </c:ext>
              </c:extLst>
            </c:dLbl>
            <c:dLbl>
              <c:idx val="2"/>
              <c:layout>
                <c:manualLayout>
                  <c:x val="0"/>
                  <c:y val="-4.0475507537368137E-2"/>
                </c:manualLayout>
              </c:layout>
              <c:tx>
                <c:rich>
                  <a:bodyPr/>
                  <a:lstStyle/>
                  <a:p>
                    <a:fld id="{5C059B71-F35A-41B6-BF6E-89DF42C84119}" type="CELLRANGE">
                      <a:rPr lang="en-US" baseline="0"/>
                      <a:pPr/>
                      <a:t>[CELLRANGE]</a:t>
                    </a:fld>
                    <a:r>
                      <a:rPr lang="en-US" baseline="0"/>
                      <a:t>, </a:t>
                    </a:r>
                    <a:fld id="{8809D0D9-8CB1-4916-B1E6-9F4CE917280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EE0-4ABC-A345-9B441B87956D}"/>
                </c:ext>
              </c:extLst>
            </c:dLbl>
            <c:dLbl>
              <c:idx val="3"/>
              <c:tx>
                <c:rich>
                  <a:bodyPr/>
                  <a:lstStyle/>
                  <a:p>
                    <a:fld id="{114EB708-85D5-4BB4-90AB-7D4C7BD302F8}" type="CELLRANGE">
                      <a:rPr lang="en-US"/>
                      <a:pPr/>
                      <a:t>[CELLRANGE]</a:t>
                    </a:fld>
                    <a:r>
                      <a:rPr lang="en-US" baseline="0"/>
                      <a:t>, </a:t>
                    </a:r>
                    <a:fld id="{AB4346DD-3B6A-4C4B-BDD9-686062BDEBC2}"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E0-4ABC-A345-9B441B8795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'time analysis'!$AL$12:$AL$15</c:f>
              <c:strCache>
                <c:ptCount val="4"/>
                <c:pt idx="0">
                  <c:v>Q-1</c:v>
                </c:pt>
                <c:pt idx="1">
                  <c:v>Q-2</c:v>
                </c:pt>
                <c:pt idx="2">
                  <c:v>Q-3</c:v>
                </c:pt>
                <c:pt idx="3">
                  <c:v>Q-4</c:v>
                </c:pt>
              </c:strCache>
            </c:strRef>
          </c:cat>
          <c:val>
            <c:numRef>
              <c:f>'time analysis'!$AM$12:$AM$15</c:f>
              <c:numCache>
                <c:formatCode>[&gt;=1000000]"$"0.0,,"M";[&gt;=1000]"$"0,"K";0</c:formatCode>
                <c:ptCount val="4"/>
                <c:pt idx="0">
                  <c:v>133314.45000000007</c:v>
                </c:pt>
                <c:pt idx="1">
                  <c:v>134824.14999999997</c:v>
                </c:pt>
                <c:pt idx="2">
                  <c:v>150507.98000000016</c:v>
                </c:pt>
                <c:pt idx="3">
                  <c:v>128828.7199999999</c:v>
                </c:pt>
              </c:numCache>
            </c:numRef>
          </c:val>
          <c:extLst>
            <c:ext xmlns:c15="http://schemas.microsoft.com/office/drawing/2012/chart" uri="{02D57815-91ED-43cb-92C2-25804820EDAC}">
              <c15:datalabelsRange>
                <c15:f>'time analysis'!$AN$4:$AN$7</c15:f>
                <c15:dlblRangeCache>
                  <c:ptCount val="4"/>
                  <c:pt idx="1">
                    <c:v>+1.1%</c:v>
                  </c:pt>
                  <c:pt idx="2">
                    <c:v>+11.6%</c:v>
                  </c:pt>
                  <c:pt idx="3">
                    <c:v>-14.4%</c:v>
                  </c:pt>
                </c15:dlblRangeCache>
              </c15:datalabelsRange>
            </c:ext>
            <c:ext xmlns:c16="http://schemas.microsoft.com/office/drawing/2014/chart" uri="{C3380CC4-5D6E-409C-BE32-E72D297353CC}">
              <c16:uniqueId val="{00000000-BEE0-4ABC-A345-9B441B87956D}"/>
            </c:ext>
          </c:extLst>
        </c:ser>
        <c:ser>
          <c:idx val="1"/>
          <c:order val="1"/>
          <c:tx>
            <c:strRef>
              <c:f>'time analysis'!$AN$11</c:f>
              <c:strCache>
                <c:ptCount val="1"/>
                <c:pt idx="0">
                  <c:v>HIGHLIGHT</c:v>
                </c:pt>
              </c:strCache>
            </c:strRef>
          </c:tx>
          <c:spPr>
            <a:solidFill>
              <a:schemeClr val="accent2"/>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4-BEE0-4ABC-A345-9B441B87956D}"/>
                </c:ext>
              </c:extLst>
            </c:dLbl>
            <c:dLbl>
              <c:idx val="3"/>
              <c:delete val="1"/>
              <c:extLst>
                <c:ext xmlns:c15="http://schemas.microsoft.com/office/drawing/2012/chart" uri="{CE6537A1-D6FC-4f65-9D91-7224C49458BB}"/>
                <c:ext xmlns:c16="http://schemas.microsoft.com/office/drawing/2014/chart" uri="{C3380CC4-5D6E-409C-BE32-E72D297353CC}">
                  <c16:uniqueId val="{0000000B-BEE0-4ABC-A345-9B441B8795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'time analysis'!$AN$12:$AN$15</c:f>
              <c:numCache>
                <c:formatCode>General</c:formatCode>
                <c:ptCount val="4"/>
                <c:pt idx="0">
                  <c:v>0</c:v>
                </c:pt>
                <c:pt idx="1">
                  <c:v>0</c:v>
                </c:pt>
                <c:pt idx="2">
                  <c:v>150507.98000000016</c:v>
                </c:pt>
                <c:pt idx="3">
                  <c:v>0</c:v>
                </c:pt>
              </c:numCache>
            </c:numRef>
          </c:val>
          <c:extLst>
            <c:ext xmlns:c16="http://schemas.microsoft.com/office/drawing/2014/chart" uri="{C3380CC4-5D6E-409C-BE32-E72D297353CC}">
              <c16:uniqueId val="{00000001-BEE0-4ABC-A345-9B441B87956D}"/>
            </c:ext>
          </c:extLst>
        </c:ser>
        <c:dLbls>
          <c:showLegendKey val="0"/>
          <c:showVal val="1"/>
          <c:showCatName val="0"/>
          <c:showSerName val="0"/>
          <c:showPercent val="0"/>
          <c:showBubbleSize val="0"/>
        </c:dLbls>
        <c:gapWidth val="219"/>
        <c:overlap val="100"/>
        <c:axId val="737840543"/>
        <c:axId val="737826143"/>
      </c:barChart>
      <c:lineChart>
        <c:grouping val="standard"/>
        <c:varyColors val="0"/>
        <c:ser>
          <c:idx val="2"/>
          <c:order val="2"/>
          <c:tx>
            <c:strRef>
              <c:f>'time analysis'!$AO$11</c:f>
              <c:strCache>
                <c:ptCount val="1"/>
                <c:pt idx="0">
                  <c:v>AVG</c:v>
                </c:pt>
              </c:strCache>
            </c:strRef>
          </c:tx>
          <c:spPr>
            <a:ln w="28575" cap="rnd">
              <a:solidFill>
                <a:schemeClr val="accent3"/>
              </a:solidFill>
              <a:round/>
            </a:ln>
            <a:effectLst/>
          </c:spPr>
          <c:marker>
            <c:symbol val="none"/>
          </c:marker>
          <c:dLbls>
            <c:delete val="1"/>
          </c:dLbls>
          <c:val>
            <c:numRef>
              <c:f>'time analysis'!$AO$12:$AO$15</c:f>
              <c:numCache>
                <c:formatCode>[&gt;=1000000]"$"0.0,,"M";[&gt;=1000]"$"0,"K";0</c:formatCode>
                <c:ptCount val="4"/>
                <c:pt idx="0">
                  <c:v>136868.82500000001</c:v>
                </c:pt>
                <c:pt idx="1">
                  <c:v>136868.82500000001</c:v>
                </c:pt>
                <c:pt idx="2">
                  <c:v>136868.82500000001</c:v>
                </c:pt>
                <c:pt idx="3">
                  <c:v>136868.82500000001</c:v>
                </c:pt>
              </c:numCache>
            </c:numRef>
          </c:val>
          <c:smooth val="0"/>
          <c:extLst>
            <c:ext xmlns:c16="http://schemas.microsoft.com/office/drawing/2014/chart" uri="{C3380CC4-5D6E-409C-BE32-E72D297353CC}">
              <c16:uniqueId val="{00000002-BEE0-4ABC-A345-9B441B87956D}"/>
            </c:ext>
          </c:extLst>
        </c:ser>
        <c:dLbls>
          <c:showLegendKey val="0"/>
          <c:showVal val="1"/>
          <c:showCatName val="0"/>
          <c:showSerName val="0"/>
          <c:showPercent val="0"/>
          <c:showBubbleSize val="0"/>
        </c:dLbls>
        <c:marker val="1"/>
        <c:smooth val="0"/>
        <c:axId val="737840543"/>
        <c:axId val="737826143"/>
      </c:lineChart>
      <c:catAx>
        <c:axId val="73784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826143"/>
        <c:crosses val="autoZero"/>
        <c:auto val="1"/>
        <c:lblAlgn val="ctr"/>
        <c:lblOffset val="100"/>
        <c:noMultiLvlLbl val="0"/>
      </c:catAx>
      <c:valAx>
        <c:axId val="737826143"/>
        <c:scaling>
          <c:orientation val="minMax"/>
        </c:scaling>
        <c:delete val="0"/>
        <c:axPos val="l"/>
        <c:numFmt formatCode="[&gt;=1000000]&quot;$&quot;0.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84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44EE2247-134F-4B57-A539-DFF60D5A3EDB}">
          <cx:tx>
            <cx:txData>
              <cx:f>_xlchart.v1.1</cx:f>
              <cx:v>PROFIT MARGIN</cx:v>
            </cx:txData>
          </cx:tx>
          <cx:dataPt idx="0">
            <cx:spPr>
              <a:solidFill>
                <a:srgbClr val="ED7D31">
                  <a:lumMod val="75000"/>
                </a:srgbClr>
              </a:solidFill>
              <a:ln>
                <a:noFill/>
              </a:ln>
            </cx:spPr>
          </cx:dataPt>
          <cx:dataPt idx="1">
            <cx:spPr>
              <a:gradFill flip="none" rotWithShape="1">
                <a:gsLst>
                  <a:gs pos="0">
                    <a:srgbClr val="70AD47">
                      <a:lumMod val="67000"/>
                    </a:srgbClr>
                  </a:gs>
                  <a:gs pos="48000">
                    <a:srgbClr val="70AD47">
                      <a:lumMod val="97000"/>
                      <a:lumOff val="3000"/>
                    </a:srgbClr>
                  </a:gs>
                  <a:gs pos="100000">
                    <a:srgbClr val="70AD47">
                      <a:lumMod val="60000"/>
                      <a:lumOff val="40000"/>
                    </a:srgbClr>
                  </a:gs>
                </a:gsLst>
                <a:lin ang="16200000" scaled="1"/>
                <a:tileRect/>
              </a:gradFill>
              <a:ln>
                <a:noFill/>
              </a:ln>
            </cx:spPr>
          </cx:dataPt>
          <cx:dataPt idx="2">
            <cx:spPr>
              <a:solidFill>
                <a:srgbClr val="7030A0"/>
              </a:solidFill>
              <a:ln>
                <a:noFill/>
              </a:ln>
            </cx:spPr>
          </cx:dataPt>
          <cx:dataPt idx="3">
            <cx:spPr>
              <a:ln>
                <a:noFill/>
              </a:ln>
            </cx:spPr>
          </cx:dataPt>
          <cx:dataPt idx="4">
            <cx:spPr>
              <a:ln>
                <a:noFill/>
              </a:ln>
            </cx:spPr>
          </cx:dataPt>
          <cx:dataLabels pos="inEnd">
            <cx:visibility seriesName="0" categoryName="1" value="0"/>
          </cx:dataLabels>
          <cx:dataId val="0"/>
          <cx:layoutPr>
            <cx:parentLabelLayout val="overlapping"/>
          </cx:layoutPr>
        </cx:series>
      </cx:plotAreaRegion>
    </cx:plotArea>
    <cx:legend pos="b" align="ctr" overlay="0">
      <cx:spPr>
        <a:ln>
          <a:noFill/>
        </a:ln>
      </cx:spPr>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44EE2247-134F-4B57-A539-DFF60D5A3EDB}">
          <cx:tx>
            <cx:txData>
              <cx:f>_xlchart.v1.4</cx:f>
              <cx:v>PROFIT MARGIN</cx:v>
            </cx:txData>
          </cx:tx>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rofitanalysis!$D$2:$D$3"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Style="combo" dx="31" fmlaLink="profitanalysis!$D$3" fmlaRange="profitanalysis!$E$2:$E$3" noThreeD="1" sel="1" val="0"/>
</file>

<file path=xl/ctrlProps/ctrlProp4.xml><?xml version="1.0" encoding="utf-8"?>
<formControlPr xmlns="http://schemas.microsoft.com/office/spreadsheetml/2009/9/main" objectType="Radio" checked="Checked" firstButton="1" fmlaLink="$D$2" lockText="1" noThreeD="1"/>
</file>

<file path=xl/ctrlProps/ctrlProp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3.xml"/><Relationship Id="rId3" Type="http://schemas.openxmlformats.org/officeDocument/2006/relationships/hyperlink" Target="#'PROFIT VIEW'!A1"/><Relationship Id="rId7" Type="http://schemas.openxmlformats.org/officeDocument/2006/relationships/chart" Target="../charts/chart1.xml"/><Relationship Id="rId12" Type="http://schemas.openxmlformats.org/officeDocument/2006/relationships/chart" Target="../charts/chart2.xml"/><Relationship Id="rId17" Type="http://schemas.microsoft.com/office/2014/relationships/chartEx" Target="../charts/chartEx1.xml"/><Relationship Id="rId2" Type="http://schemas.openxmlformats.org/officeDocument/2006/relationships/hyperlink" Target="#STORE!A1"/><Relationship Id="rId16" Type="http://schemas.openxmlformats.org/officeDocument/2006/relationships/chart" Target="../charts/chart6.xml"/><Relationship Id="rId1" Type="http://schemas.openxmlformats.org/officeDocument/2006/relationships/hyperlink" Target="#TIMEFRAM!A1"/><Relationship Id="rId6" Type="http://schemas.microsoft.com/office/2007/relationships/hdphoto" Target="../media/hdphoto1.wdp"/><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5.svg"/><Relationship Id="rId4" Type="http://schemas.openxmlformats.org/officeDocument/2006/relationships/image" Target="../media/image1.png"/><Relationship Id="rId9" Type="http://schemas.openxmlformats.org/officeDocument/2006/relationships/image" Target="../media/image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svg"/><Relationship Id="rId1" Type="http://schemas.openxmlformats.org/officeDocument/2006/relationships/image" Target="../media/image7.png"/><Relationship Id="rId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8" Type="http://schemas.openxmlformats.org/officeDocument/2006/relationships/hyperlink" Target="#STORE!A1"/><Relationship Id="rId3" Type="http://schemas.openxmlformats.org/officeDocument/2006/relationships/chart" Target="../charts/chart9.xml"/><Relationship Id="rId7" Type="http://schemas.openxmlformats.org/officeDocument/2006/relationships/hyperlink" Target="#TIMEFRAM!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emf"/><Relationship Id="rId9" Type="http://schemas.openxmlformats.org/officeDocument/2006/relationships/hyperlink" Target="#'PROFIT VIEW'!A1"/></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16.emf"/><Relationship Id="rId3" Type="http://schemas.openxmlformats.org/officeDocument/2006/relationships/hyperlink" Target="#'PROFIT VIEW'!A1"/><Relationship Id="rId7" Type="http://schemas.openxmlformats.org/officeDocument/2006/relationships/image" Target="../media/image15.emf"/><Relationship Id="rId2" Type="http://schemas.openxmlformats.org/officeDocument/2006/relationships/hyperlink" Target="#STORE!A1"/><Relationship Id="rId1" Type="http://schemas.openxmlformats.org/officeDocument/2006/relationships/hyperlink" Target="#TIMEFRAM!A1"/><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5.xml"/><Relationship Id="rId4" Type="http://schemas.openxmlformats.org/officeDocument/2006/relationships/image" Target="../media/image1.png"/><Relationship Id="rId9" Type="http://schemas.openxmlformats.org/officeDocument/2006/relationships/image" Target="../media/image17.emf"/></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7" Type="http://schemas.microsoft.com/office/2014/relationships/chartEx" Target="../charts/chartEx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19.emf"/><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30</xdr:col>
      <xdr:colOff>244230</xdr:colOff>
      <xdr:row>46</xdr:row>
      <xdr:rowOff>4044</xdr:rowOff>
    </xdr:to>
    <xdr:sp macro="" textlink="">
      <xdr:nvSpPr>
        <xdr:cNvPr id="2" name="Rectangle 1">
          <a:extLst>
            <a:ext uri="{FF2B5EF4-FFF2-40B4-BE49-F238E27FC236}">
              <a16:creationId xmlns:a16="http://schemas.microsoft.com/office/drawing/2014/main" id="{4FFACAF4-194C-4C38-BE3C-61F28D8941BD}"/>
            </a:ext>
          </a:extLst>
        </xdr:cNvPr>
        <xdr:cNvSpPr/>
      </xdr:nvSpPr>
      <xdr:spPr>
        <a:xfrm>
          <a:off x="0" y="0"/>
          <a:ext cx="18561538" cy="84300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0</xdr:row>
      <xdr:rowOff>8141</xdr:rowOff>
    </xdr:from>
    <xdr:to>
      <xdr:col>12</xdr:col>
      <xdr:colOff>120005</xdr:colOff>
      <xdr:row>28</xdr:row>
      <xdr:rowOff>165652</xdr:rowOff>
    </xdr:to>
    <xdr:sp macro="" textlink="">
      <xdr:nvSpPr>
        <xdr:cNvPr id="3" name="Half Frame 2">
          <a:extLst>
            <a:ext uri="{FF2B5EF4-FFF2-40B4-BE49-F238E27FC236}">
              <a16:creationId xmlns:a16="http://schemas.microsoft.com/office/drawing/2014/main" id="{B6AD64DF-C740-483B-A530-7DC9AC943E37}"/>
            </a:ext>
          </a:extLst>
        </xdr:cNvPr>
        <xdr:cNvSpPr/>
      </xdr:nvSpPr>
      <xdr:spPr>
        <a:xfrm>
          <a:off x="0" y="8141"/>
          <a:ext cx="7490169" cy="5404068"/>
        </a:xfrm>
        <a:prstGeom prst="halfFrame">
          <a:avLst>
            <a:gd name="adj1" fmla="val 17821"/>
            <a:gd name="adj2" fmla="val 17526"/>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xdr:col>
      <xdr:colOff>453572</xdr:colOff>
      <xdr:row>5</xdr:row>
      <xdr:rowOff>143990</xdr:rowOff>
    </xdr:from>
    <xdr:to>
      <xdr:col>23</xdr:col>
      <xdr:colOff>540991</xdr:colOff>
      <xdr:row>43</xdr:row>
      <xdr:rowOff>155509</xdr:rowOff>
    </xdr:to>
    <xdr:grpSp>
      <xdr:nvGrpSpPr>
        <xdr:cNvPr id="4" name="Group 3">
          <a:extLst>
            <a:ext uri="{FF2B5EF4-FFF2-40B4-BE49-F238E27FC236}">
              <a16:creationId xmlns:a16="http://schemas.microsoft.com/office/drawing/2014/main" id="{B8C06930-3A13-43C2-8FDA-78C430B295D3}"/>
            </a:ext>
          </a:extLst>
        </xdr:cNvPr>
        <xdr:cNvGrpSpPr/>
      </xdr:nvGrpSpPr>
      <xdr:grpSpPr>
        <a:xfrm>
          <a:off x="1065481" y="1067626"/>
          <a:ext cx="13549419" cy="7031156"/>
          <a:chOff x="1065893" y="1051133"/>
          <a:chExt cx="10982909" cy="6905805"/>
        </a:xfrm>
        <a:gradFill flip="none" rotWithShape="1">
          <a:gsLst>
            <a:gs pos="0">
              <a:schemeClr val="accent3">
                <a:lumMod val="40000"/>
                <a:lumOff val="60000"/>
              </a:schemeClr>
            </a:gs>
            <a:gs pos="86000">
              <a:schemeClr val="accent3">
                <a:lumMod val="95000"/>
                <a:lumOff val="5000"/>
              </a:schemeClr>
            </a:gs>
            <a:gs pos="100000">
              <a:schemeClr val="accent3">
                <a:lumMod val="60000"/>
              </a:schemeClr>
            </a:gs>
          </a:gsLst>
          <a:path path="circle">
            <a:fillToRect l="50000" t="130000" r="50000" b="-30000"/>
          </a:path>
          <a:tileRect/>
        </a:gradFill>
      </xdr:grpSpPr>
      <xdr:sp macro="" textlink="">
        <xdr:nvSpPr>
          <xdr:cNvPr id="5" name="Rectangle: Diagonal Corners Rounded 4">
            <a:extLst>
              <a:ext uri="{FF2B5EF4-FFF2-40B4-BE49-F238E27FC236}">
                <a16:creationId xmlns:a16="http://schemas.microsoft.com/office/drawing/2014/main" id="{B614D730-C1C5-367A-5C4B-68F31B7196BA}"/>
              </a:ext>
            </a:extLst>
          </xdr:cNvPr>
          <xdr:cNvSpPr/>
        </xdr:nvSpPr>
        <xdr:spPr>
          <a:xfrm>
            <a:off x="1065893" y="1051133"/>
            <a:ext cx="10982909" cy="6905805"/>
          </a:xfrm>
          <a:prstGeom prst="round2DiagRect">
            <a:avLst>
              <a:gd name="adj1" fmla="val 0"/>
              <a:gd name="adj2" fmla="val 14496"/>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50000"/>
                </a:schemeClr>
              </a:solidFill>
            </a:endParaRPr>
          </a:p>
        </xdr:txBody>
      </xdr:sp>
      <xdr:sp macro="" textlink="">
        <xdr:nvSpPr>
          <xdr:cNvPr id="6" name="Rectangle: Diagonal Corners Rounded 5">
            <a:extLst>
              <a:ext uri="{FF2B5EF4-FFF2-40B4-BE49-F238E27FC236}">
                <a16:creationId xmlns:a16="http://schemas.microsoft.com/office/drawing/2014/main" id="{1E2DD9F9-9337-496D-F9AB-B8F97C5D17BE}"/>
              </a:ext>
            </a:extLst>
          </xdr:cNvPr>
          <xdr:cNvSpPr/>
        </xdr:nvSpPr>
        <xdr:spPr>
          <a:xfrm>
            <a:off x="1407845" y="2321520"/>
            <a:ext cx="7647580" cy="5331503"/>
          </a:xfrm>
          <a:prstGeom prst="round2DiagRect">
            <a:avLst>
              <a:gd name="adj1" fmla="val 0"/>
              <a:gd name="adj2" fmla="val 10335"/>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50000"/>
                </a:schemeClr>
              </a:solidFill>
            </a:endParaRPr>
          </a:p>
        </xdr:txBody>
      </xdr:sp>
    </xdr:grpSp>
    <xdr:clientData/>
  </xdr:twoCellAnchor>
  <xdr:twoCellAnchor editAs="absolute">
    <xdr:from>
      <xdr:col>2</xdr:col>
      <xdr:colOff>429455</xdr:colOff>
      <xdr:row>1</xdr:row>
      <xdr:rowOff>148529</xdr:rowOff>
    </xdr:from>
    <xdr:to>
      <xdr:col>11</xdr:col>
      <xdr:colOff>77482</xdr:colOff>
      <xdr:row>4</xdr:row>
      <xdr:rowOff>56537</xdr:rowOff>
    </xdr:to>
    <xdr:sp macro="" textlink="">
      <xdr:nvSpPr>
        <xdr:cNvPr id="8" name="TextBox 7">
          <a:extLst>
            <a:ext uri="{FF2B5EF4-FFF2-40B4-BE49-F238E27FC236}">
              <a16:creationId xmlns:a16="http://schemas.microsoft.com/office/drawing/2014/main" id="{2EEDF194-9535-4357-8571-9D77E821F79F}"/>
            </a:ext>
          </a:extLst>
        </xdr:cNvPr>
        <xdr:cNvSpPr txBox="1"/>
      </xdr:nvSpPr>
      <xdr:spPr>
        <a:xfrm>
          <a:off x="1648655" y="332679"/>
          <a:ext cx="5134427" cy="46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a:solidFill>
                <a:srgbClr val="002060"/>
              </a:solidFill>
            </a:rPr>
            <a:t>BUSINESS DASHBOARD</a:t>
          </a:r>
        </a:p>
      </xdr:txBody>
    </xdr:sp>
    <xdr:clientData/>
  </xdr:twoCellAnchor>
  <xdr:twoCellAnchor editAs="absolute">
    <xdr:from>
      <xdr:col>18</xdr:col>
      <xdr:colOff>524914</xdr:colOff>
      <xdr:row>2</xdr:row>
      <xdr:rowOff>153706</xdr:rowOff>
    </xdr:from>
    <xdr:to>
      <xdr:col>22</xdr:col>
      <xdr:colOff>1934</xdr:colOff>
      <xdr:row>5</xdr:row>
      <xdr:rowOff>0</xdr:rowOff>
    </xdr:to>
    <xdr:sp macro="" textlink="">
      <xdr:nvSpPr>
        <xdr:cNvPr id="10" name="Rectangle: Rounded Corners 9">
          <a:extLst>
            <a:ext uri="{FF2B5EF4-FFF2-40B4-BE49-F238E27FC236}">
              <a16:creationId xmlns:a16="http://schemas.microsoft.com/office/drawing/2014/main" id="{E716DC56-261E-2928-E114-F19F9001559F}"/>
            </a:ext>
          </a:extLst>
        </xdr:cNvPr>
        <xdr:cNvSpPr/>
      </xdr:nvSpPr>
      <xdr:spPr>
        <a:xfrm>
          <a:off x="11553861" y="532478"/>
          <a:ext cx="1927898" cy="414452"/>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19</xdr:col>
      <xdr:colOff>325287</xdr:colOff>
      <xdr:row>3</xdr:row>
      <xdr:rowOff>50207</xdr:rowOff>
    </xdr:from>
    <xdr:to>
      <xdr:col>21</xdr:col>
      <xdr:colOff>597796</xdr:colOff>
      <xdr:row>4</xdr:row>
      <xdr:rowOff>123392</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13FA2A33-582D-7A9F-D1FA-3851769E5BEE}"/>
            </a:ext>
          </a:extLst>
        </xdr:cNvPr>
        <xdr:cNvSpPr txBox="1"/>
      </xdr:nvSpPr>
      <xdr:spPr>
        <a:xfrm>
          <a:off x="11966954" y="618365"/>
          <a:ext cx="1497947" cy="262571"/>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Time Fram</a:t>
          </a:r>
        </a:p>
      </xdr:txBody>
    </xdr:sp>
    <xdr:clientData/>
  </xdr:twoCellAnchor>
  <xdr:twoCellAnchor editAs="absolute">
    <xdr:from>
      <xdr:col>15</xdr:col>
      <xdr:colOff>78453</xdr:colOff>
      <xdr:row>2</xdr:row>
      <xdr:rowOff>153706</xdr:rowOff>
    </xdr:from>
    <xdr:to>
      <xdr:col>18</xdr:col>
      <xdr:colOff>161608</xdr:colOff>
      <xdr:row>5</xdr:row>
      <xdr:rowOff>0</xdr:rowOff>
    </xdr:to>
    <xdr:sp macro="" textlink="">
      <xdr:nvSpPr>
        <xdr:cNvPr id="13" name="Rectangle: Rounded Corners 12">
          <a:extLst>
            <a:ext uri="{FF2B5EF4-FFF2-40B4-BE49-F238E27FC236}">
              <a16:creationId xmlns:a16="http://schemas.microsoft.com/office/drawing/2014/main" id="{0E8C9B6C-FF90-15E6-9826-5FFDBA33A7DE}"/>
            </a:ext>
          </a:extLst>
        </xdr:cNvPr>
        <xdr:cNvSpPr/>
      </xdr:nvSpPr>
      <xdr:spPr>
        <a:xfrm>
          <a:off x="9269242" y="532478"/>
          <a:ext cx="1921313" cy="414452"/>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16</xdr:col>
      <xdr:colOff>70163</xdr:colOff>
      <xdr:row>3</xdr:row>
      <xdr:rowOff>57514</xdr:rowOff>
    </xdr:from>
    <xdr:to>
      <xdr:col>17</xdr:col>
      <xdr:colOff>360059</xdr:colOff>
      <xdr:row>4</xdr:row>
      <xdr:rowOff>112903</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BC85FA26-2818-49AB-45BE-FCD598622939}"/>
            </a:ext>
          </a:extLst>
        </xdr:cNvPr>
        <xdr:cNvSpPr txBox="1"/>
      </xdr:nvSpPr>
      <xdr:spPr>
        <a:xfrm>
          <a:off x="9873672" y="625672"/>
          <a:ext cx="902615" cy="24477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Store</a:t>
          </a:r>
        </a:p>
      </xdr:txBody>
    </xdr:sp>
    <xdr:clientData/>
  </xdr:twoCellAnchor>
  <xdr:twoCellAnchor editAs="absolute">
    <xdr:from>
      <xdr:col>11</xdr:col>
      <xdr:colOff>244311</xdr:colOff>
      <xdr:row>2</xdr:row>
      <xdr:rowOff>153706</xdr:rowOff>
    </xdr:from>
    <xdr:to>
      <xdr:col>14</xdr:col>
      <xdr:colOff>327467</xdr:colOff>
      <xdr:row>5</xdr:row>
      <xdr:rowOff>0</xdr:rowOff>
    </xdr:to>
    <xdr:grpSp>
      <xdr:nvGrpSpPr>
        <xdr:cNvPr id="7178" name="Group 7177">
          <a:hlinkClick xmlns:r="http://schemas.openxmlformats.org/officeDocument/2006/relationships" r:id="rId3"/>
          <a:extLst>
            <a:ext uri="{FF2B5EF4-FFF2-40B4-BE49-F238E27FC236}">
              <a16:creationId xmlns:a16="http://schemas.microsoft.com/office/drawing/2014/main" id="{05188C07-F40A-5AFE-90CE-D478F99DD37D}"/>
            </a:ext>
          </a:extLst>
        </xdr:cNvPr>
        <xdr:cNvGrpSpPr/>
      </xdr:nvGrpSpPr>
      <xdr:grpSpPr>
        <a:xfrm>
          <a:off x="6975311" y="523161"/>
          <a:ext cx="1918883" cy="400475"/>
          <a:chOff x="6984223" y="532478"/>
          <a:chExt cx="1921314" cy="414452"/>
        </a:xfrm>
      </xdr:grpSpPr>
      <xdr:sp macro="" textlink="">
        <xdr:nvSpPr>
          <xdr:cNvPr id="16" name="Rectangle: Rounded Corners 15">
            <a:extLst>
              <a:ext uri="{FF2B5EF4-FFF2-40B4-BE49-F238E27FC236}">
                <a16:creationId xmlns:a16="http://schemas.microsoft.com/office/drawing/2014/main" id="{01781358-F5B3-E329-2226-F89B0285347F}"/>
              </a:ext>
            </a:extLst>
          </xdr:cNvPr>
          <xdr:cNvSpPr/>
        </xdr:nvSpPr>
        <xdr:spPr>
          <a:xfrm>
            <a:off x="6984223" y="532478"/>
            <a:ext cx="1921314" cy="414452"/>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FD1AADAA-7D6E-C286-80D3-635B0CEAAAD0}"/>
              </a:ext>
            </a:extLst>
          </xdr:cNvPr>
          <xdr:cNvSpPr txBox="1"/>
        </xdr:nvSpPr>
        <xdr:spPr>
          <a:xfrm>
            <a:off x="7360182" y="629852"/>
            <a:ext cx="1248858" cy="24189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Profit view</a:t>
            </a:r>
          </a:p>
        </xdr:txBody>
      </xdr:sp>
    </xdr:grpSp>
    <xdr:clientData/>
  </xdr:twoCellAnchor>
  <xdr:twoCellAnchor editAs="absolute">
    <xdr:from>
      <xdr:col>1</xdr:col>
      <xdr:colOff>125526</xdr:colOff>
      <xdr:row>0</xdr:row>
      <xdr:rowOff>55643</xdr:rowOff>
    </xdr:from>
    <xdr:to>
      <xdr:col>2</xdr:col>
      <xdr:colOff>478768</xdr:colOff>
      <xdr:row>4</xdr:row>
      <xdr:rowOff>100779</xdr:rowOff>
    </xdr:to>
    <xdr:pic>
      <xdr:nvPicPr>
        <xdr:cNvPr id="18" name="Picture 17">
          <a:extLst>
            <a:ext uri="{FF2B5EF4-FFF2-40B4-BE49-F238E27FC236}">
              <a16:creationId xmlns:a16="http://schemas.microsoft.com/office/drawing/2014/main" id="{5C9E747C-1F5E-4ED2-B327-8BD9C1CCD3B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5786" y="55643"/>
          <a:ext cx="963501" cy="770850"/>
        </a:xfrm>
        <a:prstGeom prst="rect">
          <a:avLst/>
        </a:prstGeom>
      </xdr:spPr>
    </xdr:pic>
    <xdr:clientData/>
  </xdr:twoCellAnchor>
  <xdr:twoCellAnchor editAs="absolute">
    <xdr:from>
      <xdr:col>2</xdr:col>
      <xdr:colOff>52598</xdr:colOff>
      <xdr:row>6</xdr:row>
      <xdr:rowOff>100264</xdr:rowOff>
    </xdr:from>
    <xdr:to>
      <xdr:col>5</xdr:col>
      <xdr:colOff>399509</xdr:colOff>
      <xdr:row>11</xdr:row>
      <xdr:rowOff>78241</xdr:rowOff>
    </xdr:to>
    <xdr:sp macro="" textlink="">
      <xdr:nvSpPr>
        <xdr:cNvPr id="24" name="Rectangle: Rounded Corners 23">
          <a:extLst>
            <a:ext uri="{FF2B5EF4-FFF2-40B4-BE49-F238E27FC236}">
              <a16:creationId xmlns:a16="http://schemas.microsoft.com/office/drawing/2014/main" id="{B0D5E168-CABC-4777-9748-A07297CCF46E}"/>
            </a:ext>
          </a:extLst>
        </xdr:cNvPr>
        <xdr:cNvSpPr/>
      </xdr:nvSpPr>
      <xdr:spPr>
        <a:xfrm>
          <a:off x="1278037" y="1236580"/>
          <a:ext cx="2185068" cy="924907"/>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absolute">
        <xdr:from>
          <xdr:col>10</xdr:col>
          <xdr:colOff>203200</xdr:colOff>
          <xdr:row>12</xdr:row>
          <xdr:rowOff>171450</xdr:rowOff>
        </xdr:from>
        <xdr:to>
          <xdr:col>11</xdr:col>
          <xdr:colOff>107950</xdr:colOff>
          <xdr:row>14</xdr:row>
          <xdr:rowOff>146050</xdr:rowOff>
        </xdr:to>
        <xdr:sp macro="" textlink="">
          <xdr:nvSpPr>
            <xdr:cNvPr id="7169" name="Option Button 1" hidden="1">
              <a:extLst>
                <a:ext uri="{63B3BB69-23CF-44E3-9099-C40C66FF867C}">
                  <a14:compatExt spid="_x0000_s7169"/>
                </a:ext>
                <a:ext uri="{FF2B5EF4-FFF2-40B4-BE49-F238E27FC236}">
                  <a16:creationId xmlns:a16="http://schemas.microsoft.com/office/drawing/2014/main" id="{00000000-0008-0000-00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323850</xdr:colOff>
          <xdr:row>12</xdr:row>
          <xdr:rowOff>177800</xdr:rowOff>
        </xdr:from>
        <xdr:to>
          <xdr:col>12</xdr:col>
          <xdr:colOff>44450</xdr:colOff>
          <xdr:row>14</xdr:row>
          <xdr:rowOff>133350</xdr:rowOff>
        </xdr:to>
        <xdr:sp macro="" textlink="">
          <xdr:nvSpPr>
            <xdr:cNvPr id="7170" name="Option Button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absolute">
    <xdr:from>
      <xdr:col>10</xdr:col>
      <xdr:colOff>89376</xdr:colOff>
      <xdr:row>12</xdr:row>
      <xdr:rowOff>144364</xdr:rowOff>
    </xdr:from>
    <xdr:to>
      <xdr:col>10</xdr:col>
      <xdr:colOff>89376</xdr:colOff>
      <xdr:row>42</xdr:row>
      <xdr:rowOff>32098</xdr:rowOff>
    </xdr:to>
    <xdr:cxnSp macro="">
      <xdr:nvCxnSpPr>
        <xdr:cNvPr id="57" name="Straight Connector 56">
          <a:extLst>
            <a:ext uri="{FF2B5EF4-FFF2-40B4-BE49-F238E27FC236}">
              <a16:creationId xmlns:a16="http://schemas.microsoft.com/office/drawing/2014/main" id="{7607639B-5251-574E-BC04-630F95B3D463}"/>
            </a:ext>
          </a:extLst>
        </xdr:cNvPr>
        <xdr:cNvCxnSpPr>
          <a:stCxn id="6" idx="3"/>
          <a:endCxn id="6" idx="1"/>
        </xdr:cNvCxnSpPr>
      </xdr:nvCxnSpPr>
      <xdr:spPr>
        <a:xfrm>
          <a:off x="6150740" y="2338000"/>
          <a:ext cx="0" cy="5371825"/>
        </a:xfrm>
        <a:prstGeom prst="line">
          <a:avLst/>
        </a:prstGeom>
        <a:ln w="25400">
          <a:solidFill>
            <a:schemeClr val="bg2">
              <a:lumMod val="50000"/>
              <a:alpha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511018</xdr:colOff>
      <xdr:row>12</xdr:row>
      <xdr:rowOff>127599</xdr:rowOff>
    </xdr:from>
    <xdr:to>
      <xdr:col>2</xdr:col>
      <xdr:colOff>186764</xdr:colOff>
      <xdr:row>27</xdr:row>
      <xdr:rowOff>65369</xdr:rowOff>
    </xdr:to>
    <xdr:sp macro="" textlink="">
      <xdr:nvSpPr>
        <xdr:cNvPr id="59" name="Rectangle: Rounded Corners 58">
          <a:extLst>
            <a:ext uri="{FF2B5EF4-FFF2-40B4-BE49-F238E27FC236}">
              <a16:creationId xmlns:a16="http://schemas.microsoft.com/office/drawing/2014/main" id="{F959A019-2E83-46DD-8DD6-9D3EA8F42D85}"/>
            </a:ext>
          </a:extLst>
        </xdr:cNvPr>
        <xdr:cNvSpPr/>
      </xdr:nvSpPr>
      <xdr:spPr>
        <a:xfrm rot="5400000">
          <a:off x="-110252" y="3597030"/>
          <a:ext cx="2739241" cy="282732"/>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xdr:col>
      <xdr:colOff>265341</xdr:colOff>
      <xdr:row>27</xdr:row>
      <xdr:rowOff>88231</xdr:rowOff>
    </xdr:from>
    <xdr:to>
      <xdr:col>17</xdr:col>
      <xdr:colOff>519547</xdr:colOff>
      <xdr:row>27</xdr:row>
      <xdr:rowOff>88231</xdr:rowOff>
    </xdr:to>
    <xdr:cxnSp macro="">
      <xdr:nvCxnSpPr>
        <xdr:cNvPr id="60" name="Straight Connector 59">
          <a:extLst>
            <a:ext uri="{FF2B5EF4-FFF2-40B4-BE49-F238E27FC236}">
              <a16:creationId xmlns:a16="http://schemas.microsoft.com/office/drawing/2014/main" id="{A235C0E9-8818-45F9-85CC-ECF74F2B4295}"/>
            </a:ext>
          </a:extLst>
        </xdr:cNvPr>
        <xdr:cNvCxnSpPr>
          <a:stCxn id="6" idx="2"/>
          <a:endCxn id="6" idx="0"/>
        </xdr:cNvCxnSpPr>
      </xdr:nvCxnSpPr>
      <xdr:spPr>
        <a:xfrm>
          <a:off x="1477614" y="5023913"/>
          <a:ext cx="9346251" cy="0"/>
        </a:xfrm>
        <a:prstGeom prst="line">
          <a:avLst/>
        </a:prstGeom>
        <a:ln w="25400">
          <a:solidFill>
            <a:schemeClr val="bg2">
              <a:lumMod val="50000"/>
              <a:alpha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523345</xdr:colOff>
      <xdr:row>27</xdr:row>
      <xdr:rowOff>111912</xdr:rowOff>
    </xdr:from>
    <xdr:to>
      <xdr:col>2</xdr:col>
      <xdr:colOff>186764</xdr:colOff>
      <xdr:row>39</xdr:row>
      <xdr:rowOff>130738</xdr:rowOff>
    </xdr:to>
    <xdr:sp macro="" textlink="">
      <xdr:nvSpPr>
        <xdr:cNvPr id="63" name="Rectangle: Rounded Corners 62">
          <a:extLst>
            <a:ext uri="{FF2B5EF4-FFF2-40B4-BE49-F238E27FC236}">
              <a16:creationId xmlns:a16="http://schemas.microsoft.com/office/drawing/2014/main" id="{DF941329-30FB-4430-8BEF-545FCBC56677}"/>
            </a:ext>
          </a:extLst>
        </xdr:cNvPr>
        <xdr:cNvSpPr/>
      </xdr:nvSpPr>
      <xdr:spPr>
        <a:xfrm rot="5400000">
          <a:off x="135531" y="6149358"/>
          <a:ext cx="2260003" cy="270405"/>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6</xdr:col>
      <xdr:colOff>17152</xdr:colOff>
      <xdr:row>6</xdr:row>
      <xdr:rowOff>121279</xdr:rowOff>
    </xdr:from>
    <xdr:to>
      <xdr:col>9</xdr:col>
      <xdr:colOff>364062</xdr:colOff>
      <xdr:row>11</xdr:row>
      <xdr:rowOff>99256</xdr:rowOff>
    </xdr:to>
    <xdr:sp macro="" textlink="">
      <xdr:nvSpPr>
        <xdr:cNvPr id="7175" name="Rectangle: Rounded Corners 7174">
          <a:extLst>
            <a:ext uri="{FF2B5EF4-FFF2-40B4-BE49-F238E27FC236}">
              <a16:creationId xmlns:a16="http://schemas.microsoft.com/office/drawing/2014/main" id="{4D73EBCD-3282-484A-AD49-1E66F417B7B5}"/>
            </a:ext>
          </a:extLst>
        </xdr:cNvPr>
        <xdr:cNvSpPr/>
      </xdr:nvSpPr>
      <xdr:spPr>
        <a:xfrm>
          <a:off x="3693468" y="1257595"/>
          <a:ext cx="2185068" cy="924907"/>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570605</xdr:colOff>
      <xdr:row>6</xdr:row>
      <xdr:rowOff>151135</xdr:rowOff>
    </xdr:from>
    <xdr:to>
      <xdr:col>13</xdr:col>
      <xdr:colOff>304796</xdr:colOff>
      <xdr:row>11</xdr:row>
      <xdr:rowOff>129112</xdr:rowOff>
    </xdr:to>
    <xdr:sp macro="" textlink="">
      <xdr:nvSpPr>
        <xdr:cNvPr id="7176" name="Rectangle: Rounded Corners 7175">
          <a:extLst>
            <a:ext uri="{FF2B5EF4-FFF2-40B4-BE49-F238E27FC236}">
              <a16:creationId xmlns:a16="http://schemas.microsoft.com/office/drawing/2014/main" id="{D31B3384-CC02-4214-A412-B60A1FB10DEA}"/>
            </a:ext>
          </a:extLst>
        </xdr:cNvPr>
        <xdr:cNvSpPr/>
      </xdr:nvSpPr>
      <xdr:spPr>
        <a:xfrm>
          <a:off x="6062943" y="1239706"/>
          <a:ext cx="2175230" cy="88512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489058</xdr:colOff>
      <xdr:row>6</xdr:row>
      <xdr:rowOff>169851</xdr:rowOff>
    </xdr:from>
    <xdr:to>
      <xdr:col>17</xdr:col>
      <xdr:colOff>223249</xdr:colOff>
      <xdr:row>11</xdr:row>
      <xdr:rowOff>147828</xdr:rowOff>
    </xdr:to>
    <xdr:sp macro="" textlink="">
      <xdr:nvSpPr>
        <xdr:cNvPr id="7177" name="Rectangle: Rounded Corners 7176">
          <a:extLst>
            <a:ext uri="{FF2B5EF4-FFF2-40B4-BE49-F238E27FC236}">
              <a16:creationId xmlns:a16="http://schemas.microsoft.com/office/drawing/2014/main" id="{5E711E71-F606-440D-A603-72A08FDF2433}"/>
            </a:ext>
          </a:extLst>
        </xdr:cNvPr>
        <xdr:cNvSpPr/>
      </xdr:nvSpPr>
      <xdr:spPr>
        <a:xfrm>
          <a:off x="8454409" y="1306167"/>
          <a:ext cx="2185068" cy="924907"/>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189900</xdr:colOff>
      <xdr:row>7</xdr:row>
      <xdr:rowOff>99480</xdr:rowOff>
    </xdr:from>
    <xdr:to>
      <xdr:col>7</xdr:col>
      <xdr:colOff>107208</xdr:colOff>
      <xdr:row>10</xdr:row>
      <xdr:rowOff>62860</xdr:rowOff>
    </xdr:to>
    <xdr:pic>
      <xdr:nvPicPr>
        <xdr:cNvPr id="7180" name="Picture 7179">
          <a:extLst>
            <a:ext uri="{FF2B5EF4-FFF2-40B4-BE49-F238E27FC236}">
              <a16:creationId xmlns:a16="http://schemas.microsoft.com/office/drawing/2014/main" id="{2499CFCF-E0FE-D323-A8FE-CEE3F0E5CE5E}"/>
            </a:ext>
          </a:extLst>
        </xdr:cNvPr>
        <xdr:cNvPicPr>
          <a:picLocks noChangeAspect="1"/>
        </xdr:cNvPicPr>
      </xdr:nvPicPr>
      <xdr:blipFill>
        <a:blip xmlns:r="http://schemas.openxmlformats.org/officeDocument/2006/relationships" r:embed="rId5" cstate="print">
          <a:duotone>
            <a:prstClr val="black"/>
            <a:schemeClr val="tx2">
              <a:tint val="45000"/>
              <a:satMod val="400000"/>
            </a:schemeClr>
          </a:duotone>
          <a:extLst>
            <a:ext uri="{BEBA8EAE-BF5A-486C-A8C5-ECC9F3942E4B}">
              <a14:imgProps xmlns:a14="http://schemas.microsoft.com/office/drawing/2010/main">
                <a14:imgLayer r:embed="rId6">
                  <a14:imgEffect>
                    <a14:sharpenSoften amount="88000"/>
                  </a14:imgEffect>
                  <a14:imgEffect>
                    <a14:colorTemperature colorTemp="8800"/>
                  </a14:imgEffect>
                  <a14:imgEffect>
                    <a14:saturation sat="229000"/>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3851458" y="1369480"/>
          <a:ext cx="527568" cy="507666"/>
        </a:xfrm>
        <a:prstGeom prst="rect">
          <a:avLst/>
        </a:prstGeom>
      </xdr:spPr>
    </xdr:pic>
    <xdr:clientData/>
  </xdr:twoCellAnchor>
  <xdr:twoCellAnchor editAs="absolute">
    <xdr:from>
      <xdr:col>16</xdr:col>
      <xdr:colOff>423333</xdr:colOff>
      <xdr:row>4</xdr:row>
      <xdr:rowOff>100263</xdr:rowOff>
    </xdr:from>
    <xdr:to>
      <xdr:col>17</xdr:col>
      <xdr:colOff>3302</xdr:colOff>
      <xdr:row>6</xdr:row>
      <xdr:rowOff>1966</xdr:rowOff>
    </xdr:to>
    <xdr:sp macro="" textlink="">
      <xdr:nvSpPr>
        <xdr:cNvPr id="7185" name="TextBox 7184">
          <a:extLst>
            <a:ext uri="{FF2B5EF4-FFF2-40B4-BE49-F238E27FC236}">
              <a16:creationId xmlns:a16="http://schemas.microsoft.com/office/drawing/2014/main" id="{413F5154-3821-1334-0D0D-A980BECB666A}"/>
            </a:ext>
          </a:extLst>
        </xdr:cNvPr>
        <xdr:cNvSpPr txBox="1"/>
      </xdr:nvSpPr>
      <xdr:spPr>
        <a:xfrm>
          <a:off x="10226842" y="8578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twoCellAnchor>
  <xdr:twoCellAnchor editAs="absolute">
    <xdr:from>
      <xdr:col>10</xdr:col>
      <xdr:colOff>324853</xdr:colOff>
      <xdr:row>13</xdr:row>
      <xdr:rowOff>43040</xdr:rowOff>
    </xdr:from>
    <xdr:to>
      <xdr:col>11</xdr:col>
      <xdr:colOff>291676</xdr:colOff>
      <xdr:row>14</xdr:row>
      <xdr:rowOff>84565</xdr:rowOff>
    </xdr:to>
    <xdr:sp macro="" textlink="">
      <xdr:nvSpPr>
        <xdr:cNvPr id="7186" name="TextBox 7185">
          <a:extLst>
            <a:ext uri="{FF2B5EF4-FFF2-40B4-BE49-F238E27FC236}">
              <a16:creationId xmlns:a16="http://schemas.microsoft.com/office/drawing/2014/main" id="{D7424723-29A2-4DEE-8682-C2E1239D793D}"/>
            </a:ext>
          </a:extLst>
        </xdr:cNvPr>
        <xdr:cNvSpPr txBox="1"/>
      </xdr:nvSpPr>
      <xdr:spPr>
        <a:xfrm>
          <a:off x="6386217" y="2419479"/>
          <a:ext cx="572959" cy="22432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75000"/>
                </a:schemeClr>
              </a:solidFill>
            </a:rPr>
            <a:t>Top</a:t>
          </a:r>
        </a:p>
      </xdr:txBody>
    </xdr:sp>
    <xdr:clientData/>
  </xdr:twoCellAnchor>
  <xdr:twoCellAnchor editAs="absolute">
    <xdr:from>
      <xdr:col>11</xdr:col>
      <xdr:colOff>444340</xdr:colOff>
      <xdr:row>13</xdr:row>
      <xdr:rowOff>20233</xdr:rowOff>
    </xdr:from>
    <xdr:to>
      <xdr:col>13</xdr:col>
      <xdr:colOff>91656</xdr:colOff>
      <xdr:row>14</xdr:row>
      <xdr:rowOff>98743</xdr:rowOff>
    </xdr:to>
    <xdr:sp macro="" textlink="">
      <xdr:nvSpPr>
        <xdr:cNvPr id="7187" name="TextBox 7186">
          <a:extLst>
            <a:ext uri="{FF2B5EF4-FFF2-40B4-BE49-F238E27FC236}">
              <a16:creationId xmlns:a16="http://schemas.microsoft.com/office/drawing/2014/main" id="{0196189E-CAE2-429B-8D38-FDA63E7F14D1}"/>
            </a:ext>
          </a:extLst>
        </xdr:cNvPr>
        <xdr:cNvSpPr txBox="1"/>
      </xdr:nvSpPr>
      <xdr:spPr>
        <a:xfrm>
          <a:off x="7111840" y="2396672"/>
          <a:ext cx="859589" cy="26131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75000"/>
                </a:schemeClr>
              </a:solidFill>
            </a:rPr>
            <a:t>Bottom</a:t>
          </a:r>
        </a:p>
      </xdr:txBody>
    </xdr:sp>
    <xdr:clientData/>
  </xdr:twoCellAnchor>
  <mc:AlternateContent xmlns:mc="http://schemas.openxmlformats.org/markup-compatibility/2006">
    <mc:Choice xmlns:a14="http://schemas.microsoft.com/office/drawing/2010/main" Requires="a14">
      <xdr:twoCellAnchor editAs="absolute">
        <xdr:from>
          <xdr:col>15</xdr:col>
          <xdr:colOff>298450</xdr:colOff>
          <xdr:row>13</xdr:row>
          <xdr:rowOff>57150</xdr:rowOff>
        </xdr:from>
        <xdr:to>
          <xdr:col>17</xdr:col>
          <xdr:colOff>44450</xdr:colOff>
          <xdr:row>14</xdr:row>
          <xdr:rowOff>101600</xdr:rowOff>
        </xdr:to>
        <xdr:sp macro="" textlink="">
          <xdr:nvSpPr>
            <xdr:cNvPr id="7" name="Drop Down 7" hidden="1">
              <a:extLst>
                <a:ext uri="{63B3BB69-23CF-44E3-9099-C40C66FF867C}">
                  <a14:compatExt spid="_x0000_s7175"/>
                </a:ext>
                <a:ext uri="{FF2B5EF4-FFF2-40B4-BE49-F238E27FC236}">
                  <a16:creationId xmlns:a16="http://schemas.microsoft.com/office/drawing/2014/main" id="{00000000-0008-0000-0000-000007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absolute">
    <xdr:from>
      <xdr:col>10</xdr:col>
      <xdr:colOff>105833</xdr:colOff>
      <xdr:row>17</xdr:row>
      <xdr:rowOff>115454</xdr:rowOff>
    </xdr:from>
    <xdr:to>
      <xdr:col>17</xdr:col>
      <xdr:colOff>481061</xdr:colOff>
      <xdr:row>27</xdr:row>
      <xdr:rowOff>96211</xdr:rowOff>
    </xdr:to>
    <xdr:graphicFrame macro="">
      <xdr:nvGraphicFramePr>
        <xdr:cNvPr id="7190" name="Chart 7189">
          <a:extLst>
            <a:ext uri="{FF2B5EF4-FFF2-40B4-BE49-F238E27FC236}">
              <a16:creationId xmlns:a16="http://schemas.microsoft.com/office/drawing/2014/main" id="{0B44A1B1-FB37-4095-86DC-94FF46126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194345</xdr:colOff>
      <xdr:row>14</xdr:row>
      <xdr:rowOff>84298</xdr:rowOff>
    </xdr:from>
    <xdr:to>
      <xdr:col>14</xdr:col>
      <xdr:colOff>309575</xdr:colOff>
      <xdr:row>15</xdr:row>
      <xdr:rowOff>167178</xdr:rowOff>
    </xdr:to>
    <xdr:sp macro="" textlink="profitanalysis!$N$6">
      <xdr:nvSpPr>
        <xdr:cNvPr id="7191" name="TextBox 7190">
          <a:extLst>
            <a:ext uri="{FF2B5EF4-FFF2-40B4-BE49-F238E27FC236}">
              <a16:creationId xmlns:a16="http://schemas.microsoft.com/office/drawing/2014/main" id="{A2163D33-01A4-4CB7-9BBD-E2D9C4715376}"/>
            </a:ext>
          </a:extLst>
        </xdr:cNvPr>
        <xdr:cNvSpPr txBox="1"/>
      </xdr:nvSpPr>
      <xdr:spPr>
        <a:xfrm>
          <a:off x="6311317" y="2694206"/>
          <a:ext cx="2562019" cy="26930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E4816FB-5A5D-46B8-89D6-0F027DAACF47}" type="TxLink">
            <a:rPr lang="en-US" sz="1600" b="0"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pPr/>
            <a:t>Top-5 Profitable Customer</a:t>
          </a:fld>
          <a:endParaRPr lang="en-US" sz="2400" b="0"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10</xdr:col>
      <xdr:colOff>258457</xdr:colOff>
      <xdr:row>15</xdr:row>
      <xdr:rowOff>171096</xdr:rowOff>
    </xdr:from>
    <xdr:to>
      <xdr:col>12</xdr:col>
      <xdr:colOff>144318</xdr:colOff>
      <xdr:row>17</xdr:row>
      <xdr:rowOff>48107</xdr:rowOff>
    </xdr:to>
    <xdr:sp macro="" textlink="profitanalysis!O8">
      <xdr:nvSpPr>
        <xdr:cNvPr id="7192" name="TextBox 7191">
          <a:extLst>
            <a:ext uri="{FF2B5EF4-FFF2-40B4-BE49-F238E27FC236}">
              <a16:creationId xmlns:a16="http://schemas.microsoft.com/office/drawing/2014/main" id="{17A71982-F792-4220-827D-F3865514F4D5}"/>
            </a:ext>
          </a:extLst>
        </xdr:cNvPr>
        <xdr:cNvSpPr txBox="1"/>
      </xdr:nvSpPr>
      <xdr:spPr>
        <a:xfrm>
          <a:off x="6319821" y="2913141"/>
          <a:ext cx="1098133" cy="24261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3513B9B-9680-489C-A4D0-817908240791}" type="TxLink">
            <a:rPr lang="en-US" sz="11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Total Customer</a:t>
          </a:fld>
          <a:endParaRPr lang="en-US" sz="2400" b="0"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11</xdr:col>
      <xdr:colOff>596185</xdr:colOff>
      <xdr:row>15</xdr:row>
      <xdr:rowOff>159933</xdr:rowOff>
    </xdr:from>
    <xdr:to>
      <xdr:col>12</xdr:col>
      <xdr:colOff>530902</xdr:colOff>
      <xdr:row>17</xdr:row>
      <xdr:rowOff>76967</xdr:rowOff>
    </xdr:to>
    <xdr:sp macro="" textlink="profitanalysis!O9">
      <xdr:nvSpPr>
        <xdr:cNvPr id="7193" name="TextBox 7192">
          <a:extLst>
            <a:ext uri="{FF2B5EF4-FFF2-40B4-BE49-F238E27FC236}">
              <a16:creationId xmlns:a16="http://schemas.microsoft.com/office/drawing/2014/main" id="{5EE62828-A84F-4112-BBBF-951CF8AB5A79}"/>
            </a:ext>
          </a:extLst>
        </xdr:cNvPr>
        <xdr:cNvSpPr txBox="1"/>
      </xdr:nvSpPr>
      <xdr:spPr>
        <a:xfrm>
          <a:off x="7294915" y="2892515"/>
          <a:ext cx="543692" cy="28137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0C083FF-51B2-4C15-A983-1C1996442DB9}" type="TxLink">
            <a:rPr lang="en-US" sz="1800" b="0" i="0" u="none" strike="noStrike" cap="none" spc="0">
              <a:ln w="0"/>
              <a:solidFill>
                <a:srgbClr val="00A44A"/>
              </a:solidFill>
              <a:effectLst>
                <a:outerShdw blurRad="38100" dist="25400" dir="5400000" algn="ctr" rotWithShape="0">
                  <a:srgbClr val="6E747A">
                    <a:alpha val="43000"/>
                  </a:srgbClr>
                </a:outerShdw>
              </a:effectLst>
              <a:latin typeface="Calibri"/>
              <a:cs typeface="Calibri"/>
            </a:rPr>
            <a:pPr/>
            <a:t>600</a:t>
          </a:fld>
          <a:endParaRPr lang="en-US" sz="4000" b="0" cap="none" spc="0">
            <a:ln w="0"/>
            <a:solidFill>
              <a:srgbClr val="00A44A"/>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2</xdr:col>
      <xdr:colOff>24741</xdr:colOff>
      <xdr:row>6</xdr:row>
      <xdr:rowOff>111167</xdr:rowOff>
    </xdr:from>
    <xdr:to>
      <xdr:col>3</xdr:col>
      <xdr:colOff>222662</xdr:colOff>
      <xdr:row>11</xdr:row>
      <xdr:rowOff>12205</xdr:rowOff>
    </xdr:to>
    <xdr:pic>
      <xdr:nvPicPr>
        <xdr:cNvPr id="7198" name="Picture 7197">
          <a:extLst>
            <a:ext uri="{FF2B5EF4-FFF2-40B4-BE49-F238E27FC236}">
              <a16:creationId xmlns:a16="http://schemas.microsoft.com/office/drawing/2014/main" id="{DB5591F2-762E-3CE3-0E0E-493A0D35492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45260" y="1199738"/>
          <a:ext cx="808181" cy="808181"/>
        </a:xfrm>
        <a:prstGeom prst="rect">
          <a:avLst/>
        </a:prstGeom>
      </xdr:spPr>
    </xdr:pic>
    <xdr:clientData/>
  </xdr:twoCellAnchor>
  <xdr:twoCellAnchor editAs="absolute">
    <xdr:from>
      <xdr:col>10</xdr:col>
      <xdr:colOff>0</xdr:colOff>
      <xdr:row>7</xdr:row>
      <xdr:rowOff>56736</xdr:rowOff>
    </xdr:from>
    <xdr:to>
      <xdr:col>11</xdr:col>
      <xdr:colOff>74221</xdr:colOff>
      <xdr:row>11</xdr:row>
      <xdr:rowOff>15503</xdr:rowOff>
    </xdr:to>
    <xdr:pic>
      <xdr:nvPicPr>
        <xdr:cNvPr id="7200" name="Graphic 7199" descr="Upward trend with solid fill">
          <a:extLst>
            <a:ext uri="{FF2B5EF4-FFF2-40B4-BE49-F238E27FC236}">
              <a16:creationId xmlns:a16="http://schemas.microsoft.com/office/drawing/2014/main" id="{F7D2DB9C-C742-4722-5865-F2127B39FE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02597" y="1326736"/>
          <a:ext cx="684481" cy="684481"/>
        </a:xfrm>
        <a:prstGeom prst="rect">
          <a:avLst/>
        </a:prstGeom>
      </xdr:spPr>
    </xdr:pic>
    <xdr:clientData/>
  </xdr:twoCellAnchor>
  <xdr:twoCellAnchor editAs="absolute">
    <xdr:from>
      <xdr:col>3</xdr:col>
      <xdr:colOff>100471</xdr:colOff>
      <xdr:row>9</xdr:row>
      <xdr:rowOff>115454</xdr:rowOff>
    </xdr:from>
    <xdr:to>
      <xdr:col>5</xdr:col>
      <xdr:colOff>280389</xdr:colOff>
      <xdr:row>10</xdr:row>
      <xdr:rowOff>173181</xdr:rowOff>
    </xdr:to>
    <xdr:sp macro="" textlink="">
      <xdr:nvSpPr>
        <xdr:cNvPr id="7201" name="TextBox 7200">
          <a:extLst>
            <a:ext uri="{FF2B5EF4-FFF2-40B4-BE49-F238E27FC236}">
              <a16:creationId xmlns:a16="http://schemas.microsoft.com/office/drawing/2014/main" id="{DA8908D7-F9CF-44F4-9604-3A22D2462825}"/>
            </a:ext>
          </a:extLst>
        </xdr:cNvPr>
        <xdr:cNvSpPr txBox="1"/>
      </xdr:nvSpPr>
      <xdr:spPr>
        <a:xfrm>
          <a:off x="1931250" y="1748311"/>
          <a:ext cx="1400438" cy="239156"/>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rPr>
            <a:t>Total Revenue</a:t>
          </a:r>
        </a:p>
      </xdr:txBody>
    </xdr:sp>
    <xdr:clientData/>
  </xdr:twoCellAnchor>
  <xdr:twoCellAnchor editAs="absolute">
    <xdr:from>
      <xdr:col>7</xdr:col>
      <xdr:colOff>335338</xdr:colOff>
      <xdr:row>9</xdr:row>
      <xdr:rowOff>135905</xdr:rowOff>
    </xdr:from>
    <xdr:to>
      <xdr:col>8</xdr:col>
      <xdr:colOff>461818</xdr:colOff>
      <xdr:row>11</xdr:row>
      <xdr:rowOff>49479</xdr:rowOff>
    </xdr:to>
    <xdr:sp macro="" textlink="">
      <xdr:nvSpPr>
        <xdr:cNvPr id="7203" name="TextBox 7202">
          <a:extLst>
            <a:ext uri="{FF2B5EF4-FFF2-40B4-BE49-F238E27FC236}">
              <a16:creationId xmlns:a16="http://schemas.microsoft.com/office/drawing/2014/main" id="{72A44772-9278-436B-9D71-3F5DB0134D61}"/>
            </a:ext>
          </a:extLst>
        </xdr:cNvPr>
        <xdr:cNvSpPr txBox="1"/>
      </xdr:nvSpPr>
      <xdr:spPr>
        <a:xfrm>
          <a:off x="4607156" y="1768762"/>
          <a:ext cx="736740" cy="276431"/>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rPr>
            <a:t>COGS</a:t>
          </a:r>
        </a:p>
      </xdr:txBody>
    </xdr:sp>
    <xdr:clientData/>
  </xdr:twoCellAnchor>
  <xdr:twoCellAnchor editAs="absolute">
    <xdr:from>
      <xdr:col>11</xdr:col>
      <xdr:colOff>22569</xdr:colOff>
      <xdr:row>9</xdr:row>
      <xdr:rowOff>176200</xdr:rowOff>
    </xdr:from>
    <xdr:to>
      <xdr:col>13</xdr:col>
      <xdr:colOff>178077</xdr:colOff>
      <xdr:row>11</xdr:row>
      <xdr:rowOff>61078</xdr:rowOff>
    </xdr:to>
    <xdr:sp macro="" textlink="">
      <xdr:nvSpPr>
        <xdr:cNvPr id="7204" name="TextBox 7203">
          <a:extLst>
            <a:ext uri="{FF2B5EF4-FFF2-40B4-BE49-F238E27FC236}">
              <a16:creationId xmlns:a16="http://schemas.microsoft.com/office/drawing/2014/main" id="{6ABED6D9-D4B1-45E6-9208-23D88980E9F3}"/>
            </a:ext>
          </a:extLst>
        </xdr:cNvPr>
        <xdr:cNvSpPr txBox="1"/>
      </xdr:nvSpPr>
      <xdr:spPr>
        <a:xfrm>
          <a:off x="6680147" y="1872841"/>
          <a:ext cx="1365977" cy="261909"/>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rPr>
            <a:t>Profit</a:t>
          </a:r>
          <a:r>
            <a:rPr lang="en-US" sz="1600" b="1" i="0" u="none" strike="noStrike" cap="none" spc="0" baseline="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rPr>
            <a:t> Margin</a:t>
          </a:r>
          <a:endParaRPr lang="en-US" sz="16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14</xdr:col>
      <xdr:colOff>442216</xdr:colOff>
      <xdr:row>10</xdr:row>
      <xdr:rowOff>20119</xdr:rowOff>
    </xdr:from>
    <xdr:to>
      <xdr:col>17</xdr:col>
      <xdr:colOff>181428</xdr:colOff>
      <xdr:row>11</xdr:row>
      <xdr:rowOff>90715</xdr:rowOff>
    </xdr:to>
    <xdr:sp macro="" textlink="">
      <xdr:nvSpPr>
        <xdr:cNvPr id="7205" name="TextBox 7204">
          <a:extLst>
            <a:ext uri="{FF2B5EF4-FFF2-40B4-BE49-F238E27FC236}">
              <a16:creationId xmlns:a16="http://schemas.microsoft.com/office/drawing/2014/main" id="{916207B3-AAD8-4578-9ECA-3F7D42485E92}"/>
            </a:ext>
          </a:extLst>
        </xdr:cNvPr>
        <xdr:cNvSpPr txBox="1"/>
      </xdr:nvSpPr>
      <xdr:spPr>
        <a:xfrm>
          <a:off x="8985852" y="1834405"/>
          <a:ext cx="1569992" cy="252024"/>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rPr>
            <a:t>%Profit</a:t>
          </a:r>
          <a:r>
            <a:rPr lang="en-US" sz="1600" b="1" i="0" u="none" strike="noStrike" cap="none" spc="0" baseline="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rPr>
            <a:t> Margin</a:t>
          </a:r>
          <a:endParaRPr lang="en-US" sz="16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13</xdr:col>
      <xdr:colOff>562131</xdr:colOff>
      <xdr:row>7</xdr:row>
      <xdr:rowOff>110759</xdr:rowOff>
    </xdr:from>
    <xdr:to>
      <xdr:col>14</xdr:col>
      <xdr:colOff>520491</xdr:colOff>
      <xdr:row>10</xdr:row>
      <xdr:rowOff>121169</xdr:rowOff>
    </xdr:to>
    <xdr:pic>
      <xdr:nvPicPr>
        <xdr:cNvPr id="7209" name="Picture 7208">
          <a:extLst>
            <a:ext uri="{FF2B5EF4-FFF2-40B4-BE49-F238E27FC236}">
              <a16:creationId xmlns:a16="http://schemas.microsoft.com/office/drawing/2014/main" id="{38F581F5-7343-2C4A-7678-44E86749DEA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46475" y="1422398"/>
          <a:ext cx="572541" cy="572541"/>
        </a:xfrm>
        <a:prstGeom prst="rect">
          <a:avLst/>
        </a:prstGeom>
      </xdr:spPr>
    </xdr:pic>
    <xdr:clientData/>
  </xdr:twoCellAnchor>
  <xdr:twoCellAnchor editAs="absolute">
    <xdr:from>
      <xdr:col>3</xdr:col>
      <xdr:colOff>119939</xdr:colOff>
      <xdr:row>7</xdr:row>
      <xdr:rowOff>45698</xdr:rowOff>
    </xdr:from>
    <xdr:to>
      <xdr:col>5</xdr:col>
      <xdr:colOff>299857</xdr:colOff>
      <xdr:row>9</xdr:row>
      <xdr:rowOff>156147</xdr:rowOff>
    </xdr:to>
    <xdr:sp macro="" textlink="storeanalysis!C10">
      <xdr:nvSpPr>
        <xdr:cNvPr id="7210" name="TextBox 7209">
          <a:extLst>
            <a:ext uri="{FF2B5EF4-FFF2-40B4-BE49-F238E27FC236}">
              <a16:creationId xmlns:a16="http://schemas.microsoft.com/office/drawing/2014/main" id="{93AA0C51-9C88-475F-BE45-E02E2625F692}"/>
            </a:ext>
          </a:extLst>
        </xdr:cNvPr>
        <xdr:cNvSpPr txBox="1"/>
      </xdr:nvSpPr>
      <xdr:spPr>
        <a:xfrm>
          <a:off x="1962480" y="1357337"/>
          <a:ext cx="1408279" cy="48520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E0DCBD0-1745-4EA1-9C25-BCA3CEF56555}" type="TxLink">
            <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rPr>
            <a:pPr marL="0" indent="0"/>
            <a:t>$5.4M</a:t>
          </a:fld>
          <a:endPar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editAs="absolute">
    <xdr:from>
      <xdr:col>7</xdr:col>
      <xdr:colOff>140759</xdr:colOff>
      <xdr:row>7</xdr:row>
      <xdr:rowOff>24878</xdr:rowOff>
    </xdr:from>
    <xdr:to>
      <xdr:col>9</xdr:col>
      <xdr:colOff>320677</xdr:colOff>
      <xdr:row>9</xdr:row>
      <xdr:rowOff>141677</xdr:rowOff>
    </xdr:to>
    <xdr:sp macro="" textlink="storeanalysis!D13">
      <xdr:nvSpPr>
        <xdr:cNvPr id="7211" name="TextBox 7210">
          <a:extLst>
            <a:ext uri="{FF2B5EF4-FFF2-40B4-BE49-F238E27FC236}">
              <a16:creationId xmlns:a16="http://schemas.microsoft.com/office/drawing/2014/main" id="{5C7CB2EF-71BE-4262-8067-EFB44AF783B9}"/>
            </a:ext>
          </a:extLst>
        </xdr:cNvPr>
        <xdr:cNvSpPr txBox="1"/>
      </xdr:nvSpPr>
      <xdr:spPr>
        <a:xfrm>
          <a:off x="4440021" y="1336517"/>
          <a:ext cx="1408279" cy="49155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9521D71-5E10-41B3-B95D-2642C32672C9}" type="TxLink">
            <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rPr>
            <a:pPr marL="0" indent="0"/>
            <a:t>$3.1M</a:t>
          </a:fld>
          <a:endPar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editAs="absolute">
    <xdr:from>
      <xdr:col>11</xdr:col>
      <xdr:colOff>74553</xdr:colOff>
      <xdr:row>7</xdr:row>
      <xdr:rowOff>83589</xdr:rowOff>
    </xdr:from>
    <xdr:to>
      <xdr:col>13</xdr:col>
      <xdr:colOff>254472</xdr:colOff>
      <xdr:row>10</xdr:row>
      <xdr:rowOff>13011</xdr:rowOff>
    </xdr:to>
    <xdr:sp macro="" textlink="storeanalysis!D14">
      <xdr:nvSpPr>
        <xdr:cNvPr id="7212" name="TextBox 7211">
          <a:extLst>
            <a:ext uri="{FF2B5EF4-FFF2-40B4-BE49-F238E27FC236}">
              <a16:creationId xmlns:a16="http://schemas.microsoft.com/office/drawing/2014/main" id="{4B3F4400-CB38-429A-B311-8BDAC7F0BA2F}"/>
            </a:ext>
          </a:extLst>
        </xdr:cNvPr>
        <xdr:cNvSpPr txBox="1"/>
      </xdr:nvSpPr>
      <xdr:spPr>
        <a:xfrm>
          <a:off x="6830537" y="1395228"/>
          <a:ext cx="1408279" cy="49155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7603734-15C3-416A-B0A1-191EF08A97EF}" type="TxLink">
            <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rPr>
            <a:pPr marL="0" indent="0"/>
            <a:t>$2.3M</a:t>
          </a:fld>
          <a:endPar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editAs="absolute">
    <xdr:from>
      <xdr:col>15</xdr:col>
      <xdr:colOff>49986</xdr:colOff>
      <xdr:row>7</xdr:row>
      <xdr:rowOff>79842</xdr:rowOff>
    </xdr:from>
    <xdr:to>
      <xdr:col>17</xdr:col>
      <xdr:colOff>229904</xdr:colOff>
      <xdr:row>10</xdr:row>
      <xdr:rowOff>9264</xdr:rowOff>
    </xdr:to>
    <xdr:sp macro="" textlink="storeanalysis!D15">
      <xdr:nvSpPr>
        <xdr:cNvPr id="7213" name="TextBox 7212">
          <a:extLst>
            <a:ext uri="{FF2B5EF4-FFF2-40B4-BE49-F238E27FC236}">
              <a16:creationId xmlns:a16="http://schemas.microsoft.com/office/drawing/2014/main" id="{8C1C2794-4DA7-46B3-AA03-FAC85C8C49D7}"/>
            </a:ext>
          </a:extLst>
        </xdr:cNvPr>
        <xdr:cNvSpPr txBox="1"/>
      </xdr:nvSpPr>
      <xdr:spPr>
        <a:xfrm>
          <a:off x="9262691" y="1391481"/>
          <a:ext cx="1408279" cy="49155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FE7DB27-9048-4067-A9C7-B4D3C1FC2A99}" type="TxLink">
            <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rPr>
            <a:pPr marL="0" indent="0"/>
            <a:t>42.2%</a:t>
          </a:fld>
          <a:endParaRPr lang="en-US" sz="2800" b="1"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editAs="absolute">
    <xdr:from>
      <xdr:col>1</xdr:col>
      <xdr:colOff>474839</xdr:colOff>
      <xdr:row>14</xdr:row>
      <xdr:rowOff>58615</xdr:rowOff>
    </xdr:from>
    <xdr:to>
      <xdr:col>2</xdr:col>
      <xdr:colOff>195386</xdr:colOff>
      <xdr:row>25</xdr:row>
      <xdr:rowOff>156630</xdr:rowOff>
    </xdr:to>
    <xdr:sp macro="" textlink="">
      <xdr:nvSpPr>
        <xdr:cNvPr id="7214" name="TextBox 7213">
          <a:extLst>
            <a:ext uri="{FF2B5EF4-FFF2-40B4-BE49-F238E27FC236}">
              <a16:creationId xmlns:a16="http://schemas.microsoft.com/office/drawing/2014/main" id="{99853522-ED8E-473C-98C0-DFF6C8961672}"/>
            </a:ext>
          </a:extLst>
        </xdr:cNvPr>
        <xdr:cNvSpPr txBox="1"/>
      </xdr:nvSpPr>
      <xdr:spPr>
        <a:xfrm rot="16200000">
          <a:off x="173758" y="3564003"/>
          <a:ext cx="2139785" cy="326240"/>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tx1"/>
              </a:solidFill>
              <a:effectLst>
                <a:outerShdw blurRad="38100" dist="25400" dir="5400000" algn="ctr" rotWithShape="0">
                  <a:srgbClr val="6E747A">
                    <a:alpha val="43000"/>
                  </a:srgbClr>
                </a:outerShdw>
              </a:effectLst>
              <a:latin typeface="+mn-lt"/>
              <a:cs typeface="Segoe UI Semibold" panose="020B0702040204020203" pitchFamily="34" charset="0"/>
            </a:rPr>
            <a:t>CUSTOMER ANALYSIS</a:t>
          </a:r>
        </a:p>
      </xdr:txBody>
    </xdr:sp>
    <xdr:clientData/>
  </xdr:twoCellAnchor>
  <xdr:twoCellAnchor editAs="absolute">
    <xdr:from>
      <xdr:col>1</xdr:col>
      <xdr:colOff>448009</xdr:colOff>
      <xdr:row>28</xdr:row>
      <xdr:rowOff>47469</xdr:rowOff>
    </xdr:from>
    <xdr:to>
      <xdr:col>2</xdr:col>
      <xdr:colOff>279737</xdr:colOff>
      <xdr:row>36</xdr:row>
      <xdr:rowOff>179416</xdr:rowOff>
    </xdr:to>
    <xdr:sp macro="" textlink="">
      <xdr:nvSpPr>
        <xdr:cNvPr id="7215" name="TextBox 7214">
          <a:extLst>
            <a:ext uri="{FF2B5EF4-FFF2-40B4-BE49-F238E27FC236}">
              <a16:creationId xmlns:a16="http://schemas.microsoft.com/office/drawing/2014/main" id="{118DC0B4-E906-4CCA-A3BD-449533DEA1EA}"/>
            </a:ext>
          </a:extLst>
        </xdr:cNvPr>
        <xdr:cNvSpPr txBox="1"/>
      </xdr:nvSpPr>
      <xdr:spPr>
        <a:xfrm rot="16200000">
          <a:off x="463977" y="5834424"/>
          <a:ext cx="1616870" cy="437421"/>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600" b="1" i="0" u="none" strike="noStrike" cap="none" spc="0">
              <a:ln w="0"/>
              <a:solidFill>
                <a:schemeClr val="tx1"/>
              </a:solidFill>
              <a:effectLst>
                <a:outerShdw blurRad="38100" dist="25400" dir="5400000" algn="ctr" rotWithShape="0">
                  <a:srgbClr val="6E747A">
                    <a:alpha val="43000"/>
                  </a:srgbClr>
                </a:outerShdw>
              </a:effectLst>
              <a:latin typeface="+mn-lt"/>
              <a:ea typeface="+mn-ea"/>
              <a:cs typeface="Segoe UI Semibold" panose="020B0702040204020203" pitchFamily="34" charset="0"/>
            </a:rPr>
            <a:t>TIME  </a:t>
          </a:r>
          <a:r>
            <a:rPr lang="en-US" sz="1600" b="1" i="0" u="none" strike="noStrike" cap="none" spc="0" baseline="0">
              <a:ln w="0"/>
              <a:solidFill>
                <a:schemeClr val="tx1"/>
              </a:solidFill>
              <a:effectLst>
                <a:outerShdw blurRad="38100" dist="25400" dir="5400000" algn="ctr" rotWithShape="0">
                  <a:srgbClr val="6E747A">
                    <a:alpha val="43000"/>
                  </a:srgbClr>
                </a:outerShdw>
              </a:effectLst>
              <a:latin typeface="+mn-lt"/>
              <a:ea typeface="+mn-ea"/>
              <a:cs typeface="Segoe UI Semibold" panose="020B0702040204020203" pitchFamily="34" charset="0"/>
            </a:rPr>
            <a:t> </a:t>
          </a:r>
          <a:r>
            <a:rPr lang="en-US" sz="1600" b="1" i="0" u="none" strike="noStrike" cap="none" spc="0">
              <a:ln w="0"/>
              <a:solidFill>
                <a:schemeClr val="tx1"/>
              </a:solidFill>
              <a:effectLst>
                <a:outerShdw blurRad="38100" dist="25400" dir="5400000" algn="ctr" rotWithShape="0">
                  <a:srgbClr val="6E747A">
                    <a:alpha val="43000"/>
                  </a:srgbClr>
                </a:outerShdw>
              </a:effectLst>
              <a:latin typeface="+mn-lt"/>
              <a:ea typeface="+mn-ea"/>
              <a:cs typeface="Segoe UI Semibold" panose="020B0702040204020203" pitchFamily="34" charset="0"/>
            </a:rPr>
            <a:t>FRAME</a:t>
          </a:r>
        </a:p>
      </xdr:txBody>
    </xdr:sp>
    <xdr:clientData/>
  </xdr:twoCellAnchor>
  <xdr:twoCellAnchor editAs="absolute">
    <xdr:from>
      <xdr:col>6</xdr:col>
      <xdr:colOff>68384</xdr:colOff>
      <xdr:row>16</xdr:row>
      <xdr:rowOff>19539</xdr:rowOff>
    </xdr:from>
    <xdr:to>
      <xdr:col>10</xdr:col>
      <xdr:colOff>55111</xdr:colOff>
      <xdr:row>27</xdr:row>
      <xdr:rowOff>58616</xdr:rowOff>
    </xdr:to>
    <xdr:graphicFrame macro="">
      <xdr:nvGraphicFramePr>
        <xdr:cNvPr id="7216" name="Chart 7215">
          <a:extLst>
            <a:ext uri="{FF2B5EF4-FFF2-40B4-BE49-F238E27FC236}">
              <a16:creationId xmlns:a16="http://schemas.microsoft.com/office/drawing/2014/main" id="{E6F675A9-5625-4C9D-9EB4-65D6080A6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6</xdr:col>
      <xdr:colOff>45977</xdr:colOff>
      <xdr:row>13</xdr:row>
      <xdr:rowOff>48948</xdr:rowOff>
    </xdr:from>
    <xdr:to>
      <xdr:col>10</xdr:col>
      <xdr:colOff>161207</xdr:colOff>
      <xdr:row>14</xdr:row>
      <xdr:rowOff>131829</xdr:rowOff>
    </xdr:to>
    <xdr:sp macro="" textlink="">
      <xdr:nvSpPr>
        <xdr:cNvPr id="7217" name="TextBox 7216">
          <a:extLst>
            <a:ext uri="{FF2B5EF4-FFF2-40B4-BE49-F238E27FC236}">
              <a16:creationId xmlns:a16="http://schemas.microsoft.com/office/drawing/2014/main" id="{17B924D4-F049-4B6C-84B5-4337697E8CAC}"/>
            </a:ext>
          </a:extLst>
        </xdr:cNvPr>
        <xdr:cNvSpPr txBox="1"/>
      </xdr:nvSpPr>
      <xdr:spPr>
        <a:xfrm>
          <a:off x="3712203" y="2463146"/>
          <a:ext cx="2559381" cy="268589"/>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PROFIT</a:t>
          </a:r>
          <a:r>
            <a:rPr lang="en-US" sz="14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MARGIN BY AGE FROUP</a:t>
          </a:r>
          <a:endPar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5</xdr:col>
      <xdr:colOff>581265</xdr:colOff>
      <xdr:row>12</xdr:row>
      <xdr:rowOff>146538</xdr:rowOff>
    </xdr:from>
    <xdr:to>
      <xdr:col>5</xdr:col>
      <xdr:colOff>581265</xdr:colOff>
      <xdr:row>27</xdr:row>
      <xdr:rowOff>78154</xdr:rowOff>
    </xdr:to>
    <xdr:cxnSp macro="">
      <xdr:nvCxnSpPr>
        <xdr:cNvPr id="7219" name="Straight Connector 7218">
          <a:extLst>
            <a:ext uri="{FF2B5EF4-FFF2-40B4-BE49-F238E27FC236}">
              <a16:creationId xmlns:a16="http://schemas.microsoft.com/office/drawing/2014/main" id="{70E386F3-D91A-4E08-4E73-1EB4CF646719}"/>
            </a:ext>
          </a:extLst>
        </xdr:cNvPr>
        <xdr:cNvCxnSpPr/>
      </xdr:nvCxnSpPr>
      <xdr:spPr>
        <a:xfrm>
          <a:off x="3634150" y="2344615"/>
          <a:ext cx="0" cy="2679212"/>
        </a:xfrm>
        <a:prstGeom prst="line">
          <a:avLst/>
        </a:prstGeom>
        <a:ln w="19050">
          <a:solidFill>
            <a:schemeClr val="bg2">
              <a:lumMod val="50000"/>
              <a:alpha val="5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216125</xdr:colOff>
      <xdr:row>14</xdr:row>
      <xdr:rowOff>94601</xdr:rowOff>
    </xdr:from>
    <xdr:to>
      <xdr:col>6</xdr:col>
      <xdr:colOff>9497</xdr:colOff>
      <xdr:row>27</xdr:row>
      <xdr:rowOff>84667</xdr:rowOff>
    </xdr:to>
    <xdr:graphicFrame macro="">
      <xdr:nvGraphicFramePr>
        <xdr:cNvPr id="7221" name="Chart 7220">
          <a:extLst>
            <a:ext uri="{FF2B5EF4-FFF2-40B4-BE49-F238E27FC236}">
              <a16:creationId xmlns:a16="http://schemas.microsoft.com/office/drawing/2014/main" id="{DD2206F4-9840-4116-8DD5-AC1A7F0CE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xdr:col>
      <xdr:colOff>367531</xdr:colOff>
      <xdr:row>13</xdr:row>
      <xdr:rowOff>44845</xdr:rowOff>
    </xdr:from>
    <xdr:to>
      <xdr:col>5</xdr:col>
      <xdr:colOff>236344</xdr:colOff>
      <xdr:row>14</xdr:row>
      <xdr:rowOff>126092</xdr:rowOff>
    </xdr:to>
    <xdr:sp macro="" textlink="">
      <xdr:nvSpPr>
        <xdr:cNvPr id="7222" name="TextBox 7221">
          <a:extLst>
            <a:ext uri="{FF2B5EF4-FFF2-40B4-BE49-F238E27FC236}">
              <a16:creationId xmlns:a16="http://schemas.microsoft.com/office/drawing/2014/main" id="{CF57B255-EE90-414C-810E-207B1A505126}"/>
            </a:ext>
          </a:extLst>
        </xdr:cNvPr>
        <xdr:cNvSpPr txBox="1"/>
      </xdr:nvSpPr>
      <xdr:spPr>
        <a:xfrm>
          <a:off x="1590925" y="2468331"/>
          <a:ext cx="1703905" cy="267669"/>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PROFIT</a:t>
          </a:r>
          <a:r>
            <a:rPr lang="en-US" sz="14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BY GENDER</a:t>
          </a:r>
          <a:endPar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2</xdr:col>
      <xdr:colOff>343505</xdr:colOff>
      <xdr:row>29</xdr:row>
      <xdr:rowOff>42334</xdr:rowOff>
    </xdr:from>
    <xdr:to>
      <xdr:col>10</xdr:col>
      <xdr:colOff>38705</xdr:colOff>
      <xdr:row>40</xdr:row>
      <xdr:rowOff>135526</xdr:rowOff>
    </xdr:to>
    <xdr:graphicFrame macro="">
      <xdr:nvGraphicFramePr>
        <xdr:cNvPr id="7223" name="Chart 7222">
          <a:extLst>
            <a:ext uri="{FF2B5EF4-FFF2-40B4-BE49-F238E27FC236}">
              <a16:creationId xmlns:a16="http://schemas.microsoft.com/office/drawing/2014/main" id="{0D130904-4AE1-4497-AFA8-6019DFCF9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517859</xdr:colOff>
      <xdr:row>27</xdr:row>
      <xdr:rowOff>91734</xdr:rowOff>
    </xdr:from>
    <xdr:to>
      <xdr:col>7</xdr:col>
      <xdr:colOff>237985</xdr:colOff>
      <xdr:row>29</xdr:row>
      <xdr:rowOff>91678</xdr:rowOff>
    </xdr:to>
    <xdr:sp macro="" textlink="">
      <xdr:nvSpPr>
        <xdr:cNvPr id="7224" name="TextBox 7223">
          <a:extLst>
            <a:ext uri="{FF2B5EF4-FFF2-40B4-BE49-F238E27FC236}">
              <a16:creationId xmlns:a16="http://schemas.microsoft.com/office/drawing/2014/main" id="{72D22556-FCAE-4576-8D56-CEE865E5E39A}"/>
            </a:ext>
          </a:extLst>
        </xdr:cNvPr>
        <xdr:cNvSpPr txBox="1"/>
      </xdr:nvSpPr>
      <xdr:spPr>
        <a:xfrm>
          <a:off x="1728328" y="5181656"/>
          <a:ext cx="2746298" cy="37697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PROFIT</a:t>
          </a:r>
          <a:r>
            <a:rPr lang="en-US" sz="14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TREND AND MOM GROTH</a:t>
          </a:r>
          <a:endPar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10</xdr:col>
      <xdr:colOff>94110</xdr:colOff>
      <xdr:row>29</xdr:row>
      <xdr:rowOff>30286</xdr:rowOff>
    </xdr:from>
    <xdr:to>
      <xdr:col>17</xdr:col>
      <xdr:colOff>466644</xdr:colOff>
      <xdr:row>41</xdr:row>
      <xdr:rowOff>111858</xdr:rowOff>
    </xdr:to>
    <xdr:graphicFrame macro="">
      <xdr:nvGraphicFramePr>
        <xdr:cNvPr id="7225" name="Chart 7224">
          <a:extLst>
            <a:ext uri="{FF2B5EF4-FFF2-40B4-BE49-F238E27FC236}">
              <a16:creationId xmlns:a16="http://schemas.microsoft.com/office/drawing/2014/main" id="{2F9B4C3F-AC68-45D7-BAD8-E54878117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10</xdr:col>
      <xdr:colOff>417855</xdr:colOff>
      <xdr:row>27</xdr:row>
      <xdr:rowOff>101655</xdr:rowOff>
    </xdr:from>
    <xdr:to>
      <xdr:col>13</xdr:col>
      <xdr:colOff>387615</xdr:colOff>
      <xdr:row>29</xdr:row>
      <xdr:rowOff>101599</xdr:rowOff>
    </xdr:to>
    <xdr:sp macro="" textlink="">
      <xdr:nvSpPr>
        <xdr:cNvPr id="7226" name="TextBox 7225">
          <a:extLst>
            <a:ext uri="{FF2B5EF4-FFF2-40B4-BE49-F238E27FC236}">
              <a16:creationId xmlns:a16="http://schemas.microsoft.com/office/drawing/2014/main" id="{B3884102-847F-46A5-BEC4-5233AE6B8BE4}"/>
            </a:ext>
          </a:extLst>
        </xdr:cNvPr>
        <xdr:cNvSpPr txBox="1"/>
      </xdr:nvSpPr>
      <xdr:spPr>
        <a:xfrm>
          <a:off x="6470199" y="5191577"/>
          <a:ext cx="1785463" cy="37697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PROFIT</a:t>
          </a:r>
          <a:r>
            <a:rPr lang="en-US" sz="14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BY WEEKDAY</a:t>
          </a:r>
          <a:endPar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18</xdr:col>
      <xdr:colOff>164853</xdr:colOff>
      <xdr:row>7</xdr:row>
      <xdr:rowOff>61058</xdr:rowOff>
    </xdr:from>
    <xdr:to>
      <xdr:col>23</xdr:col>
      <xdr:colOff>293076</xdr:colOff>
      <xdr:row>42</xdr:row>
      <xdr:rowOff>61060</xdr:rowOff>
    </xdr:to>
    <xdr:sp macro="" textlink="">
      <xdr:nvSpPr>
        <xdr:cNvPr id="7227" name="Rectangle: Top Corners Rounded 7226">
          <a:extLst>
            <a:ext uri="{FF2B5EF4-FFF2-40B4-BE49-F238E27FC236}">
              <a16:creationId xmlns:a16="http://schemas.microsoft.com/office/drawing/2014/main" id="{6DDF4BA7-8C7C-1E9F-55C3-887CD34FAC3F}"/>
            </a:ext>
          </a:extLst>
        </xdr:cNvPr>
        <xdr:cNvSpPr/>
      </xdr:nvSpPr>
      <xdr:spPr>
        <a:xfrm rot="5400000">
          <a:off x="9540262" y="2958246"/>
          <a:ext cx="6411059" cy="3181107"/>
        </a:xfrm>
        <a:prstGeom prst="round2SameRect">
          <a:avLst>
            <a:gd name="adj1" fmla="val 23961"/>
            <a:gd name="adj2" fmla="val 0"/>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18</xdr:col>
      <xdr:colOff>317081</xdr:colOff>
      <xdr:row>8</xdr:row>
      <xdr:rowOff>24423</xdr:rowOff>
    </xdr:from>
    <xdr:to>
      <xdr:col>22</xdr:col>
      <xdr:colOff>337344</xdr:colOff>
      <xdr:row>9</xdr:row>
      <xdr:rowOff>119062</xdr:rowOff>
    </xdr:to>
    <xdr:sp macro="" textlink="">
      <xdr:nvSpPr>
        <xdr:cNvPr id="7228" name="TextBox 7227">
          <a:extLst>
            <a:ext uri="{FF2B5EF4-FFF2-40B4-BE49-F238E27FC236}">
              <a16:creationId xmlns:a16="http://schemas.microsoft.com/office/drawing/2014/main" id="{E4BEB860-012B-46C3-B1A3-313AD85BDB44}"/>
            </a:ext>
          </a:extLst>
        </xdr:cNvPr>
        <xdr:cNvSpPr txBox="1"/>
      </xdr:nvSpPr>
      <xdr:spPr>
        <a:xfrm>
          <a:off x="11211300" y="1532548"/>
          <a:ext cx="2441200" cy="28315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TOTAL</a:t>
          </a:r>
          <a:r>
            <a:rPr lang="en-US" sz="1800" b="1" baseline="0">
              <a:solidFill>
                <a:schemeClr val="accent1">
                  <a:lumMod val="75000"/>
                </a:schemeClr>
              </a:solidFill>
            </a:rPr>
            <a:t> PRODUCT </a:t>
          </a:r>
          <a:endParaRPr lang="en-US" sz="1800" b="1">
            <a:solidFill>
              <a:schemeClr val="accent1">
                <a:lumMod val="75000"/>
              </a:schemeClr>
            </a:solidFill>
          </a:endParaRPr>
        </a:p>
      </xdr:txBody>
    </xdr:sp>
    <xdr:clientData/>
  </xdr:twoCellAnchor>
  <xdr:twoCellAnchor editAs="absolute">
    <xdr:from>
      <xdr:col>18</xdr:col>
      <xdr:colOff>244231</xdr:colOff>
      <xdr:row>8</xdr:row>
      <xdr:rowOff>123106</xdr:rowOff>
    </xdr:from>
    <xdr:to>
      <xdr:col>18</xdr:col>
      <xdr:colOff>351825</xdr:colOff>
      <xdr:row>9</xdr:row>
      <xdr:rowOff>34324</xdr:rowOff>
    </xdr:to>
    <xdr:sp macro="" textlink="">
      <xdr:nvSpPr>
        <xdr:cNvPr id="7229" name="Oval 7228">
          <a:extLst>
            <a:ext uri="{FF2B5EF4-FFF2-40B4-BE49-F238E27FC236}">
              <a16:creationId xmlns:a16="http://schemas.microsoft.com/office/drawing/2014/main" id="{890216B1-798D-225E-4516-FFFC3114D1EE}"/>
            </a:ext>
          </a:extLst>
        </xdr:cNvPr>
        <xdr:cNvSpPr/>
      </xdr:nvSpPr>
      <xdr:spPr>
        <a:xfrm>
          <a:off x="11210853" y="1599052"/>
          <a:ext cx="107594" cy="95711"/>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142045</xdr:colOff>
      <xdr:row>14</xdr:row>
      <xdr:rowOff>183410</xdr:rowOff>
    </xdr:from>
    <xdr:to>
      <xdr:col>10</xdr:col>
      <xdr:colOff>249639</xdr:colOff>
      <xdr:row>15</xdr:row>
      <xdr:rowOff>94628</xdr:rowOff>
    </xdr:to>
    <xdr:sp macro="" textlink="">
      <xdr:nvSpPr>
        <xdr:cNvPr id="7230" name="Oval 7229">
          <a:extLst>
            <a:ext uri="{FF2B5EF4-FFF2-40B4-BE49-F238E27FC236}">
              <a16:creationId xmlns:a16="http://schemas.microsoft.com/office/drawing/2014/main" id="{1D03AEAA-418C-4FB1-A866-E471D7B87A5B}"/>
            </a:ext>
          </a:extLst>
        </xdr:cNvPr>
        <xdr:cNvSpPr/>
      </xdr:nvSpPr>
      <xdr:spPr>
        <a:xfrm>
          <a:off x="6259017" y="2793318"/>
          <a:ext cx="107594" cy="97640"/>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4809</xdr:colOff>
      <xdr:row>13</xdr:row>
      <xdr:rowOff>138406</xdr:rowOff>
    </xdr:from>
    <xdr:to>
      <xdr:col>6</xdr:col>
      <xdr:colOff>112403</xdr:colOff>
      <xdr:row>14</xdr:row>
      <xdr:rowOff>49624</xdr:rowOff>
    </xdr:to>
    <xdr:sp macro="" textlink="">
      <xdr:nvSpPr>
        <xdr:cNvPr id="7231" name="Oval 7230">
          <a:extLst>
            <a:ext uri="{FF2B5EF4-FFF2-40B4-BE49-F238E27FC236}">
              <a16:creationId xmlns:a16="http://schemas.microsoft.com/office/drawing/2014/main" id="{230ECD6F-7F63-463B-829F-4A5D076F1B6A}"/>
            </a:ext>
          </a:extLst>
        </xdr:cNvPr>
        <xdr:cNvSpPr/>
      </xdr:nvSpPr>
      <xdr:spPr>
        <a:xfrm>
          <a:off x="3671035" y="2552604"/>
          <a:ext cx="107594" cy="96926"/>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326155</xdr:colOff>
      <xdr:row>13</xdr:row>
      <xdr:rowOff>134008</xdr:rowOff>
    </xdr:from>
    <xdr:to>
      <xdr:col>2</xdr:col>
      <xdr:colOff>433749</xdr:colOff>
      <xdr:row>14</xdr:row>
      <xdr:rowOff>45226</xdr:rowOff>
    </xdr:to>
    <xdr:sp macro="" textlink="">
      <xdr:nvSpPr>
        <xdr:cNvPr id="7232" name="Oval 7231">
          <a:extLst>
            <a:ext uri="{FF2B5EF4-FFF2-40B4-BE49-F238E27FC236}">
              <a16:creationId xmlns:a16="http://schemas.microsoft.com/office/drawing/2014/main" id="{3839B166-9965-481B-A5FB-F762A34F7755}"/>
            </a:ext>
          </a:extLst>
        </xdr:cNvPr>
        <xdr:cNvSpPr/>
      </xdr:nvSpPr>
      <xdr:spPr>
        <a:xfrm>
          <a:off x="1549549" y="2557494"/>
          <a:ext cx="107594" cy="97640"/>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423806</xdr:colOff>
      <xdr:row>28</xdr:row>
      <xdr:rowOff>44770</xdr:rowOff>
    </xdr:from>
    <xdr:to>
      <xdr:col>2</xdr:col>
      <xdr:colOff>531400</xdr:colOff>
      <xdr:row>28</xdr:row>
      <xdr:rowOff>144505</xdr:rowOff>
    </xdr:to>
    <xdr:sp macro="" textlink="">
      <xdr:nvSpPr>
        <xdr:cNvPr id="7233" name="Oval 7232">
          <a:extLst>
            <a:ext uri="{FF2B5EF4-FFF2-40B4-BE49-F238E27FC236}">
              <a16:creationId xmlns:a16="http://schemas.microsoft.com/office/drawing/2014/main" id="{0F8C7D19-A0AF-4568-9A31-3E551759D225}"/>
            </a:ext>
          </a:extLst>
        </xdr:cNvPr>
        <xdr:cNvSpPr/>
      </xdr:nvSpPr>
      <xdr:spPr>
        <a:xfrm>
          <a:off x="1634275" y="5323208"/>
          <a:ext cx="107594" cy="99735"/>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291649</xdr:colOff>
      <xdr:row>28</xdr:row>
      <xdr:rowOff>60776</xdr:rowOff>
    </xdr:from>
    <xdr:to>
      <xdr:col>10</xdr:col>
      <xdr:colOff>399243</xdr:colOff>
      <xdr:row>28</xdr:row>
      <xdr:rowOff>160510</xdr:rowOff>
    </xdr:to>
    <xdr:sp macro="" textlink="">
      <xdr:nvSpPr>
        <xdr:cNvPr id="7234" name="Oval 7233">
          <a:extLst>
            <a:ext uri="{FF2B5EF4-FFF2-40B4-BE49-F238E27FC236}">
              <a16:creationId xmlns:a16="http://schemas.microsoft.com/office/drawing/2014/main" id="{0358A69E-70EA-4DDB-9975-65D809133BB0}"/>
            </a:ext>
          </a:extLst>
        </xdr:cNvPr>
        <xdr:cNvSpPr/>
      </xdr:nvSpPr>
      <xdr:spPr>
        <a:xfrm>
          <a:off x="6343993" y="5339214"/>
          <a:ext cx="107594" cy="99734"/>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378812</xdr:colOff>
      <xdr:row>10</xdr:row>
      <xdr:rowOff>6871</xdr:rowOff>
    </xdr:from>
    <xdr:to>
      <xdr:col>18</xdr:col>
      <xdr:colOff>378812</xdr:colOff>
      <xdr:row>13</xdr:row>
      <xdr:rowOff>184191</xdr:rowOff>
    </xdr:to>
    <xdr:cxnSp macro="">
      <xdr:nvCxnSpPr>
        <xdr:cNvPr id="7236" name="Straight Connector 7235">
          <a:extLst>
            <a:ext uri="{FF2B5EF4-FFF2-40B4-BE49-F238E27FC236}">
              <a16:creationId xmlns:a16="http://schemas.microsoft.com/office/drawing/2014/main" id="{007AAF15-926D-1732-B548-1ACD9B593B8A}"/>
            </a:ext>
          </a:extLst>
        </xdr:cNvPr>
        <xdr:cNvCxnSpPr/>
      </xdr:nvCxnSpPr>
      <xdr:spPr>
        <a:xfrm>
          <a:off x="11369197" y="1879307"/>
          <a:ext cx="0" cy="739051"/>
        </a:xfrm>
        <a:prstGeom prst="line">
          <a:avLst/>
        </a:prstGeom>
        <a:ln w="60325">
          <a:solidFill>
            <a:schemeClr val="bg2">
              <a:lumMod val="75000"/>
              <a:alpha val="5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393301</xdr:colOff>
      <xdr:row>9</xdr:row>
      <xdr:rowOff>157005</xdr:rowOff>
    </xdr:from>
    <xdr:to>
      <xdr:col>20</xdr:col>
      <xdr:colOff>605999</xdr:colOff>
      <xdr:row>11</xdr:row>
      <xdr:rowOff>82175</xdr:rowOff>
    </xdr:to>
    <xdr:sp macro="" textlink="">
      <xdr:nvSpPr>
        <xdr:cNvPr id="7237" name="TextBox 7236">
          <a:extLst>
            <a:ext uri="{FF2B5EF4-FFF2-40B4-BE49-F238E27FC236}">
              <a16:creationId xmlns:a16="http://schemas.microsoft.com/office/drawing/2014/main" id="{41A2F195-7935-4523-A39A-ABEEC2EB7AF0}"/>
            </a:ext>
          </a:extLst>
        </xdr:cNvPr>
        <xdr:cNvSpPr txBox="1"/>
      </xdr:nvSpPr>
      <xdr:spPr>
        <a:xfrm>
          <a:off x="11383686" y="1842197"/>
          <a:ext cx="1433851" cy="299657"/>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RETURN</a:t>
          </a:r>
          <a:r>
            <a:rPr lang="en-US" sz="16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RATE</a:t>
          </a:r>
        </a:p>
      </xdr:txBody>
    </xdr:sp>
    <xdr:clientData/>
  </xdr:twoCellAnchor>
  <xdr:twoCellAnchor editAs="absolute">
    <xdr:from>
      <xdr:col>18</xdr:col>
      <xdr:colOff>405013</xdr:colOff>
      <xdr:row>12</xdr:row>
      <xdr:rowOff>96212</xdr:rowOff>
    </xdr:from>
    <xdr:to>
      <xdr:col>21</xdr:col>
      <xdr:colOff>152390</xdr:colOff>
      <xdr:row>13</xdr:row>
      <xdr:rowOff>175287</xdr:rowOff>
    </xdr:to>
    <xdr:sp macro="" textlink="">
      <xdr:nvSpPr>
        <xdr:cNvPr id="7238" name="TextBox 7237">
          <a:extLst>
            <a:ext uri="{FF2B5EF4-FFF2-40B4-BE49-F238E27FC236}">
              <a16:creationId xmlns:a16="http://schemas.microsoft.com/office/drawing/2014/main" id="{6EDB410E-1D03-46FB-BB10-D82EE59F93E1}"/>
            </a:ext>
          </a:extLst>
        </xdr:cNvPr>
        <xdr:cNvSpPr txBox="1"/>
      </xdr:nvSpPr>
      <xdr:spPr>
        <a:xfrm>
          <a:off x="11395398" y="2343135"/>
          <a:ext cx="1579107" cy="266319"/>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REFUND RATE</a:t>
          </a:r>
          <a:endParaRPr lang="en-US" sz="16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20</xdr:col>
      <xdr:colOff>503724</xdr:colOff>
      <xdr:row>10</xdr:row>
      <xdr:rowOff>15819</xdr:rowOff>
    </xdr:from>
    <xdr:to>
      <xdr:col>21</xdr:col>
      <xdr:colOff>578521</xdr:colOff>
      <xdr:row>11</xdr:row>
      <xdr:rowOff>56478</xdr:rowOff>
    </xdr:to>
    <xdr:sp macro="" textlink="profitanalysis!AN7">
      <xdr:nvSpPr>
        <xdr:cNvPr id="7240" name="TextBox 7239">
          <a:extLst>
            <a:ext uri="{FF2B5EF4-FFF2-40B4-BE49-F238E27FC236}">
              <a16:creationId xmlns:a16="http://schemas.microsoft.com/office/drawing/2014/main" id="{9C6D2B41-571B-4FCD-9DA2-A311CD4EADB5}"/>
            </a:ext>
          </a:extLst>
        </xdr:cNvPr>
        <xdr:cNvSpPr txBox="1"/>
      </xdr:nvSpPr>
      <xdr:spPr>
        <a:xfrm>
          <a:off x="12715262" y="1888255"/>
          <a:ext cx="685374" cy="22790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CBA558D-CC64-4D10-AF4D-E106CE266B9B}" type="TxLink">
            <a:rPr lang="en-US" sz="1400" b="0"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cs typeface="Calibri"/>
            </a:rPr>
            <a:pPr/>
            <a:t>8.03%</a:t>
          </a:fld>
          <a:endParaRPr lang="en-US" sz="2000" b="0" i="0" u="none" strike="noStrike" cap="none" spc="0" baseline="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20</xdr:col>
      <xdr:colOff>517218</xdr:colOff>
      <xdr:row>12</xdr:row>
      <xdr:rowOff>118356</xdr:rowOff>
    </xdr:from>
    <xdr:to>
      <xdr:col>21</xdr:col>
      <xdr:colOff>592015</xdr:colOff>
      <xdr:row>13</xdr:row>
      <xdr:rowOff>159015</xdr:rowOff>
    </xdr:to>
    <xdr:sp macro="" textlink="profitanalysis!AL7">
      <xdr:nvSpPr>
        <xdr:cNvPr id="7241" name="TextBox 7240">
          <a:extLst>
            <a:ext uri="{FF2B5EF4-FFF2-40B4-BE49-F238E27FC236}">
              <a16:creationId xmlns:a16="http://schemas.microsoft.com/office/drawing/2014/main" id="{4F59A061-0E15-40B3-93A8-7CC5D93DE900}"/>
            </a:ext>
          </a:extLst>
        </xdr:cNvPr>
        <xdr:cNvSpPr txBox="1"/>
      </xdr:nvSpPr>
      <xdr:spPr>
        <a:xfrm>
          <a:off x="12728756" y="2365279"/>
          <a:ext cx="685374" cy="22790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2E0F579-BE92-4BFD-990E-70C174CB7671}" type="TxLink">
            <a:rPr lang="en-US" sz="1400" b="0"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rPr>
            <a:pPr marL="0" indent="0"/>
            <a:t>8.05%</a:t>
          </a:fld>
          <a:endParaRPr lang="en-US" sz="1400" b="0" i="0" u="none" strike="noStrike" cap="none" spc="0">
            <a:ln w="0"/>
            <a:solidFill>
              <a:schemeClr val="accent1">
                <a:lumMod val="75000"/>
              </a:schemeClr>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editAs="absolute">
    <xdr:from>
      <xdr:col>21</xdr:col>
      <xdr:colOff>337098</xdr:colOff>
      <xdr:row>7</xdr:row>
      <xdr:rowOff>160586</xdr:rowOff>
    </xdr:from>
    <xdr:to>
      <xdr:col>22</xdr:col>
      <xdr:colOff>552572</xdr:colOff>
      <xdr:row>9</xdr:row>
      <xdr:rowOff>118299</xdr:rowOff>
    </xdr:to>
    <xdr:sp macro="" textlink="profitanalysis!AM7">
      <xdr:nvSpPr>
        <xdr:cNvPr id="7242" name="TextBox 7241">
          <a:extLst>
            <a:ext uri="{FF2B5EF4-FFF2-40B4-BE49-F238E27FC236}">
              <a16:creationId xmlns:a16="http://schemas.microsoft.com/office/drawing/2014/main" id="{68B8068E-0534-4053-BFA4-F8A8992B3F05}"/>
            </a:ext>
          </a:extLst>
        </xdr:cNvPr>
        <xdr:cNvSpPr txBox="1"/>
      </xdr:nvSpPr>
      <xdr:spPr>
        <a:xfrm>
          <a:off x="13159213" y="1471291"/>
          <a:ext cx="826051" cy="332200"/>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BFFA530-09F4-4F24-874C-DA400D09E072}" type="TxLink">
            <a:rPr lang="en-US" sz="3200" b="0" i="0" u="none" strike="noStrike" cap="none" spc="0">
              <a:ln w="0"/>
              <a:solidFill>
                <a:srgbClr val="00B050"/>
              </a:solidFill>
              <a:effectLst>
                <a:outerShdw blurRad="38100" dist="25400" dir="5400000" algn="ctr" rotWithShape="0">
                  <a:srgbClr val="6E747A">
                    <a:alpha val="43000"/>
                  </a:srgbClr>
                </a:outerShdw>
              </a:effectLst>
              <a:latin typeface="Calibri"/>
              <a:cs typeface="Calibri"/>
            </a:rPr>
            <a:pPr/>
            <a:t>100</a:t>
          </a:fld>
          <a:endParaRPr lang="en-US" sz="5400" b="0" i="0" u="none" strike="noStrike" cap="none" spc="0" baseline="0">
            <a:ln w="0"/>
            <a:solidFill>
              <a:srgbClr val="00B050"/>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18</xdr:col>
      <xdr:colOff>181428</xdr:colOff>
      <xdr:row>15</xdr:row>
      <xdr:rowOff>179102</xdr:rowOff>
    </xdr:from>
    <xdr:to>
      <xdr:col>23</xdr:col>
      <xdr:colOff>272143</xdr:colOff>
      <xdr:row>27</xdr:row>
      <xdr:rowOff>130250</xdr:rowOff>
    </xdr:to>
    <xdr:graphicFrame macro="">
      <xdr:nvGraphicFramePr>
        <xdr:cNvPr id="7243" name="Chart 7242">
          <a:extLst>
            <a:ext uri="{FF2B5EF4-FFF2-40B4-BE49-F238E27FC236}">
              <a16:creationId xmlns:a16="http://schemas.microsoft.com/office/drawing/2014/main" id="{8646B940-3651-4960-914A-71A2BBD06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18</xdr:col>
      <xdr:colOff>281541</xdr:colOff>
      <xdr:row>14</xdr:row>
      <xdr:rowOff>76052</xdr:rowOff>
    </xdr:from>
    <xdr:to>
      <xdr:col>23</xdr:col>
      <xdr:colOff>170964</xdr:colOff>
      <xdr:row>16</xdr:row>
      <xdr:rowOff>79928</xdr:rowOff>
    </xdr:to>
    <xdr:sp macro="" textlink="">
      <xdr:nvSpPr>
        <xdr:cNvPr id="7244" name="TextBox 7243">
          <a:extLst>
            <a:ext uri="{FF2B5EF4-FFF2-40B4-BE49-F238E27FC236}">
              <a16:creationId xmlns:a16="http://schemas.microsoft.com/office/drawing/2014/main" id="{776BECC4-9A8E-4891-B3EC-0532DA36B045}"/>
            </a:ext>
          </a:extLst>
        </xdr:cNvPr>
        <xdr:cNvSpPr txBox="1"/>
      </xdr:nvSpPr>
      <xdr:spPr>
        <a:xfrm>
          <a:off x="11271926" y="2697462"/>
          <a:ext cx="2942307" cy="37836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TOP-5</a:t>
          </a:r>
          <a:r>
            <a:rPr lang="en-US" sz="14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PRODUCT BY PROFIT MARGIN</a:t>
          </a:r>
          <a:endPar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18</xdr:col>
      <xdr:colOff>242664</xdr:colOff>
      <xdr:row>15</xdr:row>
      <xdr:rowOff>35706</xdr:rowOff>
    </xdr:from>
    <xdr:to>
      <xdr:col>18</xdr:col>
      <xdr:colOff>350258</xdr:colOff>
      <xdr:row>15</xdr:row>
      <xdr:rowOff>135440</xdr:rowOff>
    </xdr:to>
    <xdr:sp macro="" textlink="">
      <xdr:nvSpPr>
        <xdr:cNvPr id="7245" name="Oval 7244">
          <a:extLst>
            <a:ext uri="{FF2B5EF4-FFF2-40B4-BE49-F238E27FC236}">
              <a16:creationId xmlns:a16="http://schemas.microsoft.com/office/drawing/2014/main" id="{5E3FC475-825E-45BB-8BA7-3BB373F285F0}"/>
            </a:ext>
          </a:extLst>
        </xdr:cNvPr>
        <xdr:cNvSpPr/>
      </xdr:nvSpPr>
      <xdr:spPr>
        <a:xfrm>
          <a:off x="11233049" y="2844360"/>
          <a:ext cx="107594" cy="99734"/>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409086</xdr:colOff>
      <xdr:row>16</xdr:row>
      <xdr:rowOff>17669</xdr:rowOff>
    </xdr:from>
    <xdr:to>
      <xdr:col>23</xdr:col>
      <xdr:colOff>36635</xdr:colOff>
      <xdr:row>16</xdr:row>
      <xdr:rowOff>23774</xdr:rowOff>
    </xdr:to>
    <xdr:cxnSp macro="">
      <xdr:nvCxnSpPr>
        <xdr:cNvPr id="7246" name="Straight Connector 7245">
          <a:extLst>
            <a:ext uri="{FF2B5EF4-FFF2-40B4-BE49-F238E27FC236}">
              <a16:creationId xmlns:a16="http://schemas.microsoft.com/office/drawing/2014/main" id="{F0563DF0-5B7C-4DC3-ACD7-E7B48282913C}"/>
            </a:ext>
          </a:extLst>
        </xdr:cNvPr>
        <xdr:cNvCxnSpPr/>
      </xdr:nvCxnSpPr>
      <xdr:spPr>
        <a:xfrm flipV="1">
          <a:off x="11399471" y="3013566"/>
          <a:ext cx="2680433" cy="6105"/>
        </a:xfrm>
        <a:prstGeom prst="line">
          <a:avLst/>
        </a:prstGeom>
        <a:ln w="22225">
          <a:solidFill>
            <a:schemeClr val="bg2">
              <a:lumMod val="75000"/>
              <a:alpha val="5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333201</xdr:colOff>
      <xdr:row>26</xdr:row>
      <xdr:rowOff>141456</xdr:rowOff>
    </xdr:from>
    <xdr:to>
      <xdr:col>22</xdr:col>
      <xdr:colOff>496093</xdr:colOff>
      <xdr:row>28</xdr:row>
      <xdr:rowOff>128984</xdr:rowOff>
    </xdr:to>
    <xdr:sp macro="" textlink="">
      <xdr:nvSpPr>
        <xdr:cNvPr id="7252" name="TextBox 7251">
          <a:extLst>
            <a:ext uri="{FF2B5EF4-FFF2-40B4-BE49-F238E27FC236}">
              <a16:creationId xmlns:a16="http://schemas.microsoft.com/office/drawing/2014/main" id="{7CFCFD42-E2DC-4E17-9BD4-B0F9C3F1DDEF}"/>
            </a:ext>
          </a:extLst>
        </xdr:cNvPr>
        <xdr:cNvSpPr txBox="1"/>
      </xdr:nvSpPr>
      <xdr:spPr>
        <a:xfrm>
          <a:off x="11227420" y="5042862"/>
          <a:ext cx="2583829" cy="364560"/>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PROFIT BY TOP-5</a:t>
          </a:r>
          <a:r>
            <a:rPr lang="en-US" sz="1400" b="1" i="0" u="none" strike="noStrike" cap="none" spc="0" baseline="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rPr>
            <a:t> CATEGORIES</a:t>
          </a:r>
          <a:endParaRPr lang="en-US" sz="1400" b="1" i="0" u="none" strike="noStrike" cap="none" spc="0">
            <a:ln w="0"/>
            <a:solidFill>
              <a:schemeClr val="accent1"/>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18</xdr:col>
      <xdr:colOff>191566</xdr:colOff>
      <xdr:row>28</xdr:row>
      <xdr:rowOff>122879</xdr:rowOff>
    </xdr:from>
    <xdr:to>
      <xdr:col>23</xdr:col>
      <xdr:colOff>297656</xdr:colOff>
      <xdr:row>42</xdr:row>
      <xdr:rowOff>109141</xdr:rowOff>
    </xdr:to>
    <mc:AlternateContent xmlns:mc="http://schemas.openxmlformats.org/markup-compatibility/2006">
      <mc:Choice xmlns:cx1="http://schemas.microsoft.com/office/drawing/2015/9/8/chartex" Requires="cx1">
        <xdr:graphicFrame macro="">
          <xdr:nvGraphicFramePr>
            <xdr:cNvPr id="7253" name="Chart 7252">
              <a:extLst>
                <a:ext uri="{FF2B5EF4-FFF2-40B4-BE49-F238E27FC236}">
                  <a16:creationId xmlns:a16="http://schemas.microsoft.com/office/drawing/2014/main" id="{0FC7771A-B30E-4A05-8D35-2CE7E34750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164366" y="5279079"/>
              <a:ext cx="3154090" cy="25643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235689</xdr:colOff>
      <xdr:row>27</xdr:row>
      <xdr:rowOff>113958</xdr:rowOff>
    </xdr:from>
    <xdr:to>
      <xdr:col>18</xdr:col>
      <xdr:colOff>343283</xdr:colOff>
      <xdr:row>28</xdr:row>
      <xdr:rowOff>25176</xdr:rowOff>
    </xdr:to>
    <xdr:sp macro="" textlink="">
      <xdr:nvSpPr>
        <xdr:cNvPr id="7254" name="Oval 7253">
          <a:extLst>
            <a:ext uri="{FF2B5EF4-FFF2-40B4-BE49-F238E27FC236}">
              <a16:creationId xmlns:a16="http://schemas.microsoft.com/office/drawing/2014/main" id="{4D7DC032-CDBA-41E0-B31A-B3F6D7BBB711}"/>
            </a:ext>
          </a:extLst>
        </xdr:cNvPr>
        <xdr:cNvSpPr/>
      </xdr:nvSpPr>
      <xdr:spPr>
        <a:xfrm>
          <a:off x="11129908" y="5203880"/>
          <a:ext cx="107594" cy="99734"/>
        </a:xfrm>
        <a:prstGeom prst="ellipse">
          <a:avLst/>
        </a:prstGeom>
        <a:solidFill>
          <a:srgbClr val="0070C0">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422794</xdr:colOff>
      <xdr:row>28</xdr:row>
      <xdr:rowOff>59531</xdr:rowOff>
    </xdr:from>
    <xdr:to>
      <xdr:col>22</xdr:col>
      <xdr:colOff>238125</xdr:colOff>
      <xdr:row>28</xdr:row>
      <xdr:rowOff>63134</xdr:rowOff>
    </xdr:to>
    <xdr:cxnSp macro="">
      <xdr:nvCxnSpPr>
        <xdr:cNvPr id="7255" name="Straight Connector 7254">
          <a:extLst>
            <a:ext uri="{FF2B5EF4-FFF2-40B4-BE49-F238E27FC236}">
              <a16:creationId xmlns:a16="http://schemas.microsoft.com/office/drawing/2014/main" id="{143666FB-8785-4113-981C-16EE303753E7}"/>
            </a:ext>
          </a:extLst>
        </xdr:cNvPr>
        <xdr:cNvCxnSpPr/>
      </xdr:nvCxnSpPr>
      <xdr:spPr>
        <a:xfrm flipV="1">
          <a:off x="11317013" y="5337969"/>
          <a:ext cx="2236268" cy="3603"/>
        </a:xfrm>
        <a:prstGeom prst="line">
          <a:avLst/>
        </a:prstGeom>
        <a:ln w="22225">
          <a:solidFill>
            <a:schemeClr val="bg2">
              <a:lumMod val="75000"/>
              <a:alpha val="5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24</xdr:col>
      <xdr:colOff>158749</xdr:colOff>
      <xdr:row>5</xdr:row>
      <xdr:rowOff>146539</xdr:rowOff>
    </xdr:from>
    <xdr:to>
      <xdr:col>29</xdr:col>
      <xdr:colOff>183171</xdr:colOff>
      <xdr:row>43</xdr:row>
      <xdr:rowOff>170962</xdr:rowOff>
    </xdr:to>
    <xdr:sp macro="" textlink="">
      <xdr:nvSpPr>
        <xdr:cNvPr id="7262" name="Rectangle: Diagonal Corners Rounded 7261">
          <a:extLst>
            <a:ext uri="{FF2B5EF4-FFF2-40B4-BE49-F238E27FC236}">
              <a16:creationId xmlns:a16="http://schemas.microsoft.com/office/drawing/2014/main" id="{C8CD771D-A33E-C77F-C440-017D26ABF0C2}"/>
            </a:ext>
          </a:extLst>
        </xdr:cNvPr>
        <xdr:cNvSpPr/>
      </xdr:nvSpPr>
      <xdr:spPr>
        <a:xfrm>
          <a:off x="14706022" y="1084607"/>
          <a:ext cx="3055104" cy="7153741"/>
        </a:xfrm>
        <a:prstGeom prst="round2Diag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316354</xdr:colOff>
      <xdr:row>7</xdr:row>
      <xdr:rowOff>91421</xdr:rowOff>
    </xdr:from>
    <xdr:to>
      <xdr:col>29</xdr:col>
      <xdr:colOff>110432</xdr:colOff>
      <xdr:row>25</xdr:row>
      <xdr:rowOff>152068</xdr:rowOff>
    </xdr:to>
    <mc:AlternateContent xmlns:mc="http://schemas.openxmlformats.org/markup-compatibility/2006" xmlns:a14="http://schemas.microsoft.com/office/drawing/2010/main">
      <mc:Choice Requires="a14">
        <xdr:graphicFrame macro="">
          <xdr:nvGraphicFramePr>
            <xdr:cNvPr id="7263" name="Month 2">
              <a:extLst>
                <a:ext uri="{FF2B5EF4-FFF2-40B4-BE49-F238E27FC236}">
                  <a16:creationId xmlns:a16="http://schemas.microsoft.com/office/drawing/2014/main" id="{758FEE9F-E35E-43C5-805F-698F1BAB6A5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4893745" y="1347617"/>
              <a:ext cx="2831035" cy="3290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24</xdr:col>
      <xdr:colOff>292108</xdr:colOff>
      <xdr:row>24</xdr:row>
      <xdr:rowOff>53239</xdr:rowOff>
    </xdr:from>
    <xdr:to>
      <xdr:col>29</xdr:col>
      <xdr:colOff>25568</xdr:colOff>
      <xdr:row>41</xdr:row>
      <xdr:rowOff>179188</xdr:rowOff>
    </xdr:to>
    <mc:AlternateContent xmlns:mc="http://schemas.openxmlformats.org/markup-compatibility/2006" xmlns:a14="http://schemas.microsoft.com/office/drawing/2010/main">
      <mc:Choice Requires="a14">
        <xdr:graphicFrame macro="">
          <xdr:nvGraphicFramePr>
            <xdr:cNvPr id="7264" name="Category 1">
              <a:extLst>
                <a:ext uri="{FF2B5EF4-FFF2-40B4-BE49-F238E27FC236}">
                  <a16:creationId xmlns:a16="http://schemas.microsoft.com/office/drawing/2014/main" id="{F10BF2E5-9830-406B-8D34-88DCC3A4643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869499" y="4360196"/>
              <a:ext cx="2770417" cy="3176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140225</xdr:colOff>
      <xdr:row>20</xdr:row>
      <xdr:rowOff>116035</xdr:rowOff>
    </xdr:from>
    <xdr:to>
      <xdr:col>4</xdr:col>
      <xdr:colOff>138398</xdr:colOff>
      <xdr:row>21</xdr:row>
      <xdr:rowOff>118045</xdr:rowOff>
    </xdr:to>
    <xdr:sp macro="" textlink="profitanalysis!X21">
      <xdr:nvSpPr>
        <xdr:cNvPr id="7269" name="TextBox 7268">
          <a:extLst>
            <a:ext uri="{FF2B5EF4-FFF2-40B4-BE49-F238E27FC236}">
              <a16:creationId xmlns:a16="http://schemas.microsoft.com/office/drawing/2014/main" id="{633BE636-5184-4854-8943-F9091CBF408A}"/>
            </a:ext>
          </a:extLst>
        </xdr:cNvPr>
        <xdr:cNvSpPr txBox="1"/>
      </xdr:nvSpPr>
      <xdr:spPr>
        <a:xfrm>
          <a:off x="1971956" y="3779497"/>
          <a:ext cx="608750" cy="18518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79BC07F-9A03-4C15-B6CE-7BDF32E11841}"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48.53%</a:t>
          </a:fld>
          <a:endParaRPr lang="en-US" sz="1050" b="0"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twoCellAnchor editAs="absolute">
    <xdr:from>
      <xdr:col>4</xdr:col>
      <xdr:colOff>105382</xdr:colOff>
      <xdr:row>20</xdr:row>
      <xdr:rowOff>109685</xdr:rowOff>
    </xdr:from>
    <xdr:to>
      <xdr:col>5</xdr:col>
      <xdr:colOff>103555</xdr:colOff>
      <xdr:row>21</xdr:row>
      <xdr:rowOff>111695</xdr:rowOff>
    </xdr:to>
    <xdr:sp macro="" textlink="profitanalysis!X22">
      <xdr:nvSpPr>
        <xdr:cNvPr id="7270" name="TextBox 7269">
          <a:extLst>
            <a:ext uri="{FF2B5EF4-FFF2-40B4-BE49-F238E27FC236}">
              <a16:creationId xmlns:a16="http://schemas.microsoft.com/office/drawing/2014/main" id="{3ADA3473-2C16-4818-8692-594B4E8E2CD8}"/>
            </a:ext>
          </a:extLst>
        </xdr:cNvPr>
        <xdr:cNvSpPr txBox="1"/>
      </xdr:nvSpPr>
      <xdr:spPr>
        <a:xfrm>
          <a:off x="2547690" y="3773147"/>
          <a:ext cx="608750" cy="185183"/>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1E4D30D-51A3-4EB2-A37E-30890B39EB24}"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51.47%</a:t>
          </a:fld>
          <a:endParaRPr lang="en-US" sz="1050" b="0" i="0" u="none" strike="noStrike" cap="none" spc="0">
            <a:ln w="0"/>
            <a:solidFill>
              <a:schemeClr val="accent1">
                <a:lumMod val="75000"/>
              </a:schemeClr>
            </a:solidFill>
            <a:effectLst>
              <a:outerShdw blurRad="38100" dist="25400" dir="5400000" algn="ctr" rotWithShape="0">
                <a:srgbClr val="6E747A">
                  <a:alpha val="43000"/>
                </a:srgbClr>
              </a:outerShdw>
            </a:effectLst>
            <a:latin typeface="+mn-lt"/>
            <a:cs typeface="Segoe UI Semibold" panose="020B07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0.52657</cdr:x>
      <cdr:y>0.30977</cdr:y>
    </cdr:from>
    <cdr:to>
      <cdr:x>0.72267</cdr:x>
      <cdr:y>0.49312</cdr:y>
    </cdr:to>
    <cdr:pic>
      <cdr:nvPicPr>
        <cdr:cNvPr id="3" name="Graphic 2" descr="Male profile with solid fill">
          <a:extLst xmlns:a="http://schemas.openxmlformats.org/drawingml/2006/main">
            <a:ext uri="{FF2B5EF4-FFF2-40B4-BE49-F238E27FC236}">
              <a16:creationId xmlns:a16="http://schemas.microsoft.com/office/drawing/2014/main" id="{56EA7133-62FA-BE8A-09CD-6DCE00379A2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77241" y="734566"/>
          <a:ext cx="438409" cy="434782"/>
        </a:xfrm>
        <a:prstGeom xmlns:a="http://schemas.openxmlformats.org/drawingml/2006/main" prst="rect">
          <a:avLst/>
        </a:prstGeom>
      </cdr:spPr>
    </cdr:pic>
  </cdr:relSizeAnchor>
  <cdr:relSizeAnchor xmlns:cdr="http://schemas.openxmlformats.org/drawingml/2006/chartDrawing">
    <cdr:from>
      <cdr:x>0.26602</cdr:x>
      <cdr:y>0.31834</cdr:y>
    </cdr:from>
    <cdr:to>
      <cdr:x>0.46211</cdr:x>
      <cdr:y>0.50169</cdr:y>
    </cdr:to>
    <cdr:pic>
      <cdr:nvPicPr>
        <cdr:cNvPr id="5" name="Graphic 4" descr="Female Profile with solid fill">
          <a:extLst xmlns:a="http://schemas.openxmlformats.org/drawingml/2006/main">
            <a:ext uri="{FF2B5EF4-FFF2-40B4-BE49-F238E27FC236}">
              <a16:creationId xmlns:a16="http://schemas.microsoft.com/office/drawing/2014/main" id="{757FBF5E-33C2-09E2-2B74-D229A15F2B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94730" y="754896"/>
          <a:ext cx="438407" cy="43478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25</xdr:col>
      <xdr:colOff>521606</xdr:colOff>
      <xdr:row>46</xdr:row>
      <xdr:rowOff>4044</xdr:rowOff>
    </xdr:to>
    <xdr:sp macro="" textlink="">
      <xdr:nvSpPr>
        <xdr:cNvPr id="2" name="Rectangle 1">
          <a:extLst>
            <a:ext uri="{FF2B5EF4-FFF2-40B4-BE49-F238E27FC236}">
              <a16:creationId xmlns:a16="http://schemas.microsoft.com/office/drawing/2014/main" id="{8D960D57-97A3-2AC2-CA3F-403571B08802}"/>
            </a:ext>
          </a:extLst>
        </xdr:cNvPr>
        <xdr:cNvSpPr/>
      </xdr:nvSpPr>
      <xdr:spPr>
        <a:xfrm>
          <a:off x="0" y="0"/>
          <a:ext cx="15706389" cy="825904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0</xdr:row>
      <xdr:rowOff>8141</xdr:rowOff>
    </xdr:from>
    <xdr:to>
      <xdr:col>12</xdr:col>
      <xdr:colOff>120005</xdr:colOff>
      <xdr:row>28</xdr:row>
      <xdr:rowOff>165652</xdr:rowOff>
    </xdr:to>
    <xdr:sp macro="" textlink="">
      <xdr:nvSpPr>
        <xdr:cNvPr id="3" name="Half Frame 2">
          <a:extLst>
            <a:ext uri="{FF2B5EF4-FFF2-40B4-BE49-F238E27FC236}">
              <a16:creationId xmlns:a16="http://schemas.microsoft.com/office/drawing/2014/main" id="{F689F49E-E772-914F-0128-0371F9BD8CDB}"/>
            </a:ext>
          </a:extLst>
        </xdr:cNvPr>
        <xdr:cNvSpPr/>
      </xdr:nvSpPr>
      <xdr:spPr>
        <a:xfrm>
          <a:off x="0" y="8141"/>
          <a:ext cx="7467862" cy="5237511"/>
        </a:xfrm>
        <a:prstGeom prst="halfFrame">
          <a:avLst>
            <a:gd name="adj1" fmla="val 17821"/>
            <a:gd name="adj2" fmla="val 17526"/>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xdr:col>
      <xdr:colOff>453572</xdr:colOff>
      <xdr:row>5</xdr:row>
      <xdr:rowOff>143990</xdr:rowOff>
    </xdr:from>
    <xdr:to>
      <xdr:col>23</xdr:col>
      <xdr:colOff>270463</xdr:colOff>
      <xdr:row>43</xdr:row>
      <xdr:rowOff>155509</xdr:rowOff>
    </xdr:to>
    <xdr:grpSp>
      <xdr:nvGrpSpPr>
        <xdr:cNvPr id="83" name="Group 82">
          <a:extLst>
            <a:ext uri="{FF2B5EF4-FFF2-40B4-BE49-F238E27FC236}">
              <a16:creationId xmlns:a16="http://schemas.microsoft.com/office/drawing/2014/main" id="{74336A32-EEA9-9408-EB78-A0CF56CC6583}"/>
            </a:ext>
          </a:extLst>
        </xdr:cNvPr>
        <xdr:cNvGrpSpPr/>
      </xdr:nvGrpSpPr>
      <xdr:grpSpPr>
        <a:xfrm>
          <a:off x="1065893" y="1051133"/>
          <a:ext cx="13287963" cy="6905805"/>
          <a:chOff x="1065053" y="1084731"/>
          <a:chExt cx="13269484" cy="7161148"/>
        </a:xfrm>
      </xdr:grpSpPr>
      <xdr:sp macro="" textlink="">
        <xdr:nvSpPr>
          <xdr:cNvPr id="4" name="Rectangle: Diagonal Corners Rounded 3">
            <a:extLst>
              <a:ext uri="{FF2B5EF4-FFF2-40B4-BE49-F238E27FC236}">
                <a16:creationId xmlns:a16="http://schemas.microsoft.com/office/drawing/2014/main" id="{73AA3FF5-0746-D646-3FBE-0BA16D306101}"/>
              </a:ext>
            </a:extLst>
          </xdr:cNvPr>
          <xdr:cNvSpPr/>
        </xdr:nvSpPr>
        <xdr:spPr>
          <a:xfrm>
            <a:off x="1065053" y="1084731"/>
            <a:ext cx="13269484" cy="7161148"/>
          </a:xfrm>
          <a:prstGeom prst="round2DiagRect">
            <a:avLst>
              <a:gd name="adj1" fmla="val 0"/>
              <a:gd name="adj2" fmla="val 17499"/>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Diagonal Corners Rounded 4">
            <a:extLst>
              <a:ext uri="{FF2B5EF4-FFF2-40B4-BE49-F238E27FC236}">
                <a16:creationId xmlns:a16="http://schemas.microsoft.com/office/drawing/2014/main" id="{B72D0725-6404-4E30-B90A-7CD274402FD1}"/>
              </a:ext>
            </a:extLst>
          </xdr:cNvPr>
          <xdr:cNvSpPr/>
        </xdr:nvSpPr>
        <xdr:spPr>
          <a:xfrm>
            <a:off x="4567882" y="1452792"/>
            <a:ext cx="9362180" cy="6373138"/>
          </a:xfrm>
          <a:prstGeom prst="round2DiagRect">
            <a:avLst>
              <a:gd name="adj1" fmla="val 0"/>
              <a:gd name="adj2" fmla="val 17499"/>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13</xdr:col>
      <xdr:colOff>181428</xdr:colOff>
      <xdr:row>14</xdr:row>
      <xdr:rowOff>36079</xdr:rowOff>
    </xdr:from>
    <xdr:to>
      <xdr:col>17</xdr:col>
      <xdr:colOff>589643</xdr:colOff>
      <xdr:row>41</xdr:row>
      <xdr:rowOff>111674</xdr:rowOff>
    </xdr:to>
    <xdr:graphicFrame macro="">
      <xdr:nvGraphicFramePr>
        <xdr:cNvPr id="8" name="Chart 7">
          <a:extLst>
            <a:ext uri="{FF2B5EF4-FFF2-40B4-BE49-F238E27FC236}">
              <a16:creationId xmlns:a16="http://schemas.microsoft.com/office/drawing/2014/main" id="{81F23C73-6E69-41C6-8D61-35F8F0F81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385535</xdr:colOff>
      <xdr:row>15</xdr:row>
      <xdr:rowOff>48846</xdr:rowOff>
    </xdr:from>
    <xdr:to>
      <xdr:col>22</xdr:col>
      <xdr:colOff>487589</xdr:colOff>
      <xdr:row>41</xdr:row>
      <xdr:rowOff>22679</xdr:rowOff>
    </xdr:to>
    <xdr:graphicFrame macro="">
      <xdr:nvGraphicFramePr>
        <xdr:cNvPr id="9" name="Chart 8">
          <a:extLst>
            <a:ext uri="{FF2B5EF4-FFF2-40B4-BE49-F238E27FC236}">
              <a16:creationId xmlns:a16="http://schemas.microsoft.com/office/drawing/2014/main" id="{DB80104C-2CE2-4F7B-9A4A-1BDFCAE10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362856</xdr:colOff>
      <xdr:row>14</xdr:row>
      <xdr:rowOff>147411</xdr:rowOff>
    </xdr:from>
    <xdr:to>
      <xdr:col>13</xdr:col>
      <xdr:colOff>204106</xdr:colOff>
      <xdr:row>42</xdr:row>
      <xdr:rowOff>22679</xdr:rowOff>
    </xdr:to>
    <xdr:graphicFrame macro="">
      <xdr:nvGraphicFramePr>
        <xdr:cNvPr id="12" name="Chart 11">
          <a:extLst>
            <a:ext uri="{FF2B5EF4-FFF2-40B4-BE49-F238E27FC236}">
              <a16:creationId xmlns:a16="http://schemas.microsoft.com/office/drawing/2014/main" id="{B739F460-04B9-42E6-80C6-DBF660336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533290</xdr:colOff>
      <xdr:row>12</xdr:row>
      <xdr:rowOff>121346</xdr:rowOff>
    </xdr:from>
    <xdr:to>
      <xdr:col>17</xdr:col>
      <xdr:colOff>243791</xdr:colOff>
      <xdr:row>14</xdr:row>
      <xdr:rowOff>63618</xdr:rowOff>
    </xdr:to>
    <xdr:sp macro="" textlink="">
      <xdr:nvSpPr>
        <xdr:cNvPr id="22" name="TextBox 21">
          <a:extLst>
            <a:ext uri="{FF2B5EF4-FFF2-40B4-BE49-F238E27FC236}">
              <a16:creationId xmlns:a16="http://schemas.microsoft.com/office/drawing/2014/main" id="{8E43B4DB-BDA5-82CE-40C5-273DECC007EE}"/>
            </a:ext>
          </a:extLst>
        </xdr:cNvPr>
        <xdr:cNvSpPr txBox="1"/>
      </xdr:nvSpPr>
      <xdr:spPr>
        <a:xfrm>
          <a:off x="9060433" y="2298489"/>
          <a:ext cx="1537746" cy="30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solidFill>
            </a:rPr>
            <a:t>VARIANCE</a:t>
          </a:r>
        </a:p>
      </xdr:txBody>
    </xdr:sp>
    <xdr:clientData/>
  </xdr:twoCellAnchor>
  <xdr:twoCellAnchor editAs="absolute">
    <xdr:from>
      <xdr:col>19</xdr:col>
      <xdr:colOff>91922</xdr:colOff>
      <xdr:row>12</xdr:row>
      <xdr:rowOff>98798</xdr:rowOff>
    </xdr:from>
    <xdr:to>
      <xdr:col>21</xdr:col>
      <xdr:colOff>579688</xdr:colOff>
      <xdr:row>14</xdr:row>
      <xdr:rowOff>15119</xdr:rowOff>
    </xdr:to>
    <xdr:sp macro="" textlink="">
      <xdr:nvSpPr>
        <xdr:cNvPr id="23" name="TextBox 22">
          <a:extLst>
            <a:ext uri="{FF2B5EF4-FFF2-40B4-BE49-F238E27FC236}">
              <a16:creationId xmlns:a16="http://schemas.microsoft.com/office/drawing/2014/main" id="{617E89C1-9822-4999-8A83-ED0F77860FD8}"/>
            </a:ext>
          </a:extLst>
        </xdr:cNvPr>
        <xdr:cNvSpPr txBox="1"/>
      </xdr:nvSpPr>
      <xdr:spPr>
        <a:xfrm>
          <a:off x="11664473" y="2275941"/>
          <a:ext cx="1705929" cy="279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solidFill>
            </a:rPr>
            <a:t>VARIANCE%</a:t>
          </a:r>
        </a:p>
      </xdr:txBody>
    </xdr:sp>
    <xdr:clientData/>
  </xdr:twoCellAnchor>
  <xdr:twoCellAnchor editAs="absolute">
    <xdr:from>
      <xdr:col>10</xdr:col>
      <xdr:colOff>107550</xdr:colOff>
      <xdr:row>8</xdr:row>
      <xdr:rowOff>10651</xdr:rowOff>
    </xdr:from>
    <xdr:to>
      <xdr:col>23</xdr:col>
      <xdr:colOff>34856</xdr:colOff>
      <xdr:row>10</xdr:row>
      <xdr:rowOff>97242</xdr:rowOff>
    </xdr:to>
    <xdr:sp macro="" textlink="">
      <xdr:nvSpPr>
        <xdr:cNvPr id="24" name="TextBox 23">
          <a:extLst>
            <a:ext uri="{FF2B5EF4-FFF2-40B4-BE49-F238E27FC236}">
              <a16:creationId xmlns:a16="http://schemas.microsoft.com/office/drawing/2014/main" id="{A14F1C89-943E-4A8A-8AC2-EAD021946223}"/>
            </a:ext>
          </a:extLst>
        </xdr:cNvPr>
        <xdr:cNvSpPr txBox="1"/>
      </xdr:nvSpPr>
      <xdr:spPr>
        <a:xfrm>
          <a:off x="6230764" y="1462080"/>
          <a:ext cx="7887485" cy="449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accent1">
                  <a:lumMod val="75000"/>
                </a:schemeClr>
              </a:solidFill>
            </a:rPr>
            <a:t>TOTAL</a:t>
          </a:r>
          <a:r>
            <a:rPr lang="en-US" sz="2400" b="1" baseline="0">
              <a:solidFill>
                <a:schemeClr val="accent1">
                  <a:lumMod val="75000"/>
                </a:schemeClr>
              </a:solidFill>
            </a:rPr>
            <a:t> REVENURE VS TARGET BY STORE NAME </a:t>
          </a:r>
          <a:endParaRPr lang="en-US" sz="2400" b="1">
            <a:solidFill>
              <a:schemeClr val="accent1">
                <a:lumMod val="75000"/>
              </a:schemeClr>
            </a:solidFill>
          </a:endParaRPr>
        </a:p>
      </xdr:txBody>
    </xdr:sp>
    <xdr:clientData/>
  </xdr:twoCellAnchor>
  <xdr:twoCellAnchor editAs="absolute">
    <xdr:from>
      <xdr:col>10</xdr:col>
      <xdr:colOff>235358</xdr:colOff>
      <xdr:row>12</xdr:row>
      <xdr:rowOff>130998</xdr:rowOff>
    </xdr:from>
    <xdr:to>
      <xdr:col>12</xdr:col>
      <xdr:colOff>28833</xdr:colOff>
      <xdr:row>14</xdr:row>
      <xdr:rowOff>47319</xdr:rowOff>
    </xdr:to>
    <xdr:sp macro="" textlink="">
      <xdr:nvSpPr>
        <xdr:cNvPr id="29" name="TextBox 28">
          <a:extLst>
            <a:ext uri="{FF2B5EF4-FFF2-40B4-BE49-F238E27FC236}">
              <a16:creationId xmlns:a16="http://schemas.microsoft.com/office/drawing/2014/main" id="{0C4C373D-2EEE-447E-9394-5E4012A8B74D}"/>
            </a:ext>
          </a:extLst>
        </xdr:cNvPr>
        <xdr:cNvSpPr txBox="1"/>
      </xdr:nvSpPr>
      <xdr:spPr>
        <a:xfrm>
          <a:off x="6326174" y="2308141"/>
          <a:ext cx="1011639" cy="279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solidFill>
            </a:rPr>
            <a:t>STORE</a:t>
          </a:r>
        </a:p>
      </xdr:txBody>
    </xdr:sp>
    <xdr:clientData/>
  </xdr:twoCellAnchor>
  <xdr:twoCellAnchor editAs="absolute">
    <xdr:from>
      <xdr:col>1</xdr:col>
      <xdr:colOff>479244</xdr:colOff>
      <xdr:row>8</xdr:row>
      <xdr:rowOff>0</xdr:rowOff>
    </xdr:from>
    <xdr:to>
      <xdr:col>7</xdr:col>
      <xdr:colOff>220909</xdr:colOff>
      <xdr:row>23</xdr:row>
      <xdr:rowOff>138885</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BEB5CC76-47CA-4C0A-AA4E-1895507EA02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89821" y="1465385"/>
              <a:ext cx="3405126" cy="2886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15875</xdr:colOff>
      <xdr:row>24</xdr:row>
      <xdr:rowOff>167735</xdr:rowOff>
    </xdr:from>
    <xdr:to>
      <xdr:col>6</xdr:col>
      <xdr:colOff>563271</xdr:colOff>
      <xdr:row>40</xdr:row>
      <xdr:rowOff>63500</xdr:rowOff>
    </xdr:to>
    <xdr:grpSp>
      <xdr:nvGrpSpPr>
        <xdr:cNvPr id="34" name="Group 33">
          <a:extLst>
            <a:ext uri="{FF2B5EF4-FFF2-40B4-BE49-F238E27FC236}">
              <a16:creationId xmlns:a16="http://schemas.microsoft.com/office/drawing/2014/main" id="{09A2AF0E-8BA0-B1FE-4193-32E380735564}"/>
            </a:ext>
          </a:extLst>
        </xdr:cNvPr>
        <xdr:cNvGrpSpPr/>
      </xdr:nvGrpSpPr>
      <xdr:grpSpPr>
        <a:xfrm>
          <a:off x="1240518" y="4522021"/>
          <a:ext cx="2996682" cy="2798622"/>
          <a:chOff x="1227346" y="4480943"/>
          <a:chExt cx="2432170" cy="2820839"/>
        </a:xfrm>
      </xdr:grpSpPr>
      <xdr:sp macro="" textlink="">
        <xdr:nvSpPr>
          <xdr:cNvPr id="31" name="Rectangle: Rounded Corners 30">
            <a:extLst>
              <a:ext uri="{FF2B5EF4-FFF2-40B4-BE49-F238E27FC236}">
                <a16:creationId xmlns:a16="http://schemas.microsoft.com/office/drawing/2014/main" id="{9446EB6F-6174-AF3C-5EE5-42BB434C20C9}"/>
              </a:ext>
            </a:extLst>
          </xdr:cNvPr>
          <xdr:cNvSpPr/>
        </xdr:nvSpPr>
        <xdr:spPr>
          <a:xfrm>
            <a:off x="1227346" y="4480943"/>
            <a:ext cx="2432170" cy="826699"/>
          </a:xfrm>
          <a:prstGeom prst="round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Rounded Corners 31">
            <a:extLst>
              <a:ext uri="{FF2B5EF4-FFF2-40B4-BE49-F238E27FC236}">
                <a16:creationId xmlns:a16="http://schemas.microsoft.com/office/drawing/2014/main" id="{B04C118C-1B6C-4D63-A10A-99217949FB52}"/>
              </a:ext>
            </a:extLst>
          </xdr:cNvPr>
          <xdr:cNvSpPr/>
        </xdr:nvSpPr>
        <xdr:spPr>
          <a:xfrm>
            <a:off x="1227346" y="5460041"/>
            <a:ext cx="2432170" cy="826699"/>
          </a:xfrm>
          <a:prstGeom prst="round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Rounded Corners 32">
            <a:extLst>
              <a:ext uri="{FF2B5EF4-FFF2-40B4-BE49-F238E27FC236}">
                <a16:creationId xmlns:a16="http://schemas.microsoft.com/office/drawing/2014/main" id="{58804399-F6D6-45D9-AFE1-179FBE98E8A3}"/>
              </a:ext>
            </a:extLst>
          </xdr:cNvPr>
          <xdr:cNvSpPr/>
        </xdr:nvSpPr>
        <xdr:spPr>
          <a:xfrm>
            <a:off x="1227346" y="6475083"/>
            <a:ext cx="2432170" cy="826699"/>
          </a:xfrm>
          <a:prstGeom prst="round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2</xdr:col>
      <xdr:colOff>93784</xdr:colOff>
      <xdr:row>26</xdr:row>
      <xdr:rowOff>64610</xdr:rowOff>
    </xdr:from>
    <xdr:to>
      <xdr:col>6</xdr:col>
      <xdr:colOff>45580</xdr:colOff>
      <xdr:row>28</xdr:row>
      <xdr:rowOff>55080</xdr:rowOff>
    </xdr:to>
    <xdr:sp macro="" textlink="">
      <xdr:nvSpPr>
        <xdr:cNvPr id="35" name="TextBox 34">
          <a:extLst>
            <a:ext uri="{FF2B5EF4-FFF2-40B4-BE49-F238E27FC236}">
              <a16:creationId xmlns:a16="http://schemas.microsoft.com/office/drawing/2014/main" id="{5DFD1D09-1EB5-4A41-B431-31E32530ADBB}"/>
            </a:ext>
          </a:extLst>
        </xdr:cNvPr>
        <xdr:cNvSpPr txBox="1"/>
      </xdr:nvSpPr>
      <xdr:spPr>
        <a:xfrm>
          <a:off x="1305169" y="4890610"/>
          <a:ext cx="2374565" cy="361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2060"/>
              </a:solidFill>
            </a:rPr>
            <a:t>TOTAL REVENUE</a:t>
          </a:r>
        </a:p>
      </xdr:txBody>
    </xdr:sp>
    <xdr:clientData/>
  </xdr:twoCellAnchor>
  <xdr:twoCellAnchor editAs="absolute">
    <xdr:from>
      <xdr:col>2</xdr:col>
      <xdr:colOff>210877</xdr:colOff>
      <xdr:row>37</xdr:row>
      <xdr:rowOff>106332</xdr:rowOff>
    </xdr:from>
    <xdr:to>
      <xdr:col>4</xdr:col>
      <xdr:colOff>563027</xdr:colOff>
      <xdr:row>38</xdr:row>
      <xdr:rowOff>145630</xdr:rowOff>
    </xdr:to>
    <xdr:sp macro="" textlink="">
      <xdr:nvSpPr>
        <xdr:cNvPr id="36" name="TextBox 35">
          <a:extLst>
            <a:ext uri="{FF2B5EF4-FFF2-40B4-BE49-F238E27FC236}">
              <a16:creationId xmlns:a16="http://schemas.microsoft.com/office/drawing/2014/main" id="{265EF281-4879-464C-BEFC-79CC44D4B3A4}"/>
            </a:ext>
          </a:extLst>
        </xdr:cNvPr>
        <xdr:cNvSpPr txBox="1"/>
      </xdr:nvSpPr>
      <xdr:spPr>
        <a:xfrm>
          <a:off x="1422262" y="6974101"/>
          <a:ext cx="1563534" cy="224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2060"/>
              </a:solidFill>
            </a:rPr>
            <a:t>VARIANCE</a:t>
          </a:r>
        </a:p>
      </xdr:txBody>
    </xdr:sp>
    <xdr:clientData/>
  </xdr:twoCellAnchor>
  <xdr:twoCellAnchor editAs="absolute">
    <xdr:from>
      <xdr:col>2</xdr:col>
      <xdr:colOff>139062</xdr:colOff>
      <xdr:row>31</xdr:row>
      <xdr:rowOff>101762</xdr:rowOff>
    </xdr:from>
    <xdr:to>
      <xdr:col>5</xdr:col>
      <xdr:colOff>550199</xdr:colOff>
      <xdr:row>33</xdr:row>
      <xdr:rowOff>84510</xdr:rowOff>
    </xdr:to>
    <xdr:sp macro="" textlink="">
      <xdr:nvSpPr>
        <xdr:cNvPr id="37" name="TextBox 36">
          <a:extLst>
            <a:ext uri="{FF2B5EF4-FFF2-40B4-BE49-F238E27FC236}">
              <a16:creationId xmlns:a16="http://schemas.microsoft.com/office/drawing/2014/main" id="{4CAF219B-0B84-48BD-BAEB-5BC93F1CEDE3}"/>
            </a:ext>
          </a:extLst>
        </xdr:cNvPr>
        <xdr:cNvSpPr txBox="1"/>
      </xdr:nvSpPr>
      <xdr:spPr>
        <a:xfrm>
          <a:off x="1350447" y="5855839"/>
          <a:ext cx="2228214" cy="353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2060"/>
              </a:solidFill>
            </a:rPr>
            <a:t>TOTAL TARGET</a:t>
          </a:r>
        </a:p>
      </xdr:txBody>
    </xdr:sp>
    <xdr:clientData/>
  </xdr:twoCellAnchor>
  <xdr:twoCellAnchor editAs="absolute">
    <xdr:from>
      <xdr:col>4</xdr:col>
      <xdr:colOff>595924</xdr:colOff>
      <xdr:row>26</xdr:row>
      <xdr:rowOff>78154</xdr:rowOff>
    </xdr:from>
    <xdr:to>
      <xdr:col>7</xdr:col>
      <xdr:colOff>0</xdr:colOff>
      <xdr:row>28</xdr:row>
      <xdr:rowOff>48847</xdr:rowOff>
    </xdr:to>
    <xdr:sp macro="" textlink="storeanalysis!C10">
      <xdr:nvSpPr>
        <xdr:cNvPr id="38" name="TextBox 37">
          <a:extLst>
            <a:ext uri="{FF2B5EF4-FFF2-40B4-BE49-F238E27FC236}">
              <a16:creationId xmlns:a16="http://schemas.microsoft.com/office/drawing/2014/main" id="{6E8FCE51-4E54-44AA-891F-E5C6C1E347EB}"/>
            </a:ext>
          </a:extLst>
        </xdr:cNvPr>
        <xdr:cNvSpPr txBox="1"/>
      </xdr:nvSpPr>
      <xdr:spPr>
        <a:xfrm>
          <a:off x="3018693" y="4904154"/>
          <a:ext cx="1221153" cy="34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11A61AC-ED7C-4E8C-A0D5-B044D064F58A}" type="TxLink">
            <a:rPr lang="en-US" sz="1800" b="1" i="0" u="none" strike="noStrike">
              <a:solidFill>
                <a:srgbClr val="0070C0"/>
              </a:solidFill>
              <a:latin typeface="Arial Black" panose="020B0A04020102020204" pitchFamily="34" charset="0"/>
              <a:cs typeface="Segoe UI Semibold" panose="020B0702040204020203" pitchFamily="34" charset="0"/>
            </a:rPr>
            <a:pPr/>
            <a:t>$5.4M</a:t>
          </a:fld>
          <a:endParaRPr lang="en-US" sz="1800" b="1">
            <a:solidFill>
              <a:srgbClr val="0070C0"/>
            </a:solidFill>
            <a:latin typeface="Arial Black" panose="020B0A04020102020204" pitchFamily="34" charset="0"/>
            <a:cs typeface="Segoe UI Semibold" panose="020B0702040204020203" pitchFamily="34" charset="0"/>
          </a:endParaRPr>
        </a:p>
      </xdr:txBody>
    </xdr:sp>
    <xdr:clientData/>
  </xdr:twoCellAnchor>
  <xdr:twoCellAnchor editAs="absolute">
    <xdr:from>
      <xdr:col>4</xdr:col>
      <xdr:colOff>570192</xdr:colOff>
      <xdr:row>31</xdr:row>
      <xdr:rowOff>103047</xdr:rowOff>
    </xdr:from>
    <xdr:to>
      <xdr:col>6</xdr:col>
      <xdr:colOff>576384</xdr:colOff>
      <xdr:row>33</xdr:row>
      <xdr:rowOff>107461</xdr:rowOff>
    </xdr:to>
    <xdr:sp macro="" textlink="storeanalysis!D10">
      <xdr:nvSpPr>
        <xdr:cNvPr id="39" name="TextBox 38">
          <a:extLst>
            <a:ext uri="{FF2B5EF4-FFF2-40B4-BE49-F238E27FC236}">
              <a16:creationId xmlns:a16="http://schemas.microsoft.com/office/drawing/2014/main" id="{09A988B7-E5DC-4A01-BDC5-1FC571408750}"/>
            </a:ext>
          </a:extLst>
        </xdr:cNvPr>
        <xdr:cNvSpPr txBox="1"/>
      </xdr:nvSpPr>
      <xdr:spPr>
        <a:xfrm>
          <a:off x="2992961" y="5857124"/>
          <a:ext cx="1217577" cy="37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F2D5C3-13D6-4F44-83A2-F0DDA43FFCDF}" type="TxLink">
            <a:rPr lang="en-US" sz="1800" b="1" i="0" u="none" strike="noStrike">
              <a:solidFill>
                <a:srgbClr val="0070C0"/>
              </a:solidFill>
              <a:latin typeface="Arial Black" panose="020B0A04020102020204" pitchFamily="34" charset="0"/>
              <a:ea typeface="+mn-ea"/>
              <a:cs typeface="Segoe UI Semibold" panose="020B0702040204020203" pitchFamily="34" charset="0"/>
            </a:rPr>
            <a:pPr marL="0" indent="0"/>
            <a:t>$5.3M</a:t>
          </a:fld>
          <a:endParaRPr lang="en-US" sz="1800" b="1" i="0" u="none" strike="noStrike">
            <a:solidFill>
              <a:srgbClr val="0070C0"/>
            </a:solidFill>
            <a:latin typeface="Arial Black" panose="020B0A04020102020204" pitchFamily="34" charset="0"/>
            <a:ea typeface="+mn-ea"/>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absolute">
        <xdr:from>
          <xdr:col>4</xdr:col>
          <xdr:colOff>328838</xdr:colOff>
          <xdr:row>37</xdr:row>
          <xdr:rowOff>11304</xdr:rowOff>
        </xdr:from>
        <xdr:to>
          <xdr:col>6</xdr:col>
          <xdr:colOff>494352</xdr:colOff>
          <xdr:row>39</xdr:row>
          <xdr:rowOff>56697</xdr:rowOff>
        </xdr:to>
        <xdr:pic>
          <xdr:nvPicPr>
            <xdr:cNvPr id="47" name="Picture 46">
              <a:extLst>
                <a:ext uri="{FF2B5EF4-FFF2-40B4-BE49-F238E27FC236}">
                  <a16:creationId xmlns:a16="http://schemas.microsoft.com/office/drawing/2014/main" id="{2E220CA1-DCAF-7A4E-D7B6-8AACBB03FCA9}"/>
                </a:ext>
              </a:extLst>
            </xdr:cNvPr>
            <xdr:cNvPicPr>
              <a:picLocks noChangeAspect="1" noChangeArrowheads="1"/>
              <a:extLst>
                <a:ext uri="{84589F7E-364E-4C9E-8A38-B11213B215E9}">
                  <a14:cameraTool cellRange="storeanalysis!$E$10" spid="_x0000_s3198"/>
                </a:ext>
              </a:extLst>
            </xdr:cNvPicPr>
          </xdr:nvPicPr>
          <xdr:blipFill>
            <a:blip xmlns:r="http://schemas.openxmlformats.org/officeDocument/2006/relationships" r:embed="rId4"/>
            <a:srcRect/>
            <a:stretch>
              <a:fillRect/>
            </a:stretch>
          </xdr:blipFill>
          <xdr:spPr bwMode="auto">
            <a:xfrm>
              <a:off x="2778124" y="6724161"/>
              <a:ext cx="1390157" cy="4082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429455</xdr:colOff>
      <xdr:row>1</xdr:row>
      <xdr:rowOff>148529</xdr:rowOff>
    </xdr:from>
    <xdr:to>
      <xdr:col>11</xdr:col>
      <xdr:colOff>77482</xdr:colOff>
      <xdr:row>4</xdr:row>
      <xdr:rowOff>56537</xdr:rowOff>
    </xdr:to>
    <xdr:sp macro="" textlink="">
      <xdr:nvSpPr>
        <xdr:cNvPr id="56" name="TextBox 55">
          <a:extLst>
            <a:ext uri="{FF2B5EF4-FFF2-40B4-BE49-F238E27FC236}">
              <a16:creationId xmlns:a16="http://schemas.microsoft.com/office/drawing/2014/main" id="{68C76DF0-1D19-4A95-598D-9EE3F11EB697}"/>
            </a:ext>
          </a:extLst>
        </xdr:cNvPr>
        <xdr:cNvSpPr txBox="1"/>
      </xdr:nvSpPr>
      <xdr:spPr>
        <a:xfrm>
          <a:off x="1654098" y="329958"/>
          <a:ext cx="5158920" cy="452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a:solidFill>
                <a:srgbClr val="002060"/>
              </a:solidFill>
            </a:rPr>
            <a:t>BUSINESS DASHBOARD</a:t>
          </a:r>
        </a:p>
      </xdr:txBody>
    </xdr:sp>
    <xdr:clientData/>
  </xdr:twoCellAnchor>
  <xdr:twoCellAnchor editAs="absolute">
    <xdr:from>
      <xdr:col>8</xdr:col>
      <xdr:colOff>439648</xdr:colOff>
      <xdr:row>11</xdr:row>
      <xdr:rowOff>3296</xdr:rowOff>
    </xdr:from>
    <xdr:to>
      <xdr:col>10</xdr:col>
      <xdr:colOff>146372</xdr:colOff>
      <xdr:row>15</xdr:row>
      <xdr:rowOff>18282</xdr:rowOff>
    </xdr:to>
    <xdr:pic>
      <xdr:nvPicPr>
        <xdr:cNvPr id="58" name="Picture 57">
          <a:extLst>
            <a:ext uri="{FF2B5EF4-FFF2-40B4-BE49-F238E27FC236}">
              <a16:creationId xmlns:a16="http://schemas.microsoft.com/office/drawing/2014/main" id="{45A26E0D-CB31-A3F2-9A43-5FA6AEAACD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12301" y="1999010"/>
          <a:ext cx="924887" cy="740701"/>
        </a:xfrm>
        <a:prstGeom prst="rect">
          <a:avLst/>
        </a:prstGeom>
      </xdr:spPr>
    </xdr:pic>
    <xdr:clientData/>
  </xdr:twoCellAnchor>
  <xdr:twoCellAnchor editAs="absolute">
    <xdr:from>
      <xdr:col>1</xdr:col>
      <xdr:colOff>125526</xdr:colOff>
      <xdr:row>0</xdr:row>
      <xdr:rowOff>55643</xdr:rowOff>
    </xdr:from>
    <xdr:to>
      <xdr:col>2</xdr:col>
      <xdr:colOff>478768</xdr:colOff>
      <xdr:row>4</xdr:row>
      <xdr:rowOff>100779</xdr:rowOff>
    </xdr:to>
    <xdr:pic>
      <xdr:nvPicPr>
        <xdr:cNvPr id="76" name="Picture 75">
          <a:extLst>
            <a:ext uri="{FF2B5EF4-FFF2-40B4-BE49-F238E27FC236}">
              <a16:creationId xmlns:a16="http://schemas.microsoft.com/office/drawing/2014/main" id="{AE5399FF-C2A3-018E-8A4D-24B698FA99B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37847" y="55643"/>
          <a:ext cx="965564" cy="770850"/>
        </a:xfrm>
        <a:prstGeom prst="rect">
          <a:avLst/>
        </a:prstGeom>
      </xdr:spPr>
    </xdr:pic>
    <xdr:clientData/>
  </xdr:twoCellAnchor>
  <xdr:twoCellAnchor editAs="absolute">
    <xdr:from>
      <xdr:col>18</xdr:col>
      <xdr:colOff>327037</xdr:colOff>
      <xdr:row>2</xdr:row>
      <xdr:rowOff>151849</xdr:rowOff>
    </xdr:from>
    <xdr:to>
      <xdr:col>21</xdr:col>
      <xdr:colOff>406428</xdr:colOff>
      <xdr:row>5</xdr:row>
      <xdr:rowOff>22614</xdr:rowOff>
    </xdr:to>
    <xdr:grpSp>
      <xdr:nvGrpSpPr>
        <xdr:cNvPr id="6" name="Group 5">
          <a:extLst>
            <a:ext uri="{FF2B5EF4-FFF2-40B4-BE49-F238E27FC236}">
              <a16:creationId xmlns:a16="http://schemas.microsoft.com/office/drawing/2014/main" id="{856770E3-44EF-4BEA-88CA-D44F83BDE720}"/>
            </a:ext>
          </a:extLst>
        </xdr:cNvPr>
        <xdr:cNvGrpSpPr/>
      </xdr:nvGrpSpPr>
      <xdr:grpSpPr>
        <a:xfrm>
          <a:off x="11348823" y="514706"/>
          <a:ext cx="1916355" cy="415051"/>
          <a:chOff x="11435369" y="528933"/>
          <a:chExt cx="1901565" cy="409135"/>
        </a:xfrm>
      </xdr:grpSpPr>
      <xdr:sp macro="" textlink="">
        <xdr:nvSpPr>
          <xdr:cNvPr id="7" name="Rectangle: Rounded Corners 6">
            <a:extLst>
              <a:ext uri="{FF2B5EF4-FFF2-40B4-BE49-F238E27FC236}">
                <a16:creationId xmlns:a16="http://schemas.microsoft.com/office/drawing/2014/main" id="{CE47D49F-4065-CE46-8609-5DF72EDF5EA3}"/>
              </a:ext>
            </a:extLst>
          </xdr:cNvPr>
          <xdr:cNvSpPr/>
        </xdr:nvSpPr>
        <xdr:spPr>
          <a:xfrm>
            <a:off x="11435369" y="528933"/>
            <a:ext cx="1901565" cy="409135"/>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 name="TextBox 9">
            <a:hlinkClick xmlns:r="http://schemas.openxmlformats.org/officeDocument/2006/relationships" r:id="rId7"/>
            <a:extLst>
              <a:ext uri="{FF2B5EF4-FFF2-40B4-BE49-F238E27FC236}">
                <a16:creationId xmlns:a16="http://schemas.microsoft.com/office/drawing/2014/main" id="{66875400-5CB7-C501-2BAF-85EC52D92776}"/>
              </a:ext>
            </a:extLst>
          </xdr:cNvPr>
          <xdr:cNvSpPr txBox="1"/>
        </xdr:nvSpPr>
        <xdr:spPr>
          <a:xfrm>
            <a:off x="11842820" y="613718"/>
            <a:ext cx="1477487" cy="25920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Time Fram</a:t>
            </a:r>
          </a:p>
        </xdr:txBody>
      </xdr:sp>
    </xdr:grpSp>
    <xdr:clientData/>
  </xdr:twoCellAnchor>
  <xdr:twoCellAnchor editAs="absolute">
    <xdr:from>
      <xdr:col>15</xdr:col>
      <xdr:colOff>36187</xdr:colOff>
      <xdr:row>2</xdr:row>
      <xdr:rowOff>138043</xdr:rowOff>
    </xdr:from>
    <xdr:to>
      <xdr:col>18</xdr:col>
      <xdr:colOff>115579</xdr:colOff>
      <xdr:row>5</xdr:row>
      <xdr:rowOff>8808</xdr:rowOff>
    </xdr:to>
    <xdr:grpSp>
      <xdr:nvGrpSpPr>
        <xdr:cNvPr id="11" name="Group 10">
          <a:extLst>
            <a:ext uri="{FF2B5EF4-FFF2-40B4-BE49-F238E27FC236}">
              <a16:creationId xmlns:a16="http://schemas.microsoft.com/office/drawing/2014/main" id="{FCD9B709-D94D-4CE5-9D98-FAC528535935}"/>
            </a:ext>
          </a:extLst>
        </xdr:cNvPr>
        <xdr:cNvGrpSpPr/>
      </xdr:nvGrpSpPr>
      <xdr:grpSpPr>
        <a:xfrm>
          <a:off x="9221008" y="500900"/>
          <a:ext cx="1916357" cy="415051"/>
          <a:chOff x="9170498" y="528933"/>
          <a:chExt cx="1901565" cy="409135"/>
        </a:xfrm>
      </xdr:grpSpPr>
      <xdr:sp macro="" textlink="">
        <xdr:nvSpPr>
          <xdr:cNvPr id="13" name="Rectangle: Rounded Corners 12">
            <a:extLst>
              <a:ext uri="{FF2B5EF4-FFF2-40B4-BE49-F238E27FC236}">
                <a16:creationId xmlns:a16="http://schemas.microsoft.com/office/drawing/2014/main" id="{88F2813A-7E8A-9F1A-178A-7D7B79784CB3}"/>
              </a:ext>
            </a:extLst>
          </xdr:cNvPr>
          <xdr:cNvSpPr/>
        </xdr:nvSpPr>
        <xdr:spPr>
          <a:xfrm>
            <a:off x="9170498" y="528933"/>
            <a:ext cx="1901565" cy="409135"/>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TextBox 13">
            <a:hlinkClick xmlns:r="http://schemas.openxmlformats.org/officeDocument/2006/relationships" r:id="rId8"/>
            <a:extLst>
              <a:ext uri="{FF2B5EF4-FFF2-40B4-BE49-F238E27FC236}">
                <a16:creationId xmlns:a16="http://schemas.microsoft.com/office/drawing/2014/main" id="{8E4D274C-02EF-984A-B62A-6EF953F2D6BA}"/>
              </a:ext>
            </a:extLst>
          </xdr:cNvPr>
          <xdr:cNvSpPr txBox="1"/>
        </xdr:nvSpPr>
        <xdr:spPr>
          <a:xfrm>
            <a:off x="9768715" y="620931"/>
            <a:ext cx="893338" cy="24163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Store</a:t>
            </a:r>
          </a:p>
        </xdr:txBody>
      </xdr:sp>
    </xdr:grpSp>
    <xdr:clientData/>
  </xdr:twoCellAnchor>
  <xdr:twoCellAnchor editAs="absolute">
    <xdr:from>
      <xdr:col>11</xdr:col>
      <xdr:colOff>289891</xdr:colOff>
      <xdr:row>2</xdr:row>
      <xdr:rowOff>124240</xdr:rowOff>
    </xdr:from>
    <xdr:to>
      <xdr:col>14</xdr:col>
      <xdr:colOff>369282</xdr:colOff>
      <xdr:row>4</xdr:row>
      <xdr:rowOff>174462</xdr:rowOff>
    </xdr:to>
    <xdr:grpSp>
      <xdr:nvGrpSpPr>
        <xdr:cNvPr id="15" name="Group 14">
          <a:extLst>
            <a:ext uri="{FF2B5EF4-FFF2-40B4-BE49-F238E27FC236}">
              <a16:creationId xmlns:a16="http://schemas.microsoft.com/office/drawing/2014/main" id="{97854328-E891-40FA-8E8B-1F52F2451BCE}"/>
            </a:ext>
          </a:extLst>
        </xdr:cNvPr>
        <xdr:cNvGrpSpPr/>
      </xdr:nvGrpSpPr>
      <xdr:grpSpPr>
        <a:xfrm>
          <a:off x="7025427" y="487097"/>
          <a:ext cx="1916355" cy="413079"/>
          <a:chOff x="6911811" y="528933"/>
          <a:chExt cx="1901565" cy="409135"/>
        </a:xfrm>
      </xdr:grpSpPr>
      <xdr:sp macro="" textlink="">
        <xdr:nvSpPr>
          <xdr:cNvPr id="16" name="Rectangle: Rounded Corners 15">
            <a:extLst>
              <a:ext uri="{FF2B5EF4-FFF2-40B4-BE49-F238E27FC236}">
                <a16:creationId xmlns:a16="http://schemas.microsoft.com/office/drawing/2014/main" id="{07BCC6DA-849B-C48F-41B9-544A1F80C703}"/>
              </a:ext>
            </a:extLst>
          </xdr:cNvPr>
          <xdr:cNvSpPr/>
        </xdr:nvSpPr>
        <xdr:spPr>
          <a:xfrm>
            <a:off x="6911811" y="528933"/>
            <a:ext cx="1901565" cy="409135"/>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7" name="TextBox 16">
            <a:hlinkClick xmlns:r="http://schemas.openxmlformats.org/officeDocument/2006/relationships" r:id="rId9"/>
            <a:extLst>
              <a:ext uri="{FF2B5EF4-FFF2-40B4-BE49-F238E27FC236}">
                <a16:creationId xmlns:a16="http://schemas.microsoft.com/office/drawing/2014/main" id="{83490C20-646B-0D7F-5D32-B24E2E027A73}"/>
              </a:ext>
            </a:extLst>
          </xdr:cNvPr>
          <xdr:cNvSpPr txBox="1"/>
        </xdr:nvSpPr>
        <xdr:spPr>
          <a:xfrm>
            <a:off x="7283906" y="625058"/>
            <a:ext cx="1236021" cy="23879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Profit view</a:t>
            </a:r>
          </a:p>
        </xdr:txBody>
      </xdr:sp>
    </xdr:grpSp>
    <xdr:clientData/>
  </xdr:twoCellAnchor>
  <xdr:twoCellAnchor editAs="absolute">
    <xdr:from>
      <xdr:col>10</xdr:col>
      <xdr:colOff>137584</xdr:colOff>
      <xdr:row>14</xdr:row>
      <xdr:rowOff>84666</xdr:rowOff>
    </xdr:from>
    <xdr:to>
      <xdr:col>13</xdr:col>
      <xdr:colOff>0</xdr:colOff>
      <xdr:row>14</xdr:row>
      <xdr:rowOff>95250</xdr:rowOff>
    </xdr:to>
    <xdr:cxnSp macro="">
      <xdr:nvCxnSpPr>
        <xdr:cNvPr id="25" name="Straight Connector 24">
          <a:extLst>
            <a:ext uri="{FF2B5EF4-FFF2-40B4-BE49-F238E27FC236}">
              <a16:creationId xmlns:a16="http://schemas.microsoft.com/office/drawing/2014/main" id="{B91D6CE2-8E5F-CEBD-3AFC-C50EE6B7BE50}"/>
            </a:ext>
          </a:extLst>
        </xdr:cNvPr>
        <xdr:cNvCxnSpPr/>
      </xdr:nvCxnSpPr>
      <xdr:spPr>
        <a:xfrm flipV="1">
          <a:off x="6275917" y="2603499"/>
          <a:ext cx="1703916" cy="10584"/>
        </a:xfrm>
        <a:prstGeom prst="line">
          <a:avLst/>
        </a:prstGeom>
        <a:ln w="34925">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536574</xdr:colOff>
      <xdr:row>14</xdr:row>
      <xdr:rowOff>84666</xdr:rowOff>
    </xdr:from>
    <xdr:to>
      <xdr:col>17</xdr:col>
      <xdr:colOff>398990</xdr:colOff>
      <xdr:row>14</xdr:row>
      <xdr:rowOff>95250</xdr:rowOff>
    </xdr:to>
    <xdr:cxnSp macro="">
      <xdr:nvCxnSpPr>
        <xdr:cNvPr id="27" name="Straight Connector 26">
          <a:extLst>
            <a:ext uri="{FF2B5EF4-FFF2-40B4-BE49-F238E27FC236}">
              <a16:creationId xmlns:a16="http://schemas.microsoft.com/office/drawing/2014/main" id="{E953356B-524B-40F6-ABAA-B89B2E51327B}"/>
            </a:ext>
          </a:extLst>
        </xdr:cNvPr>
        <xdr:cNvCxnSpPr/>
      </xdr:nvCxnSpPr>
      <xdr:spPr>
        <a:xfrm flipV="1">
          <a:off x="8516407" y="2603499"/>
          <a:ext cx="2317750" cy="10584"/>
        </a:xfrm>
        <a:prstGeom prst="line">
          <a:avLst/>
        </a:prstGeom>
        <a:ln w="34925">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279400</xdr:colOff>
      <xdr:row>14</xdr:row>
      <xdr:rowOff>84666</xdr:rowOff>
    </xdr:from>
    <xdr:to>
      <xdr:col>22</xdr:col>
      <xdr:colOff>141817</xdr:colOff>
      <xdr:row>14</xdr:row>
      <xdr:rowOff>95250</xdr:rowOff>
    </xdr:to>
    <xdr:cxnSp macro="">
      <xdr:nvCxnSpPr>
        <xdr:cNvPr id="42" name="Straight Connector 41">
          <a:extLst>
            <a:ext uri="{FF2B5EF4-FFF2-40B4-BE49-F238E27FC236}">
              <a16:creationId xmlns:a16="http://schemas.microsoft.com/office/drawing/2014/main" id="{ABE8CE8C-D3B2-429C-B4D5-ABA0E324A0F5}"/>
            </a:ext>
          </a:extLst>
        </xdr:cNvPr>
        <xdr:cNvCxnSpPr/>
      </xdr:nvCxnSpPr>
      <xdr:spPr>
        <a:xfrm flipV="1">
          <a:off x="11328400" y="2603499"/>
          <a:ext cx="2317750" cy="10584"/>
        </a:xfrm>
        <a:prstGeom prst="line">
          <a:avLst/>
        </a:prstGeom>
        <a:ln w="34925">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283882</xdr:colOff>
      <xdr:row>14</xdr:row>
      <xdr:rowOff>22412</xdr:rowOff>
    </xdr:from>
    <xdr:to>
      <xdr:col>21</xdr:col>
      <xdr:colOff>672353</xdr:colOff>
      <xdr:row>28</xdr:row>
      <xdr:rowOff>67982</xdr:rowOff>
    </xdr:to>
    <xdr:graphicFrame macro="">
      <xdr:nvGraphicFramePr>
        <xdr:cNvPr id="12" name="Chart 11">
          <a:extLst>
            <a:ext uri="{FF2B5EF4-FFF2-40B4-BE49-F238E27FC236}">
              <a16:creationId xmlns:a16="http://schemas.microsoft.com/office/drawing/2014/main" id="{8F81D2FE-A7DB-85ED-BA52-2FF1C46F7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687294</xdr:colOff>
      <xdr:row>14</xdr:row>
      <xdr:rowOff>37353</xdr:rowOff>
    </xdr:from>
    <xdr:to>
      <xdr:col>25</xdr:col>
      <xdr:colOff>582705</xdr:colOff>
      <xdr:row>28</xdr:row>
      <xdr:rowOff>59763</xdr:rowOff>
    </xdr:to>
    <xdr:graphicFrame macro="">
      <xdr:nvGraphicFramePr>
        <xdr:cNvPr id="13" name="Chart 12">
          <a:extLst>
            <a:ext uri="{FF2B5EF4-FFF2-40B4-BE49-F238E27FC236}">
              <a16:creationId xmlns:a16="http://schemas.microsoft.com/office/drawing/2014/main" id="{499358BB-0548-64AF-65FE-559D93706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234328</xdr:colOff>
      <xdr:row>14</xdr:row>
      <xdr:rowOff>120899</xdr:rowOff>
    </xdr:from>
    <xdr:to>
      <xdr:col>16</xdr:col>
      <xdr:colOff>177863</xdr:colOff>
      <xdr:row>28</xdr:row>
      <xdr:rowOff>30319</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6A067687-F98A-9D48-C96F-92F6A350F7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35728" y="2813299"/>
              <a:ext cx="1831602" cy="2517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338666</xdr:colOff>
      <xdr:row>13</xdr:row>
      <xdr:rowOff>152399</xdr:rowOff>
    </xdr:from>
    <xdr:to>
      <xdr:col>19</xdr:col>
      <xdr:colOff>292100</xdr:colOff>
      <xdr:row>28</xdr:row>
      <xdr:rowOff>42333</xdr:rowOff>
    </xdr:to>
    <xdr:graphicFrame macro="">
      <xdr:nvGraphicFramePr>
        <xdr:cNvPr id="15" name="Chart 14">
          <a:extLst>
            <a:ext uri="{FF2B5EF4-FFF2-40B4-BE49-F238E27FC236}">
              <a16:creationId xmlns:a16="http://schemas.microsoft.com/office/drawing/2014/main" id="{EC806D03-67A2-1C64-063E-4ED61222D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25</xdr:col>
      <xdr:colOff>521606</xdr:colOff>
      <xdr:row>46</xdr:row>
      <xdr:rowOff>4044</xdr:rowOff>
    </xdr:to>
    <xdr:sp macro="" textlink="">
      <xdr:nvSpPr>
        <xdr:cNvPr id="2" name="Rectangle 1">
          <a:extLst>
            <a:ext uri="{FF2B5EF4-FFF2-40B4-BE49-F238E27FC236}">
              <a16:creationId xmlns:a16="http://schemas.microsoft.com/office/drawing/2014/main" id="{769FD5BF-0A4F-413C-B9D9-3F1B38D30FEC}"/>
            </a:ext>
          </a:extLst>
        </xdr:cNvPr>
        <xdr:cNvSpPr/>
      </xdr:nvSpPr>
      <xdr:spPr>
        <a:xfrm>
          <a:off x="0" y="0"/>
          <a:ext cx="15761606" cy="847494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0</xdr:row>
      <xdr:rowOff>8141</xdr:rowOff>
    </xdr:from>
    <xdr:to>
      <xdr:col>12</xdr:col>
      <xdr:colOff>120005</xdr:colOff>
      <xdr:row>28</xdr:row>
      <xdr:rowOff>165652</xdr:rowOff>
    </xdr:to>
    <xdr:sp macro="" textlink="">
      <xdr:nvSpPr>
        <xdr:cNvPr id="3" name="Half Frame 2">
          <a:extLst>
            <a:ext uri="{FF2B5EF4-FFF2-40B4-BE49-F238E27FC236}">
              <a16:creationId xmlns:a16="http://schemas.microsoft.com/office/drawing/2014/main" id="{1245A75D-F11B-4503-92C7-72D5E32A9103}"/>
            </a:ext>
          </a:extLst>
        </xdr:cNvPr>
        <xdr:cNvSpPr/>
      </xdr:nvSpPr>
      <xdr:spPr>
        <a:xfrm>
          <a:off x="0" y="8141"/>
          <a:ext cx="7435205" cy="5313711"/>
        </a:xfrm>
        <a:prstGeom prst="halfFrame">
          <a:avLst>
            <a:gd name="adj1" fmla="val 17821"/>
            <a:gd name="adj2" fmla="val 17526"/>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xdr:col>
      <xdr:colOff>453572</xdr:colOff>
      <xdr:row>5</xdr:row>
      <xdr:rowOff>143990</xdr:rowOff>
    </xdr:from>
    <xdr:to>
      <xdr:col>23</xdr:col>
      <xdr:colOff>540991</xdr:colOff>
      <xdr:row>43</xdr:row>
      <xdr:rowOff>155509</xdr:rowOff>
    </xdr:to>
    <xdr:grpSp>
      <xdr:nvGrpSpPr>
        <xdr:cNvPr id="4" name="Group 3">
          <a:extLst>
            <a:ext uri="{FF2B5EF4-FFF2-40B4-BE49-F238E27FC236}">
              <a16:creationId xmlns:a16="http://schemas.microsoft.com/office/drawing/2014/main" id="{16CE6880-C345-4396-A73B-C3FCE31678B8}"/>
            </a:ext>
          </a:extLst>
        </xdr:cNvPr>
        <xdr:cNvGrpSpPr/>
      </xdr:nvGrpSpPr>
      <xdr:grpSpPr>
        <a:xfrm>
          <a:off x="1065481" y="1067626"/>
          <a:ext cx="13549419" cy="7031156"/>
          <a:chOff x="1065893" y="1051133"/>
          <a:chExt cx="10982909" cy="6905805"/>
        </a:xfrm>
      </xdr:grpSpPr>
      <xdr:sp macro="" textlink="">
        <xdr:nvSpPr>
          <xdr:cNvPr id="5" name="Rectangle: Diagonal Corners Rounded 4">
            <a:extLst>
              <a:ext uri="{FF2B5EF4-FFF2-40B4-BE49-F238E27FC236}">
                <a16:creationId xmlns:a16="http://schemas.microsoft.com/office/drawing/2014/main" id="{D7CC1480-61A6-B7AA-C7E9-7F0F09D7B989}"/>
              </a:ext>
            </a:extLst>
          </xdr:cNvPr>
          <xdr:cNvSpPr/>
        </xdr:nvSpPr>
        <xdr:spPr>
          <a:xfrm>
            <a:off x="1065893" y="1051133"/>
            <a:ext cx="10982909" cy="6905805"/>
          </a:xfrm>
          <a:prstGeom prst="round2DiagRect">
            <a:avLst>
              <a:gd name="adj1" fmla="val 0"/>
              <a:gd name="adj2" fmla="val 14496"/>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Diagonal Corners Rounded 5">
            <a:extLst>
              <a:ext uri="{FF2B5EF4-FFF2-40B4-BE49-F238E27FC236}">
                <a16:creationId xmlns:a16="http://schemas.microsoft.com/office/drawing/2014/main" id="{BF5308C8-6766-2CCB-51E3-588A0546AE53}"/>
              </a:ext>
            </a:extLst>
          </xdr:cNvPr>
          <xdr:cNvSpPr/>
        </xdr:nvSpPr>
        <xdr:spPr>
          <a:xfrm>
            <a:off x="5276387" y="1406070"/>
            <a:ext cx="6449419" cy="6145893"/>
          </a:xfrm>
          <a:prstGeom prst="round2DiagRect">
            <a:avLst>
              <a:gd name="adj1" fmla="val 0"/>
              <a:gd name="adj2" fmla="val 17499"/>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10</xdr:col>
      <xdr:colOff>148517</xdr:colOff>
      <xdr:row>13</xdr:row>
      <xdr:rowOff>71694</xdr:rowOff>
    </xdr:from>
    <xdr:to>
      <xdr:col>16</xdr:col>
      <xdr:colOff>51209</xdr:colOff>
      <xdr:row>15</xdr:row>
      <xdr:rowOff>40968</xdr:rowOff>
    </xdr:to>
    <xdr:sp macro="" textlink="">
      <xdr:nvSpPr>
        <xdr:cNvPr id="14" name="TextBox 13">
          <a:extLst>
            <a:ext uri="{FF2B5EF4-FFF2-40B4-BE49-F238E27FC236}">
              <a16:creationId xmlns:a16="http://schemas.microsoft.com/office/drawing/2014/main" id="{07B33C6E-E384-46D2-86CD-4636C104B4E9}"/>
            </a:ext>
          </a:extLst>
        </xdr:cNvPr>
        <xdr:cNvSpPr txBox="1"/>
      </xdr:nvSpPr>
      <xdr:spPr>
        <a:xfrm>
          <a:off x="6293678" y="2468307"/>
          <a:ext cx="3589789" cy="337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REVENUE VS TARGET</a:t>
          </a:r>
          <a:r>
            <a:rPr lang="en-US" sz="1800" b="1" baseline="0">
              <a:solidFill>
                <a:schemeClr val="accent1">
                  <a:lumMod val="75000"/>
                </a:schemeClr>
              </a:solidFill>
            </a:rPr>
            <a:t> BY MONTH</a:t>
          </a:r>
          <a:endParaRPr lang="en-US" sz="1800" b="1">
            <a:solidFill>
              <a:schemeClr val="accent1">
                <a:lumMod val="75000"/>
              </a:schemeClr>
            </a:solidFill>
          </a:endParaRPr>
        </a:p>
      </xdr:txBody>
    </xdr:sp>
    <xdr:clientData/>
  </xdr:twoCellAnchor>
  <xdr:twoCellAnchor editAs="absolute">
    <xdr:from>
      <xdr:col>2</xdr:col>
      <xdr:colOff>429455</xdr:colOff>
      <xdr:row>1</xdr:row>
      <xdr:rowOff>148529</xdr:rowOff>
    </xdr:from>
    <xdr:to>
      <xdr:col>11</xdr:col>
      <xdr:colOff>77482</xdr:colOff>
      <xdr:row>4</xdr:row>
      <xdr:rowOff>56537</xdr:rowOff>
    </xdr:to>
    <xdr:sp macro="" textlink="">
      <xdr:nvSpPr>
        <xdr:cNvPr id="27" name="TextBox 26">
          <a:extLst>
            <a:ext uri="{FF2B5EF4-FFF2-40B4-BE49-F238E27FC236}">
              <a16:creationId xmlns:a16="http://schemas.microsoft.com/office/drawing/2014/main" id="{596554A6-77A9-4024-9125-FED9CE88C529}"/>
            </a:ext>
          </a:extLst>
        </xdr:cNvPr>
        <xdr:cNvSpPr txBox="1"/>
      </xdr:nvSpPr>
      <xdr:spPr>
        <a:xfrm>
          <a:off x="1648655" y="332679"/>
          <a:ext cx="5134427" cy="46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b="1">
              <a:solidFill>
                <a:srgbClr val="002060"/>
              </a:solidFill>
            </a:rPr>
            <a:t>BUSINESS DASHBOARD</a:t>
          </a:r>
        </a:p>
      </xdr:txBody>
    </xdr:sp>
    <xdr:clientData/>
  </xdr:twoCellAnchor>
  <xdr:twoCellAnchor editAs="absolute">
    <xdr:from>
      <xdr:col>18</xdr:col>
      <xdr:colOff>524914</xdr:colOff>
      <xdr:row>2</xdr:row>
      <xdr:rowOff>153706</xdr:rowOff>
    </xdr:from>
    <xdr:to>
      <xdr:col>22</xdr:col>
      <xdr:colOff>1934</xdr:colOff>
      <xdr:row>5</xdr:row>
      <xdr:rowOff>0</xdr:rowOff>
    </xdr:to>
    <xdr:grpSp>
      <xdr:nvGrpSpPr>
        <xdr:cNvPr id="93" name="Group 92">
          <a:hlinkClick xmlns:r="http://schemas.openxmlformats.org/officeDocument/2006/relationships" r:id="rId1"/>
          <a:extLst>
            <a:ext uri="{FF2B5EF4-FFF2-40B4-BE49-F238E27FC236}">
              <a16:creationId xmlns:a16="http://schemas.microsoft.com/office/drawing/2014/main" id="{8EF08437-94F2-92C0-0E08-6B5A8AD30BA0}"/>
            </a:ext>
          </a:extLst>
        </xdr:cNvPr>
        <xdr:cNvGrpSpPr/>
      </xdr:nvGrpSpPr>
      <xdr:grpSpPr>
        <a:xfrm>
          <a:off x="11539278" y="523161"/>
          <a:ext cx="1924656" cy="400475"/>
          <a:chOff x="11435369" y="528933"/>
          <a:chExt cx="1901565" cy="409135"/>
        </a:xfrm>
      </xdr:grpSpPr>
      <xdr:sp macro="" textlink="">
        <xdr:nvSpPr>
          <xdr:cNvPr id="29" name="Rectangle: Rounded Corners 28">
            <a:extLst>
              <a:ext uri="{FF2B5EF4-FFF2-40B4-BE49-F238E27FC236}">
                <a16:creationId xmlns:a16="http://schemas.microsoft.com/office/drawing/2014/main" id="{C786D77D-15B0-4B24-BA75-01F9DA7CA198}"/>
              </a:ext>
            </a:extLst>
          </xdr:cNvPr>
          <xdr:cNvSpPr/>
        </xdr:nvSpPr>
        <xdr:spPr>
          <a:xfrm>
            <a:off x="11435369" y="528933"/>
            <a:ext cx="1901565" cy="409135"/>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1" name="TextBox 30">
            <a:hlinkClick xmlns:r="http://schemas.openxmlformats.org/officeDocument/2006/relationships" r:id="rId1"/>
            <a:extLst>
              <a:ext uri="{FF2B5EF4-FFF2-40B4-BE49-F238E27FC236}">
                <a16:creationId xmlns:a16="http://schemas.microsoft.com/office/drawing/2014/main" id="{2E117477-C67C-49BE-9CE5-52E50B4CA949}"/>
              </a:ext>
            </a:extLst>
          </xdr:cNvPr>
          <xdr:cNvSpPr txBox="1"/>
        </xdr:nvSpPr>
        <xdr:spPr>
          <a:xfrm>
            <a:off x="11842820" y="613718"/>
            <a:ext cx="1477487" cy="25920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Time Fram</a:t>
            </a:r>
          </a:p>
        </xdr:txBody>
      </xdr:sp>
    </xdr:grpSp>
    <xdr:clientData/>
  </xdr:twoCellAnchor>
  <xdr:twoCellAnchor editAs="absolute">
    <xdr:from>
      <xdr:col>15</xdr:col>
      <xdr:colOff>78453</xdr:colOff>
      <xdr:row>2</xdr:row>
      <xdr:rowOff>153706</xdr:rowOff>
    </xdr:from>
    <xdr:to>
      <xdr:col>18</xdr:col>
      <xdr:colOff>161608</xdr:colOff>
      <xdr:row>5</xdr:row>
      <xdr:rowOff>0</xdr:rowOff>
    </xdr:to>
    <xdr:grpSp>
      <xdr:nvGrpSpPr>
        <xdr:cNvPr id="94" name="Group 93">
          <a:hlinkClick xmlns:r="http://schemas.openxmlformats.org/officeDocument/2006/relationships" r:id="rId2"/>
          <a:extLst>
            <a:ext uri="{FF2B5EF4-FFF2-40B4-BE49-F238E27FC236}">
              <a16:creationId xmlns:a16="http://schemas.microsoft.com/office/drawing/2014/main" id="{2DCCA82C-0CBB-5DC0-1CF8-F9F7E72A67C6}"/>
            </a:ext>
          </a:extLst>
        </xdr:cNvPr>
        <xdr:cNvGrpSpPr/>
      </xdr:nvGrpSpPr>
      <xdr:grpSpPr>
        <a:xfrm>
          <a:off x="9257089" y="523161"/>
          <a:ext cx="1918883" cy="400475"/>
          <a:chOff x="9170498" y="528933"/>
          <a:chExt cx="1901565" cy="409135"/>
        </a:xfrm>
      </xdr:grpSpPr>
      <xdr:sp macro="" textlink="">
        <xdr:nvSpPr>
          <xdr:cNvPr id="30" name="Rectangle: Rounded Corners 29">
            <a:extLst>
              <a:ext uri="{FF2B5EF4-FFF2-40B4-BE49-F238E27FC236}">
                <a16:creationId xmlns:a16="http://schemas.microsoft.com/office/drawing/2014/main" id="{767A1946-A4E5-4FBB-B28C-3177FA59E50A}"/>
              </a:ext>
            </a:extLst>
          </xdr:cNvPr>
          <xdr:cNvSpPr/>
        </xdr:nvSpPr>
        <xdr:spPr>
          <a:xfrm>
            <a:off x="9170498" y="528933"/>
            <a:ext cx="1901565" cy="409135"/>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3" name="TextBox 32">
            <a:hlinkClick xmlns:r="http://schemas.openxmlformats.org/officeDocument/2006/relationships" r:id="rId2"/>
            <a:extLst>
              <a:ext uri="{FF2B5EF4-FFF2-40B4-BE49-F238E27FC236}">
                <a16:creationId xmlns:a16="http://schemas.microsoft.com/office/drawing/2014/main" id="{F5AD9602-8A58-47F1-8697-4D88168A86E6}"/>
              </a:ext>
            </a:extLst>
          </xdr:cNvPr>
          <xdr:cNvSpPr txBox="1"/>
        </xdr:nvSpPr>
        <xdr:spPr>
          <a:xfrm>
            <a:off x="9768715" y="620931"/>
            <a:ext cx="893338" cy="24163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Store</a:t>
            </a:r>
          </a:p>
        </xdr:txBody>
      </xdr:sp>
    </xdr:grpSp>
    <xdr:clientData/>
  </xdr:twoCellAnchor>
  <xdr:twoCellAnchor editAs="absolute">
    <xdr:from>
      <xdr:col>11</xdr:col>
      <xdr:colOff>244311</xdr:colOff>
      <xdr:row>2</xdr:row>
      <xdr:rowOff>153706</xdr:rowOff>
    </xdr:from>
    <xdr:to>
      <xdr:col>14</xdr:col>
      <xdr:colOff>327467</xdr:colOff>
      <xdr:row>5</xdr:row>
      <xdr:rowOff>0</xdr:rowOff>
    </xdr:to>
    <xdr:grpSp>
      <xdr:nvGrpSpPr>
        <xdr:cNvPr id="95" name="Group 94">
          <a:extLst>
            <a:ext uri="{FF2B5EF4-FFF2-40B4-BE49-F238E27FC236}">
              <a16:creationId xmlns:a16="http://schemas.microsoft.com/office/drawing/2014/main" id="{C2C4BDA1-163A-52CE-5284-F7C2862086BE}"/>
            </a:ext>
          </a:extLst>
        </xdr:cNvPr>
        <xdr:cNvGrpSpPr/>
      </xdr:nvGrpSpPr>
      <xdr:grpSpPr>
        <a:xfrm>
          <a:off x="6975311" y="523161"/>
          <a:ext cx="1918883" cy="400475"/>
          <a:chOff x="6911811" y="528933"/>
          <a:chExt cx="1901565" cy="409135"/>
        </a:xfrm>
      </xdr:grpSpPr>
      <xdr:sp macro="" textlink="">
        <xdr:nvSpPr>
          <xdr:cNvPr id="32" name="Rectangle: Rounded Corners 31">
            <a:extLst>
              <a:ext uri="{FF2B5EF4-FFF2-40B4-BE49-F238E27FC236}">
                <a16:creationId xmlns:a16="http://schemas.microsoft.com/office/drawing/2014/main" id="{B72E5B2F-C3B9-460F-8232-2535620A1CC1}"/>
              </a:ext>
            </a:extLst>
          </xdr:cNvPr>
          <xdr:cNvSpPr/>
        </xdr:nvSpPr>
        <xdr:spPr>
          <a:xfrm>
            <a:off x="6911811" y="528933"/>
            <a:ext cx="1901565" cy="409135"/>
          </a:xfrm>
          <a:prstGeom prst="roundRect">
            <a:avLst>
              <a:gd name="adj" fmla="val 50000"/>
            </a:avLst>
          </a:prstGeom>
          <a:gradFill flip="none" rotWithShape="1">
            <a:gsLst>
              <a:gs pos="0">
                <a:schemeClr val="bg2"/>
              </a:gs>
              <a:gs pos="100000">
                <a:schemeClr val="bg2">
                  <a:lumMod val="50000"/>
                </a:schemeClr>
              </a:gs>
              <a:gs pos="25000">
                <a:schemeClr val="bg1">
                  <a:lumMod val="85000"/>
                  <a:alpha val="88000"/>
                </a:schemeClr>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4" name="TextBox 33">
            <a:hlinkClick xmlns:r="http://schemas.openxmlformats.org/officeDocument/2006/relationships" r:id="rId3"/>
            <a:extLst>
              <a:ext uri="{FF2B5EF4-FFF2-40B4-BE49-F238E27FC236}">
                <a16:creationId xmlns:a16="http://schemas.microsoft.com/office/drawing/2014/main" id="{7D866810-0163-4B05-AA46-B3D625459E33}"/>
              </a:ext>
            </a:extLst>
          </xdr:cNvPr>
          <xdr:cNvSpPr txBox="1"/>
        </xdr:nvSpPr>
        <xdr:spPr>
          <a:xfrm>
            <a:off x="7283906" y="625058"/>
            <a:ext cx="1236021" cy="23879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accent1">
                    <a:lumMod val="75000"/>
                  </a:schemeClr>
                </a:solidFill>
              </a:rPr>
              <a:t>Profit view</a:t>
            </a:r>
          </a:p>
        </xdr:txBody>
      </xdr:sp>
    </xdr:grpSp>
    <xdr:clientData/>
  </xdr:twoCellAnchor>
  <xdr:twoCellAnchor editAs="absolute">
    <xdr:from>
      <xdr:col>1</xdr:col>
      <xdr:colOff>125526</xdr:colOff>
      <xdr:row>0</xdr:row>
      <xdr:rowOff>55643</xdr:rowOff>
    </xdr:from>
    <xdr:to>
      <xdr:col>2</xdr:col>
      <xdr:colOff>478768</xdr:colOff>
      <xdr:row>4</xdr:row>
      <xdr:rowOff>100779</xdr:rowOff>
    </xdr:to>
    <xdr:pic>
      <xdr:nvPicPr>
        <xdr:cNvPr id="35" name="Picture 34">
          <a:extLst>
            <a:ext uri="{FF2B5EF4-FFF2-40B4-BE49-F238E27FC236}">
              <a16:creationId xmlns:a16="http://schemas.microsoft.com/office/drawing/2014/main" id="{963AD651-C853-4ABB-B14A-6154B76F33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5126" y="55643"/>
          <a:ext cx="962842" cy="781736"/>
        </a:xfrm>
        <a:prstGeom prst="rect">
          <a:avLst/>
        </a:prstGeom>
      </xdr:spPr>
    </xdr:pic>
    <xdr:clientData/>
  </xdr:twoCellAnchor>
  <xdr:twoCellAnchor editAs="absolute">
    <xdr:from>
      <xdr:col>10</xdr:col>
      <xdr:colOff>226017</xdr:colOff>
      <xdr:row>26</xdr:row>
      <xdr:rowOff>92176</xdr:rowOff>
    </xdr:from>
    <xdr:to>
      <xdr:col>23</xdr:col>
      <xdr:colOff>68385</xdr:colOff>
      <xdr:row>41</xdr:row>
      <xdr:rowOff>32565</xdr:rowOff>
    </xdr:to>
    <xdr:graphicFrame macro="">
      <xdr:nvGraphicFramePr>
        <xdr:cNvPr id="36" name="Chart 35">
          <a:extLst>
            <a:ext uri="{FF2B5EF4-FFF2-40B4-BE49-F238E27FC236}">
              <a16:creationId xmlns:a16="http://schemas.microsoft.com/office/drawing/2014/main" id="{22D0FC94-B15B-444C-B608-059A40184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10</xdr:col>
      <xdr:colOff>163870</xdr:colOff>
      <xdr:row>15</xdr:row>
      <xdr:rowOff>0</xdr:rowOff>
    </xdr:from>
    <xdr:to>
      <xdr:col>22</xdr:col>
      <xdr:colOff>605691</xdr:colOff>
      <xdr:row>26</xdr:row>
      <xdr:rowOff>92177</xdr:rowOff>
    </xdr:to>
    <xdr:graphicFrame macro="">
      <xdr:nvGraphicFramePr>
        <xdr:cNvPr id="37" name="Chart 36">
          <a:extLst>
            <a:ext uri="{FF2B5EF4-FFF2-40B4-BE49-F238E27FC236}">
              <a16:creationId xmlns:a16="http://schemas.microsoft.com/office/drawing/2014/main" id="{22D90239-8275-4911-BA44-A6C345308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10</xdr:col>
      <xdr:colOff>133145</xdr:colOff>
      <xdr:row>14</xdr:row>
      <xdr:rowOff>163871</xdr:rowOff>
    </xdr:from>
    <xdr:to>
      <xdr:col>22</xdr:col>
      <xdr:colOff>481371</xdr:colOff>
      <xdr:row>15</xdr:row>
      <xdr:rowOff>10242</xdr:rowOff>
    </xdr:to>
    <xdr:cxnSp macro="">
      <xdr:nvCxnSpPr>
        <xdr:cNvPr id="39" name="Straight Connector 38">
          <a:extLst>
            <a:ext uri="{FF2B5EF4-FFF2-40B4-BE49-F238E27FC236}">
              <a16:creationId xmlns:a16="http://schemas.microsoft.com/office/drawing/2014/main" id="{433E74D6-0165-4CBB-874A-443377D5F84B}"/>
            </a:ext>
          </a:extLst>
        </xdr:cNvPr>
        <xdr:cNvCxnSpPr/>
      </xdr:nvCxnSpPr>
      <xdr:spPr>
        <a:xfrm flipV="1">
          <a:off x="6278306" y="2744839"/>
          <a:ext cx="7722420" cy="30726"/>
        </a:xfrm>
        <a:prstGeom prst="line">
          <a:avLst/>
        </a:prstGeom>
        <a:ln w="19050">
          <a:solidFill>
            <a:schemeClr val="bg2">
              <a:lumMod val="75000"/>
              <a:alpha val="6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248591</xdr:colOff>
      <xdr:row>8</xdr:row>
      <xdr:rowOff>101947</xdr:rowOff>
    </xdr:from>
    <xdr:to>
      <xdr:col>17</xdr:col>
      <xdr:colOff>603883</xdr:colOff>
      <xdr:row>12</xdr:row>
      <xdr:rowOff>130039</xdr:rowOff>
    </xdr:to>
    <xdr:sp macro="" textlink="">
      <xdr:nvSpPr>
        <xdr:cNvPr id="43" name="Rectangle: Rounded Corners 42">
          <a:extLst>
            <a:ext uri="{FF2B5EF4-FFF2-40B4-BE49-F238E27FC236}">
              <a16:creationId xmlns:a16="http://schemas.microsoft.com/office/drawing/2014/main" id="{9C4BBCB6-10A6-4AC1-AF80-EAE1F72B8A3D}"/>
            </a:ext>
          </a:extLst>
        </xdr:cNvPr>
        <xdr:cNvSpPr/>
      </xdr:nvSpPr>
      <xdr:spPr>
        <a:xfrm>
          <a:off x="8728283" y="1586870"/>
          <a:ext cx="2172369" cy="770554"/>
        </a:xfrm>
        <a:prstGeom prst="round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221124</xdr:colOff>
      <xdr:row>8</xdr:row>
      <xdr:rowOff>92178</xdr:rowOff>
    </xdr:from>
    <xdr:to>
      <xdr:col>21</xdr:col>
      <xdr:colOff>576415</xdr:colOff>
      <xdr:row>12</xdr:row>
      <xdr:rowOff>120270</xdr:rowOff>
    </xdr:to>
    <xdr:sp macro="" textlink="">
      <xdr:nvSpPr>
        <xdr:cNvPr id="45" name="Rectangle: Rounded Corners 44">
          <a:extLst>
            <a:ext uri="{FF2B5EF4-FFF2-40B4-BE49-F238E27FC236}">
              <a16:creationId xmlns:a16="http://schemas.microsoft.com/office/drawing/2014/main" id="{A3132BC3-5602-46DA-A4C8-ED10E2E94350}"/>
            </a:ext>
          </a:extLst>
        </xdr:cNvPr>
        <xdr:cNvSpPr/>
      </xdr:nvSpPr>
      <xdr:spPr>
        <a:xfrm>
          <a:off x="11123586" y="1577101"/>
          <a:ext cx="2172367" cy="770554"/>
        </a:xfrm>
        <a:prstGeom prst="round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266290</xdr:colOff>
      <xdr:row>8</xdr:row>
      <xdr:rowOff>92178</xdr:rowOff>
    </xdr:from>
    <xdr:to>
      <xdr:col>14</xdr:col>
      <xdr:colOff>7065</xdr:colOff>
      <xdr:row>12</xdr:row>
      <xdr:rowOff>120270</xdr:rowOff>
    </xdr:to>
    <xdr:sp macro="" textlink="">
      <xdr:nvSpPr>
        <xdr:cNvPr id="46" name="Rectangle: Rounded Corners 45">
          <a:extLst>
            <a:ext uri="{FF2B5EF4-FFF2-40B4-BE49-F238E27FC236}">
              <a16:creationId xmlns:a16="http://schemas.microsoft.com/office/drawing/2014/main" id="{2997A612-50C7-4FB8-A343-C5E116E3964D}"/>
            </a:ext>
          </a:extLst>
        </xdr:cNvPr>
        <xdr:cNvSpPr/>
      </xdr:nvSpPr>
      <xdr:spPr>
        <a:xfrm>
          <a:off x="6411451" y="1567017"/>
          <a:ext cx="2198840" cy="765511"/>
        </a:xfrm>
        <a:prstGeom prst="round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466779</xdr:colOff>
      <xdr:row>8</xdr:row>
      <xdr:rowOff>111432</xdr:rowOff>
    </xdr:from>
    <xdr:to>
      <xdr:col>13</xdr:col>
      <xdr:colOff>488461</xdr:colOff>
      <xdr:row>10</xdr:row>
      <xdr:rowOff>48846</xdr:rowOff>
    </xdr:to>
    <xdr:sp macro="" textlink="">
      <xdr:nvSpPr>
        <xdr:cNvPr id="47" name="TextBox 46">
          <a:extLst>
            <a:ext uri="{FF2B5EF4-FFF2-40B4-BE49-F238E27FC236}">
              <a16:creationId xmlns:a16="http://schemas.microsoft.com/office/drawing/2014/main" id="{0F319E36-B9D4-4F6C-A279-CCE3A431F77D}"/>
            </a:ext>
          </a:extLst>
        </xdr:cNvPr>
        <xdr:cNvSpPr txBox="1"/>
      </xdr:nvSpPr>
      <xdr:spPr>
        <a:xfrm>
          <a:off x="6523702" y="1596355"/>
          <a:ext cx="1838759" cy="308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2060"/>
              </a:solidFill>
            </a:rPr>
            <a:t>TOTAL REVENUE</a:t>
          </a:r>
        </a:p>
      </xdr:txBody>
    </xdr:sp>
    <xdr:clientData/>
  </xdr:twoCellAnchor>
  <xdr:twoCellAnchor editAs="absolute">
    <xdr:from>
      <xdr:col>14</xdr:col>
      <xdr:colOff>572784</xdr:colOff>
      <xdr:row>8</xdr:row>
      <xdr:rowOff>84696</xdr:rowOff>
    </xdr:from>
    <xdr:to>
      <xdr:col>18</xdr:col>
      <xdr:colOff>378230</xdr:colOff>
      <xdr:row>10</xdr:row>
      <xdr:rowOff>67445</xdr:rowOff>
    </xdr:to>
    <xdr:sp macro="" textlink="">
      <xdr:nvSpPr>
        <xdr:cNvPr id="48" name="TextBox 47">
          <a:extLst>
            <a:ext uri="{FF2B5EF4-FFF2-40B4-BE49-F238E27FC236}">
              <a16:creationId xmlns:a16="http://schemas.microsoft.com/office/drawing/2014/main" id="{CCE9D802-97A0-439F-8E2A-0C376F86AA7E}"/>
            </a:ext>
          </a:extLst>
        </xdr:cNvPr>
        <xdr:cNvSpPr txBox="1"/>
      </xdr:nvSpPr>
      <xdr:spPr>
        <a:xfrm>
          <a:off x="9052476" y="1569619"/>
          <a:ext cx="2228216" cy="35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2060"/>
              </a:solidFill>
            </a:rPr>
            <a:t>TOTAL TARGET</a:t>
          </a:r>
        </a:p>
      </xdr:txBody>
    </xdr:sp>
    <xdr:clientData/>
  </xdr:twoCellAnchor>
  <xdr:twoCellAnchor editAs="absolute">
    <xdr:from>
      <xdr:col>19</xdr:col>
      <xdr:colOff>161810</xdr:colOff>
      <xdr:row>8</xdr:row>
      <xdr:rowOff>128533</xdr:rowOff>
    </xdr:from>
    <xdr:to>
      <xdr:col>21</xdr:col>
      <xdr:colOff>522783</xdr:colOff>
      <xdr:row>9</xdr:row>
      <xdr:rowOff>167831</xdr:rowOff>
    </xdr:to>
    <xdr:sp macro="" textlink="">
      <xdr:nvSpPr>
        <xdr:cNvPr id="49" name="TextBox 48">
          <a:extLst>
            <a:ext uri="{FF2B5EF4-FFF2-40B4-BE49-F238E27FC236}">
              <a16:creationId xmlns:a16="http://schemas.microsoft.com/office/drawing/2014/main" id="{23BC2161-8542-4DF8-8531-44CB3940404D}"/>
            </a:ext>
          </a:extLst>
        </xdr:cNvPr>
        <xdr:cNvSpPr txBox="1"/>
      </xdr:nvSpPr>
      <xdr:spPr>
        <a:xfrm>
          <a:off x="11669964" y="1613456"/>
          <a:ext cx="1572357" cy="224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2060"/>
              </a:solidFill>
            </a:rPr>
            <a:t>VARIANCE</a:t>
          </a:r>
        </a:p>
      </xdr:txBody>
    </xdr:sp>
    <xdr:clientData/>
  </xdr:twoCellAnchor>
  <xdr:twoCellAnchor editAs="absolute">
    <xdr:from>
      <xdr:col>11</xdr:col>
      <xdr:colOff>205153</xdr:colOff>
      <xdr:row>10</xdr:row>
      <xdr:rowOff>58615</xdr:rowOff>
    </xdr:from>
    <xdr:to>
      <xdr:col>13</xdr:col>
      <xdr:colOff>224691</xdr:colOff>
      <xdr:row>12</xdr:row>
      <xdr:rowOff>9769</xdr:rowOff>
    </xdr:to>
    <xdr:sp macro="" textlink="'time analysis'!C80">
      <xdr:nvSpPr>
        <xdr:cNvPr id="50" name="TextBox 49">
          <a:extLst>
            <a:ext uri="{FF2B5EF4-FFF2-40B4-BE49-F238E27FC236}">
              <a16:creationId xmlns:a16="http://schemas.microsoft.com/office/drawing/2014/main" id="{78AA4CF1-0F10-41CA-BDE9-9D7DDE34001D}"/>
            </a:ext>
          </a:extLst>
        </xdr:cNvPr>
        <xdr:cNvSpPr txBox="1"/>
      </xdr:nvSpPr>
      <xdr:spPr>
        <a:xfrm>
          <a:off x="6867768" y="1914769"/>
          <a:ext cx="1230923"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74E42BA-3059-4562-9C42-18ED6977CC2D}" type="TxLink">
            <a:rPr lang="en-US" sz="1800" b="1" i="0" u="none" strike="noStrike">
              <a:solidFill>
                <a:srgbClr val="0070C0"/>
              </a:solidFill>
              <a:latin typeface="Arial Black" panose="020B0A04020102020204" pitchFamily="34" charset="0"/>
              <a:ea typeface="+mn-ea"/>
              <a:cs typeface="Segoe UI Semibold" panose="020B0702040204020203" pitchFamily="34" charset="0"/>
            </a:rPr>
            <a:pPr marL="0" indent="0"/>
            <a:t>$547.5K</a:t>
          </a:fld>
          <a:endParaRPr lang="en-US" sz="1800" b="1" i="0" u="none" strike="noStrike">
            <a:solidFill>
              <a:srgbClr val="0070C0"/>
            </a:solidFill>
            <a:latin typeface="Arial Black" panose="020B0A04020102020204" pitchFamily="34" charset="0"/>
            <a:ea typeface="+mn-ea"/>
            <a:cs typeface="Segoe UI Semibold" panose="020B0702040204020203" pitchFamily="34" charset="0"/>
          </a:endParaRPr>
        </a:p>
      </xdr:txBody>
    </xdr:sp>
    <xdr:clientData/>
  </xdr:twoCellAnchor>
  <xdr:twoCellAnchor editAs="absolute">
    <xdr:from>
      <xdr:col>15</xdr:col>
      <xdr:colOff>216766</xdr:colOff>
      <xdr:row>10</xdr:row>
      <xdr:rowOff>24057</xdr:rowOff>
    </xdr:from>
    <xdr:to>
      <xdr:col>17</xdr:col>
      <xdr:colOff>218979</xdr:colOff>
      <xdr:row>12</xdr:row>
      <xdr:rowOff>39393</xdr:rowOff>
    </xdr:to>
    <xdr:sp macro="" textlink="'time analysis'!D80">
      <xdr:nvSpPr>
        <xdr:cNvPr id="51" name="TextBox 50">
          <a:extLst>
            <a:ext uri="{FF2B5EF4-FFF2-40B4-BE49-F238E27FC236}">
              <a16:creationId xmlns:a16="http://schemas.microsoft.com/office/drawing/2014/main" id="{F5166749-D081-4B5E-A630-9687CB48E54A}"/>
            </a:ext>
          </a:extLst>
        </xdr:cNvPr>
        <xdr:cNvSpPr txBox="1"/>
      </xdr:nvSpPr>
      <xdr:spPr>
        <a:xfrm>
          <a:off x="9302151" y="1880211"/>
          <a:ext cx="1213597" cy="38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DE07F14-6C49-4D1E-A8E0-74FA520F8C66}" type="TxLink">
            <a:rPr lang="en-US" sz="1800" b="1" i="0" u="none" strike="noStrike">
              <a:solidFill>
                <a:srgbClr val="0070C0"/>
              </a:solidFill>
              <a:latin typeface="Arial Black" panose="020B0A04020102020204" pitchFamily="34" charset="0"/>
              <a:ea typeface="+mn-ea"/>
              <a:cs typeface="Segoe UI Semibold" panose="020B0702040204020203" pitchFamily="34" charset="0"/>
            </a:rPr>
            <a:pPr marL="0" indent="0"/>
            <a:t>$646.1K</a:t>
          </a:fld>
          <a:endParaRPr lang="en-US" sz="1800" b="1" i="0" u="none" strike="noStrike">
            <a:solidFill>
              <a:srgbClr val="0070C0"/>
            </a:solidFill>
            <a:latin typeface="Arial Black" panose="020B0A04020102020204" pitchFamily="34" charset="0"/>
            <a:ea typeface="+mn-ea"/>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absolute">
        <xdr:from>
          <xdr:col>19</xdr:col>
          <xdr:colOff>287800</xdr:colOff>
          <xdr:row>10</xdr:row>
          <xdr:rowOff>31614</xdr:rowOff>
        </xdr:from>
        <xdr:to>
          <xdr:col>21</xdr:col>
          <xdr:colOff>141110</xdr:colOff>
          <xdr:row>12</xdr:row>
          <xdr:rowOff>39688</xdr:rowOff>
        </xdr:to>
        <xdr:pic>
          <xdr:nvPicPr>
            <xdr:cNvPr id="52" name="Picture 51">
              <a:extLst>
                <a:ext uri="{FF2B5EF4-FFF2-40B4-BE49-F238E27FC236}">
                  <a16:creationId xmlns:a16="http://schemas.microsoft.com/office/drawing/2014/main" id="{B9A82D0C-1710-4DFC-B952-A6079C3B343B}"/>
                </a:ext>
              </a:extLst>
            </xdr:cNvPr>
            <xdr:cNvPicPr>
              <a:picLocks noChangeAspect="1" noChangeArrowheads="1"/>
              <a:extLst>
                <a:ext uri="{84589F7E-364E-4C9E-8A38-B11213B215E9}">
                  <a14:cameraTool cellRange="'time analysis'!E80" spid="_x0000_s6412"/>
                </a:ext>
              </a:extLst>
            </xdr:cNvPicPr>
          </xdr:nvPicPr>
          <xdr:blipFill>
            <a:blip xmlns:r="http://schemas.openxmlformats.org/officeDocument/2006/relationships" r:embed="rId7"/>
            <a:srcRect/>
            <a:stretch>
              <a:fillRect/>
            </a:stretch>
          </xdr:blipFill>
          <xdr:spPr bwMode="auto">
            <a:xfrm>
              <a:off x="11905948" y="1834700"/>
              <a:ext cx="1076273" cy="36869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2</xdr:col>
          <xdr:colOff>4597</xdr:colOff>
          <xdr:row>9</xdr:row>
          <xdr:rowOff>43791</xdr:rowOff>
        </xdr:from>
        <xdr:to>
          <xdr:col>5</xdr:col>
          <xdr:colOff>448878</xdr:colOff>
          <xdr:row>19</xdr:row>
          <xdr:rowOff>175173</xdr:rowOff>
        </xdr:to>
        <xdr:pic>
          <xdr:nvPicPr>
            <xdr:cNvPr id="57" name="Picture 56">
              <a:extLst>
                <a:ext uri="{FF2B5EF4-FFF2-40B4-BE49-F238E27FC236}">
                  <a16:creationId xmlns:a16="http://schemas.microsoft.com/office/drawing/2014/main" id="{FC3F7FFE-E27C-AC8E-C878-0DDBD6DA2EB5}"/>
                </a:ext>
              </a:extLst>
            </xdr:cNvPr>
            <xdr:cNvPicPr>
              <a:picLocks noChangeAspect="1" noChangeArrowheads="1"/>
              <a:extLst>
                <a:ext uri="{84589F7E-364E-4C9E-8A38-B11213B215E9}">
                  <a14:cameraTool cellRange="'time analysis'!$Y$25:$AH$34" spid="_x0000_s6413"/>
                </a:ext>
              </a:extLst>
            </xdr:cNvPicPr>
          </xdr:nvPicPr>
          <xdr:blipFill>
            <a:blip xmlns:r="http://schemas.openxmlformats.org/officeDocument/2006/relationships" r:embed="rId8"/>
            <a:srcRect/>
            <a:stretch>
              <a:fillRect/>
            </a:stretch>
          </xdr:blipFill>
          <xdr:spPr bwMode="auto">
            <a:xfrm>
              <a:off x="1230804" y="1718877"/>
              <a:ext cx="2283591" cy="19925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54741</xdr:colOff>
          <xdr:row>9</xdr:row>
          <xdr:rowOff>21894</xdr:rowOff>
        </xdr:from>
        <xdr:to>
          <xdr:col>9</xdr:col>
          <xdr:colOff>522510</xdr:colOff>
          <xdr:row>20</xdr:row>
          <xdr:rowOff>1511</xdr:rowOff>
        </xdr:to>
        <xdr:pic>
          <xdr:nvPicPr>
            <xdr:cNvPr id="59" name="Picture 58">
              <a:extLst>
                <a:ext uri="{FF2B5EF4-FFF2-40B4-BE49-F238E27FC236}">
                  <a16:creationId xmlns:a16="http://schemas.microsoft.com/office/drawing/2014/main" id="{7950CCC4-1A76-D67B-C553-11D64C64CC7D}"/>
                </a:ext>
              </a:extLst>
            </xdr:cNvPr>
            <xdr:cNvPicPr>
              <a:picLocks noChangeAspect="1" noChangeArrowheads="1"/>
              <a:extLst>
                <a:ext uri="{84589F7E-364E-4C9E-8A38-B11213B215E9}">
                  <a14:cameraTool cellRange="'time analysis'!$Y$38:$AH$47" spid="_x0000_s6414"/>
                </a:ext>
              </a:extLst>
            </xdr:cNvPicPr>
          </xdr:nvPicPr>
          <xdr:blipFill>
            <a:blip xmlns:r="http://schemas.openxmlformats.org/officeDocument/2006/relationships" r:embed="rId9"/>
            <a:srcRect/>
            <a:stretch>
              <a:fillRect/>
            </a:stretch>
          </xdr:blipFill>
          <xdr:spPr bwMode="auto">
            <a:xfrm>
              <a:off x="3733362" y="1696980"/>
              <a:ext cx="2307079" cy="20269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592281</xdr:colOff>
      <xdr:row>5</xdr:row>
      <xdr:rowOff>109485</xdr:rowOff>
    </xdr:from>
    <xdr:to>
      <xdr:col>3</xdr:col>
      <xdr:colOff>547414</xdr:colOff>
      <xdr:row>8</xdr:row>
      <xdr:rowOff>142328</xdr:rowOff>
    </xdr:to>
    <xdr:sp macro="" textlink="">
      <xdr:nvSpPr>
        <xdr:cNvPr id="60" name="TextBox 59">
          <a:extLst>
            <a:ext uri="{FF2B5EF4-FFF2-40B4-BE49-F238E27FC236}">
              <a16:creationId xmlns:a16="http://schemas.microsoft.com/office/drawing/2014/main" id="{52625B64-5CC3-4212-9242-3DF5AAA42D0D}"/>
            </a:ext>
          </a:extLst>
        </xdr:cNvPr>
        <xdr:cNvSpPr txBox="1"/>
      </xdr:nvSpPr>
      <xdr:spPr>
        <a:xfrm>
          <a:off x="1205384" y="1040088"/>
          <a:ext cx="1181340" cy="591206"/>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400" b="1">
              <a:solidFill>
                <a:schemeClr val="accent1">
                  <a:lumMod val="75000"/>
                </a:schemeClr>
              </a:solidFill>
              <a:latin typeface="Segoe UI Semibold" panose="020B0702040204020203" pitchFamily="34" charset="0"/>
              <a:ea typeface="+mn-ea"/>
              <a:cs typeface="Segoe UI Semibold" panose="020B0702040204020203" pitchFamily="34" charset="0"/>
            </a:rPr>
            <a:t>REVENUE GENRATED </a:t>
          </a:r>
        </a:p>
      </xdr:txBody>
    </xdr:sp>
    <xdr:clientData/>
  </xdr:twoCellAnchor>
  <xdr:twoCellAnchor editAs="absolute">
    <xdr:from>
      <xdr:col>6</xdr:col>
      <xdr:colOff>33042</xdr:colOff>
      <xdr:row>5</xdr:row>
      <xdr:rowOff>119556</xdr:rowOff>
    </xdr:from>
    <xdr:to>
      <xdr:col>7</xdr:col>
      <xdr:colOff>525516</xdr:colOff>
      <xdr:row>8</xdr:row>
      <xdr:rowOff>175172</xdr:rowOff>
    </xdr:to>
    <xdr:sp macro="" textlink="">
      <xdr:nvSpPr>
        <xdr:cNvPr id="61" name="TextBox 60">
          <a:extLst>
            <a:ext uri="{FF2B5EF4-FFF2-40B4-BE49-F238E27FC236}">
              <a16:creationId xmlns:a16="http://schemas.microsoft.com/office/drawing/2014/main" id="{5BED2B75-92A0-4EA8-B53F-5EC53F797708}"/>
            </a:ext>
          </a:extLst>
        </xdr:cNvPr>
        <xdr:cNvSpPr txBox="1"/>
      </xdr:nvSpPr>
      <xdr:spPr>
        <a:xfrm>
          <a:off x="3711663" y="1050159"/>
          <a:ext cx="1105577" cy="613979"/>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1">
                  <a:lumMod val="75000"/>
                </a:schemeClr>
              </a:solidFill>
              <a:latin typeface="Segoe UI Semibold" panose="020B0702040204020203" pitchFamily="34" charset="0"/>
              <a:cs typeface="Segoe UI Semibold" panose="020B0702040204020203" pitchFamily="34" charset="0"/>
            </a:rPr>
            <a:t>REVENUE GENRATED </a:t>
          </a:r>
        </a:p>
      </xdr:txBody>
    </xdr:sp>
    <xdr:clientData/>
  </xdr:twoCellAnchor>
  <xdr:twoCellAnchor editAs="absolute">
    <xdr:from>
      <xdr:col>3</xdr:col>
      <xdr:colOff>342595</xdr:colOff>
      <xdr:row>7</xdr:row>
      <xdr:rowOff>20717</xdr:rowOff>
    </xdr:from>
    <xdr:to>
      <xdr:col>5</xdr:col>
      <xdr:colOff>405085</xdr:colOff>
      <xdr:row>8</xdr:row>
      <xdr:rowOff>120431</xdr:rowOff>
    </xdr:to>
    <xdr:sp macro="" textlink="'time analysis'!U4">
      <xdr:nvSpPr>
        <xdr:cNvPr id="62" name="TextBox 61">
          <a:extLst>
            <a:ext uri="{FF2B5EF4-FFF2-40B4-BE49-F238E27FC236}">
              <a16:creationId xmlns:a16="http://schemas.microsoft.com/office/drawing/2014/main" id="{1E3DC5A9-5212-4B35-B521-67CB37ADD583}"/>
            </a:ext>
          </a:extLst>
        </xdr:cNvPr>
        <xdr:cNvSpPr txBox="1"/>
      </xdr:nvSpPr>
      <xdr:spPr>
        <a:xfrm>
          <a:off x="2181905" y="1323562"/>
          <a:ext cx="1288697" cy="285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4E3C60D-ED16-4A09-B94B-2E29D4337DA9}" type="TxLink">
            <a:rPr lang="en-US" sz="1600" b="1" i="0" u="none" strike="noStrike">
              <a:solidFill>
                <a:schemeClr val="accent1">
                  <a:lumMod val="75000"/>
                </a:schemeClr>
              </a:solidFill>
              <a:latin typeface="Arial Rounded MT Bold" panose="020F0704030504030204" pitchFamily="34" charset="0"/>
              <a:cs typeface="Segoe UI Semibold" panose="020B0702040204020203" pitchFamily="34" charset="0"/>
            </a:rPr>
            <a:pPr/>
            <a:t>$389.1K</a:t>
          </a:fld>
          <a:endParaRPr lang="en-US" sz="1600" b="1" i="0" u="none" strike="noStrike">
            <a:solidFill>
              <a:schemeClr val="accent1">
                <a:lumMod val="75000"/>
              </a:schemeClr>
            </a:solidFill>
            <a:latin typeface="Arial Rounded MT Bold" panose="020F0704030504030204" pitchFamily="34" charset="0"/>
            <a:cs typeface="Segoe UI Semibold" panose="020B0702040204020203" pitchFamily="34" charset="0"/>
          </a:endParaRPr>
        </a:p>
      </xdr:txBody>
    </xdr:sp>
    <xdr:clientData/>
  </xdr:twoCellAnchor>
  <xdr:twoCellAnchor editAs="absolute">
    <xdr:from>
      <xdr:col>7</xdr:col>
      <xdr:colOff>429305</xdr:colOff>
      <xdr:row>7</xdr:row>
      <xdr:rowOff>19841</xdr:rowOff>
    </xdr:from>
    <xdr:to>
      <xdr:col>9</xdr:col>
      <xdr:colOff>491795</xdr:colOff>
      <xdr:row>8</xdr:row>
      <xdr:rowOff>119555</xdr:rowOff>
    </xdr:to>
    <xdr:sp macro="" textlink="'time analysis'!U5">
      <xdr:nvSpPr>
        <xdr:cNvPr id="63" name="TextBox 62">
          <a:extLst>
            <a:ext uri="{FF2B5EF4-FFF2-40B4-BE49-F238E27FC236}">
              <a16:creationId xmlns:a16="http://schemas.microsoft.com/office/drawing/2014/main" id="{8E8B4806-AE76-47AC-8512-098121C73434}"/>
            </a:ext>
          </a:extLst>
        </xdr:cNvPr>
        <xdr:cNvSpPr txBox="1"/>
      </xdr:nvSpPr>
      <xdr:spPr>
        <a:xfrm>
          <a:off x="4721029" y="1322686"/>
          <a:ext cx="1288697" cy="285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AED2677-9D13-448C-93CA-3FA3D92E8A5B}" type="TxLink">
            <a:rPr lang="en-US" sz="1600" b="1" i="0" u="none" strike="noStrike">
              <a:solidFill>
                <a:schemeClr val="accent1">
                  <a:lumMod val="75000"/>
                </a:schemeClr>
              </a:solidFill>
              <a:latin typeface="Arial Rounded MT Bold" panose="020F0704030504030204" pitchFamily="34" charset="0"/>
              <a:ea typeface="+mn-ea"/>
              <a:cs typeface="Segoe UI Semibold" panose="020B0702040204020203" pitchFamily="34" charset="0"/>
            </a:rPr>
            <a:pPr marL="0" indent="0"/>
            <a:t>$158.4K</a:t>
          </a:fld>
          <a:endParaRPr lang="en-US" sz="1600" b="1" i="0" u="none" strike="noStrike">
            <a:solidFill>
              <a:schemeClr val="accent1">
                <a:lumMod val="75000"/>
              </a:schemeClr>
            </a:solidFill>
            <a:latin typeface="Arial Rounded MT Bold" panose="020F0704030504030204" pitchFamily="34" charset="0"/>
            <a:ea typeface="+mn-ea"/>
            <a:cs typeface="Segoe UI Semibold" panose="020B0702040204020203" pitchFamily="34" charset="0"/>
          </a:endParaRPr>
        </a:p>
      </xdr:txBody>
    </xdr:sp>
    <xdr:clientData/>
  </xdr:twoCellAnchor>
  <xdr:twoCellAnchor editAs="absolute">
    <xdr:from>
      <xdr:col>1</xdr:col>
      <xdr:colOff>602156</xdr:colOff>
      <xdr:row>8</xdr:row>
      <xdr:rowOff>109482</xdr:rowOff>
    </xdr:from>
    <xdr:to>
      <xdr:col>9</xdr:col>
      <xdr:colOff>514569</xdr:colOff>
      <xdr:row>8</xdr:row>
      <xdr:rowOff>120430</xdr:rowOff>
    </xdr:to>
    <xdr:cxnSp macro="">
      <xdr:nvCxnSpPr>
        <xdr:cNvPr id="65" name="Straight Connector 64">
          <a:extLst>
            <a:ext uri="{FF2B5EF4-FFF2-40B4-BE49-F238E27FC236}">
              <a16:creationId xmlns:a16="http://schemas.microsoft.com/office/drawing/2014/main" id="{4EEE63E3-DABF-A9D4-3445-7FEC777060A4}"/>
            </a:ext>
          </a:extLst>
        </xdr:cNvPr>
        <xdr:cNvCxnSpPr/>
      </xdr:nvCxnSpPr>
      <xdr:spPr>
        <a:xfrm flipV="1">
          <a:off x="1215259" y="1598448"/>
          <a:ext cx="4817241" cy="10948"/>
        </a:xfrm>
        <a:prstGeom prst="line">
          <a:avLst/>
        </a:prstGeom>
        <a:ln w="28575">
          <a:solidFill>
            <a:schemeClr val="bg2">
              <a:lumMod val="75000"/>
              <a:alpha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546395</xdr:colOff>
      <xdr:row>5</xdr:row>
      <xdr:rowOff>120431</xdr:rowOff>
    </xdr:from>
    <xdr:to>
      <xdr:col>5</xdr:col>
      <xdr:colOff>558362</xdr:colOff>
      <xdr:row>22</xdr:row>
      <xdr:rowOff>147674</xdr:rowOff>
    </xdr:to>
    <xdr:cxnSp macro="">
      <xdr:nvCxnSpPr>
        <xdr:cNvPr id="68" name="Straight Connector 67">
          <a:extLst>
            <a:ext uri="{FF2B5EF4-FFF2-40B4-BE49-F238E27FC236}">
              <a16:creationId xmlns:a16="http://schemas.microsoft.com/office/drawing/2014/main" id="{839F43F3-E4C4-498D-AD87-8FC61F18C0A5}"/>
            </a:ext>
          </a:extLst>
        </xdr:cNvPr>
        <xdr:cNvCxnSpPr/>
      </xdr:nvCxnSpPr>
      <xdr:spPr>
        <a:xfrm flipV="1">
          <a:off x="3573721" y="1006478"/>
          <a:ext cx="11967" cy="3039801"/>
        </a:xfrm>
        <a:prstGeom prst="line">
          <a:avLst/>
        </a:prstGeom>
        <a:ln w="28575">
          <a:solidFill>
            <a:schemeClr val="bg2">
              <a:lumMod val="75000"/>
              <a:alpha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601477</xdr:colOff>
      <xdr:row>19</xdr:row>
      <xdr:rowOff>85835</xdr:rowOff>
    </xdr:from>
    <xdr:to>
      <xdr:col>8</xdr:col>
      <xdr:colOff>10947</xdr:colOff>
      <xdr:row>23</xdr:row>
      <xdr:rowOff>31093</xdr:rowOff>
    </xdr:to>
    <xdr:sp macro="" textlink="">
      <xdr:nvSpPr>
        <xdr:cNvPr id="70" name="TextBox 69">
          <a:extLst>
            <a:ext uri="{FF2B5EF4-FFF2-40B4-BE49-F238E27FC236}">
              <a16:creationId xmlns:a16="http://schemas.microsoft.com/office/drawing/2014/main" id="{BE42C320-7A6E-463B-A0CE-CF2F1367968B}"/>
            </a:ext>
          </a:extLst>
        </xdr:cNvPr>
        <xdr:cNvSpPr txBox="1"/>
      </xdr:nvSpPr>
      <xdr:spPr>
        <a:xfrm>
          <a:off x="3666994" y="3622128"/>
          <a:ext cx="1248781" cy="689741"/>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1">
                  <a:lumMod val="75000"/>
                </a:schemeClr>
              </a:solidFill>
            </a:rPr>
            <a:t>REVENUE BY </a:t>
          </a:r>
          <a:r>
            <a:rPr lang="en-US" sz="1400" b="1">
              <a:solidFill>
                <a:schemeClr val="accent4">
                  <a:lumMod val="75000"/>
                </a:schemeClr>
              </a:solidFill>
            </a:rPr>
            <a:t>WEEKEND</a:t>
          </a:r>
          <a:r>
            <a:rPr lang="en-US" sz="1400" b="1">
              <a:solidFill>
                <a:schemeClr val="accent1">
                  <a:lumMod val="75000"/>
                </a:schemeClr>
              </a:solidFill>
            </a:rPr>
            <a:t> </a:t>
          </a:r>
        </a:p>
      </xdr:txBody>
    </xdr:sp>
    <xdr:clientData/>
  </xdr:twoCellAnchor>
  <xdr:twoCellAnchor editAs="absolute">
    <xdr:from>
      <xdr:col>1</xdr:col>
      <xdr:colOff>545860</xdr:colOff>
      <xdr:row>19</xdr:row>
      <xdr:rowOff>84959</xdr:rowOff>
    </xdr:from>
    <xdr:to>
      <xdr:col>3</xdr:col>
      <xdr:colOff>568434</xdr:colOff>
      <xdr:row>23</xdr:row>
      <xdr:rowOff>30217</xdr:rowOff>
    </xdr:to>
    <xdr:sp macro="" textlink="">
      <xdr:nvSpPr>
        <xdr:cNvPr id="71" name="TextBox 70">
          <a:extLst>
            <a:ext uri="{FF2B5EF4-FFF2-40B4-BE49-F238E27FC236}">
              <a16:creationId xmlns:a16="http://schemas.microsoft.com/office/drawing/2014/main" id="{580E686E-5514-4706-8386-87BB39874D1A}"/>
            </a:ext>
          </a:extLst>
        </xdr:cNvPr>
        <xdr:cNvSpPr txBox="1"/>
      </xdr:nvSpPr>
      <xdr:spPr>
        <a:xfrm>
          <a:off x="1158963" y="3621252"/>
          <a:ext cx="1248781" cy="689741"/>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1">
                  <a:lumMod val="75000"/>
                </a:schemeClr>
              </a:solidFill>
            </a:rPr>
            <a:t>REVENUE BY </a:t>
          </a:r>
          <a:r>
            <a:rPr lang="en-US" sz="1400" b="1">
              <a:solidFill>
                <a:srgbClr val="00A44A"/>
              </a:solidFill>
            </a:rPr>
            <a:t>WEEKEND</a:t>
          </a:r>
          <a:r>
            <a:rPr lang="en-US" sz="1400" b="1">
              <a:solidFill>
                <a:schemeClr val="accent1">
                  <a:lumMod val="75000"/>
                </a:schemeClr>
              </a:solidFill>
            </a:rPr>
            <a:t> </a:t>
          </a:r>
        </a:p>
      </xdr:txBody>
    </xdr:sp>
    <xdr:clientData/>
  </xdr:twoCellAnchor>
  <xdr:twoCellAnchor editAs="absolute">
    <xdr:from>
      <xdr:col>3</xdr:col>
      <xdr:colOff>379306</xdr:colOff>
      <xdr:row>20</xdr:row>
      <xdr:rowOff>62797</xdr:rowOff>
    </xdr:from>
    <xdr:to>
      <xdr:col>5</xdr:col>
      <xdr:colOff>381519</xdr:colOff>
      <xdr:row>22</xdr:row>
      <xdr:rowOff>78133</xdr:rowOff>
    </xdr:to>
    <xdr:sp macro="" textlink="'time analysis'!W4">
      <xdr:nvSpPr>
        <xdr:cNvPr id="72" name="TextBox 71">
          <a:extLst>
            <a:ext uri="{FF2B5EF4-FFF2-40B4-BE49-F238E27FC236}">
              <a16:creationId xmlns:a16="http://schemas.microsoft.com/office/drawing/2014/main" id="{3C3AABAE-0424-4D39-AE88-F562254F3C51}"/>
            </a:ext>
          </a:extLst>
        </xdr:cNvPr>
        <xdr:cNvSpPr txBox="1"/>
      </xdr:nvSpPr>
      <xdr:spPr>
        <a:xfrm>
          <a:off x="2218616" y="3785211"/>
          <a:ext cx="1228420" cy="38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E938A42-4334-47E3-ADEA-A2B73FB1D64F}" type="TxLink">
            <a:rPr lang="en-US" sz="2000" b="1" i="0" u="none" strike="noStrike">
              <a:solidFill>
                <a:srgbClr val="00A44A"/>
              </a:solidFill>
              <a:latin typeface="Arial Black" panose="020B0A04020102020204" pitchFamily="34" charset="0"/>
              <a:ea typeface="+mn-ea"/>
              <a:cs typeface="Calibri"/>
            </a:rPr>
            <a:pPr marL="0" indent="0"/>
            <a:t>71.1%</a:t>
          </a:fld>
          <a:endParaRPr lang="en-US" sz="3600" b="1" i="0" u="none" strike="noStrike">
            <a:solidFill>
              <a:srgbClr val="00A44A"/>
            </a:solidFill>
            <a:latin typeface="Arial Black" panose="020B0A04020102020204" pitchFamily="34" charset="0"/>
            <a:ea typeface="+mn-ea"/>
            <a:cs typeface="Segoe UI Semibold" panose="020B0702040204020203" pitchFamily="34" charset="0"/>
          </a:endParaRPr>
        </a:p>
      </xdr:txBody>
    </xdr:sp>
    <xdr:clientData/>
  </xdr:twoCellAnchor>
  <xdr:twoCellAnchor editAs="absolute">
    <xdr:from>
      <xdr:col>8</xdr:col>
      <xdr:colOff>17136</xdr:colOff>
      <xdr:row>20</xdr:row>
      <xdr:rowOff>61921</xdr:rowOff>
    </xdr:from>
    <xdr:to>
      <xdr:col>10</xdr:col>
      <xdr:colOff>19350</xdr:colOff>
      <xdr:row>22</xdr:row>
      <xdr:rowOff>77257</xdr:rowOff>
    </xdr:to>
    <xdr:sp macro="" textlink="'time analysis'!W5">
      <xdr:nvSpPr>
        <xdr:cNvPr id="73" name="TextBox 72">
          <a:extLst>
            <a:ext uri="{FF2B5EF4-FFF2-40B4-BE49-F238E27FC236}">
              <a16:creationId xmlns:a16="http://schemas.microsoft.com/office/drawing/2014/main" id="{04226599-308E-42BC-A16A-F8DF4D82B96E}"/>
            </a:ext>
          </a:extLst>
        </xdr:cNvPr>
        <xdr:cNvSpPr txBox="1"/>
      </xdr:nvSpPr>
      <xdr:spPr>
        <a:xfrm>
          <a:off x="4921964" y="3784335"/>
          <a:ext cx="1228420" cy="38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3670A64-9DCC-45BE-94D9-0E889045FDB3}" type="TxLink">
            <a:rPr lang="en-US" sz="2000" b="1" i="0" u="none" strike="noStrike">
              <a:solidFill>
                <a:srgbClr val="00A44A"/>
              </a:solidFill>
              <a:latin typeface="Arial Black" panose="020B0A04020102020204" pitchFamily="34" charset="0"/>
              <a:ea typeface="+mn-ea"/>
              <a:cs typeface="Calibri"/>
            </a:rPr>
            <a:pPr marL="0" indent="0"/>
            <a:t>28.9%</a:t>
          </a:fld>
          <a:endParaRPr lang="en-US" sz="2000" b="1" i="0" u="none" strike="noStrike">
            <a:solidFill>
              <a:srgbClr val="00A44A"/>
            </a:solidFill>
            <a:latin typeface="Arial Black" panose="020B0A04020102020204" pitchFamily="34" charset="0"/>
            <a:ea typeface="+mn-ea"/>
            <a:cs typeface="Calibri"/>
          </a:endParaRPr>
        </a:p>
      </xdr:txBody>
    </xdr:sp>
    <xdr:clientData/>
  </xdr:twoCellAnchor>
  <xdr:twoCellAnchor editAs="absolute">
    <xdr:from>
      <xdr:col>1</xdr:col>
      <xdr:colOff>420634</xdr:colOff>
      <xdr:row>22</xdr:row>
      <xdr:rowOff>162473</xdr:rowOff>
    </xdr:from>
    <xdr:to>
      <xdr:col>10</xdr:col>
      <xdr:colOff>142328</xdr:colOff>
      <xdr:row>22</xdr:row>
      <xdr:rowOff>175173</xdr:rowOff>
    </xdr:to>
    <xdr:cxnSp macro="">
      <xdr:nvCxnSpPr>
        <xdr:cNvPr id="74" name="Straight Connector 73">
          <a:extLst>
            <a:ext uri="{FF2B5EF4-FFF2-40B4-BE49-F238E27FC236}">
              <a16:creationId xmlns:a16="http://schemas.microsoft.com/office/drawing/2014/main" id="{D7B12940-7F75-4D21-8C73-4A9D0E6E6B26}"/>
            </a:ext>
          </a:extLst>
        </xdr:cNvPr>
        <xdr:cNvCxnSpPr/>
      </xdr:nvCxnSpPr>
      <xdr:spPr>
        <a:xfrm flipH="1" flipV="1">
          <a:off x="1033737" y="4257128"/>
          <a:ext cx="5239625" cy="12700"/>
        </a:xfrm>
        <a:prstGeom prst="line">
          <a:avLst/>
        </a:prstGeom>
        <a:ln w="28575">
          <a:solidFill>
            <a:schemeClr val="bg2">
              <a:lumMod val="75000"/>
              <a:alpha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88900</xdr:colOff>
      <xdr:row>25</xdr:row>
      <xdr:rowOff>112661</xdr:rowOff>
    </xdr:from>
    <xdr:to>
      <xdr:col>10</xdr:col>
      <xdr:colOff>147675</xdr:colOff>
      <xdr:row>37</xdr:row>
      <xdr:rowOff>143387</xdr:rowOff>
    </xdr:to>
    <xdr:graphicFrame macro="">
      <xdr:nvGraphicFramePr>
        <xdr:cNvPr id="78" name="Chart 77">
          <a:extLst>
            <a:ext uri="{FF2B5EF4-FFF2-40B4-BE49-F238E27FC236}">
              <a16:creationId xmlns:a16="http://schemas.microsoft.com/office/drawing/2014/main" id="{4FEF26EF-D864-49CA-9DA0-0EF1C8CA9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5</xdr:col>
      <xdr:colOff>217715</xdr:colOff>
      <xdr:row>23</xdr:row>
      <xdr:rowOff>40017</xdr:rowOff>
    </xdr:from>
    <xdr:to>
      <xdr:col>10</xdr:col>
      <xdr:colOff>120954</xdr:colOff>
      <xdr:row>25</xdr:row>
      <xdr:rowOff>103372</xdr:rowOff>
    </xdr:to>
    <xdr:sp macro="" textlink="">
      <xdr:nvSpPr>
        <xdr:cNvPr id="80" name="TextBox 79">
          <a:extLst>
            <a:ext uri="{FF2B5EF4-FFF2-40B4-BE49-F238E27FC236}">
              <a16:creationId xmlns:a16="http://schemas.microsoft.com/office/drawing/2014/main" id="{2A3E5439-EC68-4EC7-AE7C-AD47CCC3D298}"/>
            </a:ext>
          </a:extLst>
        </xdr:cNvPr>
        <xdr:cNvSpPr txBox="1"/>
      </xdr:nvSpPr>
      <xdr:spPr>
        <a:xfrm>
          <a:off x="3271763" y="4212874"/>
          <a:ext cx="2957286" cy="426212"/>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1">
                  <a:lumMod val="75000"/>
                </a:schemeClr>
              </a:solidFill>
            </a:rPr>
            <a:t>REVENUE BY </a:t>
          </a:r>
          <a:r>
            <a:rPr lang="en-US" sz="1400" b="1">
              <a:solidFill>
                <a:srgbClr val="00A44A"/>
              </a:solidFill>
            </a:rPr>
            <a:t>QUARTER</a:t>
          </a:r>
          <a:r>
            <a:rPr lang="en-US" sz="1400" b="1" baseline="0">
              <a:solidFill>
                <a:srgbClr val="00A44A"/>
              </a:solidFill>
            </a:rPr>
            <a:t> VS %CHANGE</a:t>
          </a:r>
          <a:endParaRPr lang="en-US" sz="1400" b="1">
            <a:solidFill>
              <a:schemeClr val="accent1">
                <a:lumMod val="75000"/>
              </a:schemeClr>
            </a:solidFill>
          </a:endParaRPr>
        </a:p>
      </xdr:txBody>
    </xdr:sp>
    <xdr:clientData/>
  </xdr:twoCellAnchor>
  <xdr:twoCellAnchor editAs="absolute">
    <xdr:from>
      <xdr:col>5</xdr:col>
      <xdr:colOff>356742</xdr:colOff>
      <xdr:row>37</xdr:row>
      <xdr:rowOff>124957</xdr:rowOff>
    </xdr:from>
    <xdr:to>
      <xdr:col>7</xdr:col>
      <xdr:colOff>1</xdr:colOff>
      <xdr:row>39</xdr:row>
      <xdr:rowOff>81477</xdr:rowOff>
    </xdr:to>
    <xdr:sp macro="" textlink="">
      <xdr:nvSpPr>
        <xdr:cNvPr id="81" name="TextBox 80">
          <a:extLst>
            <a:ext uri="{FF2B5EF4-FFF2-40B4-BE49-F238E27FC236}">
              <a16:creationId xmlns:a16="http://schemas.microsoft.com/office/drawing/2014/main" id="{559C8070-E242-43D3-8B06-F1862D4B3DF6}"/>
            </a:ext>
          </a:extLst>
        </xdr:cNvPr>
        <xdr:cNvSpPr txBox="1"/>
      </xdr:nvSpPr>
      <xdr:spPr>
        <a:xfrm>
          <a:off x="3410790" y="6837814"/>
          <a:ext cx="864878" cy="319377"/>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b="1">
              <a:solidFill>
                <a:schemeClr val="accent1">
                  <a:lumMod val="75000"/>
                </a:schemeClr>
              </a:solidFill>
            </a:rPr>
            <a:t>BELOW AVG</a:t>
          </a:r>
        </a:p>
      </xdr:txBody>
    </xdr:sp>
    <xdr:clientData/>
  </xdr:twoCellAnchor>
  <xdr:twoCellAnchor editAs="absolute">
    <xdr:from>
      <xdr:col>7</xdr:col>
      <xdr:colOff>88949</xdr:colOff>
      <xdr:row>37</xdr:row>
      <xdr:rowOff>121151</xdr:rowOff>
    </xdr:from>
    <xdr:to>
      <xdr:col>8</xdr:col>
      <xdr:colOff>338667</xdr:colOff>
      <xdr:row>39</xdr:row>
      <xdr:rowOff>77671</xdr:rowOff>
    </xdr:to>
    <xdr:sp macro="" textlink="">
      <xdr:nvSpPr>
        <xdr:cNvPr id="82" name="TextBox 81">
          <a:extLst>
            <a:ext uri="{FF2B5EF4-FFF2-40B4-BE49-F238E27FC236}">
              <a16:creationId xmlns:a16="http://schemas.microsoft.com/office/drawing/2014/main" id="{020FA577-D7C4-4431-B212-5A6F9EA4AEB8}"/>
            </a:ext>
          </a:extLst>
        </xdr:cNvPr>
        <xdr:cNvSpPr txBox="1"/>
      </xdr:nvSpPr>
      <xdr:spPr>
        <a:xfrm>
          <a:off x="4364616" y="6834008"/>
          <a:ext cx="860527" cy="319377"/>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solidFill>
                <a:schemeClr val="accent1">
                  <a:lumMod val="75000"/>
                </a:schemeClr>
              </a:solidFill>
            </a:rPr>
            <a:t>ABOVE</a:t>
          </a:r>
          <a:r>
            <a:rPr lang="en-US" sz="1100" b="1">
              <a:solidFill>
                <a:schemeClr val="accent1">
                  <a:lumMod val="75000"/>
                </a:schemeClr>
              </a:solidFill>
            </a:rPr>
            <a:t> AVG</a:t>
          </a:r>
        </a:p>
      </xdr:txBody>
    </xdr:sp>
    <xdr:clientData/>
  </xdr:twoCellAnchor>
  <xdr:twoCellAnchor editAs="absolute">
    <xdr:from>
      <xdr:col>5</xdr:col>
      <xdr:colOff>265460</xdr:colOff>
      <xdr:row>38</xdr:row>
      <xdr:rowOff>43126</xdr:rowOff>
    </xdr:from>
    <xdr:to>
      <xdr:col>5</xdr:col>
      <xdr:colOff>423061</xdr:colOff>
      <xdr:row>39</xdr:row>
      <xdr:rowOff>3439</xdr:rowOff>
    </xdr:to>
    <xdr:sp macro="" textlink="">
      <xdr:nvSpPr>
        <xdr:cNvPr id="83" name="Arrow: Down 82">
          <a:extLst>
            <a:ext uri="{FF2B5EF4-FFF2-40B4-BE49-F238E27FC236}">
              <a16:creationId xmlns:a16="http://schemas.microsoft.com/office/drawing/2014/main" id="{CDFE3479-5600-FD08-08C6-A7B2DBC58CB7}"/>
            </a:ext>
          </a:extLst>
        </xdr:cNvPr>
        <xdr:cNvSpPr/>
      </xdr:nvSpPr>
      <xdr:spPr>
        <a:xfrm>
          <a:off x="3319508" y="6937412"/>
          <a:ext cx="157601" cy="141741"/>
        </a:xfrm>
        <a:prstGeom prst="downArrow">
          <a:avLst>
            <a:gd name="adj1" fmla="val 38889"/>
            <a:gd name="adj2" fmla="val 47222"/>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588056</xdr:colOff>
      <xdr:row>38</xdr:row>
      <xdr:rowOff>3299</xdr:rowOff>
    </xdr:from>
    <xdr:to>
      <xdr:col>7</xdr:col>
      <xdr:colOff>134845</xdr:colOff>
      <xdr:row>38</xdr:row>
      <xdr:rowOff>154979</xdr:rowOff>
    </xdr:to>
    <xdr:sp macro="" textlink="">
      <xdr:nvSpPr>
        <xdr:cNvPr id="84" name="Arrow: Down 83">
          <a:extLst>
            <a:ext uri="{FF2B5EF4-FFF2-40B4-BE49-F238E27FC236}">
              <a16:creationId xmlns:a16="http://schemas.microsoft.com/office/drawing/2014/main" id="{FED85A54-2946-4450-8863-88085B4A3D37}"/>
            </a:ext>
          </a:extLst>
        </xdr:cNvPr>
        <xdr:cNvSpPr/>
      </xdr:nvSpPr>
      <xdr:spPr>
        <a:xfrm rot="10800000">
          <a:off x="4252913" y="6897585"/>
          <a:ext cx="157599" cy="151680"/>
        </a:xfrm>
        <a:prstGeom prst="downArrow">
          <a:avLst>
            <a:gd name="adj1" fmla="val 38889"/>
            <a:gd name="adj2" fmla="val 47222"/>
          </a:avLst>
        </a:prstGeom>
        <a:solidFill>
          <a:srgbClr val="00A4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editAs="absolute">
    <xdr:from>
      <xdr:col>8</xdr:col>
      <xdr:colOff>326573</xdr:colOff>
      <xdr:row>38</xdr:row>
      <xdr:rowOff>108857</xdr:rowOff>
    </xdr:from>
    <xdr:to>
      <xdr:col>8</xdr:col>
      <xdr:colOff>554648</xdr:colOff>
      <xdr:row>38</xdr:row>
      <xdr:rowOff>109573</xdr:rowOff>
    </xdr:to>
    <xdr:cxnSp macro="">
      <xdr:nvCxnSpPr>
        <xdr:cNvPr id="86" name="Straight Connector 85">
          <a:extLst>
            <a:ext uri="{FF2B5EF4-FFF2-40B4-BE49-F238E27FC236}">
              <a16:creationId xmlns:a16="http://schemas.microsoft.com/office/drawing/2014/main" id="{497C2BD4-7523-584E-0D0A-650D30A9C898}"/>
            </a:ext>
          </a:extLst>
        </xdr:cNvPr>
        <xdr:cNvCxnSpPr/>
      </xdr:nvCxnSpPr>
      <xdr:spPr>
        <a:xfrm>
          <a:off x="5213049" y="7003143"/>
          <a:ext cx="228075" cy="716"/>
        </a:xfrm>
        <a:prstGeom prst="line">
          <a:avLst/>
        </a:prstGeom>
        <a:ln w="25400">
          <a:solidFill>
            <a:schemeClr val="bg2">
              <a:lumMod val="50000"/>
              <a:alpha val="68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521643</xdr:colOff>
      <xdr:row>37</xdr:row>
      <xdr:rowOff>127548</xdr:rowOff>
    </xdr:from>
    <xdr:to>
      <xdr:col>10</xdr:col>
      <xdr:colOff>441938</xdr:colOff>
      <xdr:row>39</xdr:row>
      <xdr:rowOff>89821</xdr:rowOff>
    </xdr:to>
    <xdr:sp macro="" textlink="">
      <xdr:nvSpPr>
        <xdr:cNvPr id="87" name="TextBox 86">
          <a:extLst>
            <a:ext uri="{FF2B5EF4-FFF2-40B4-BE49-F238E27FC236}">
              <a16:creationId xmlns:a16="http://schemas.microsoft.com/office/drawing/2014/main" id="{5FDAE077-309B-42A2-8C5E-6C0F60CCEF95}"/>
            </a:ext>
          </a:extLst>
        </xdr:cNvPr>
        <xdr:cNvSpPr txBox="1"/>
      </xdr:nvSpPr>
      <xdr:spPr>
        <a:xfrm>
          <a:off x="5408119" y="6840405"/>
          <a:ext cx="1141914" cy="325130"/>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solidFill>
                <a:schemeClr val="accent1">
                  <a:lumMod val="75000"/>
                </a:schemeClr>
              </a:solidFill>
            </a:rPr>
            <a:t>AVERAGE</a:t>
          </a:r>
          <a:r>
            <a:rPr lang="en-US" sz="1050" b="1" baseline="0">
              <a:solidFill>
                <a:schemeClr val="accent1">
                  <a:lumMod val="75000"/>
                </a:schemeClr>
              </a:solidFill>
            </a:rPr>
            <a:t> LINE</a:t>
          </a:r>
          <a:endParaRPr lang="en-US" sz="1050" b="1">
            <a:solidFill>
              <a:schemeClr val="accent1">
                <a:lumMod val="75000"/>
              </a:schemeClr>
            </a:solidFill>
          </a:endParaRPr>
        </a:p>
      </xdr:txBody>
    </xdr:sp>
    <xdr:clientData/>
  </xdr:twoCellAnchor>
  <xdr:twoCellAnchor editAs="absolute">
    <xdr:from>
      <xdr:col>5</xdr:col>
      <xdr:colOff>247951</xdr:colOff>
      <xdr:row>39</xdr:row>
      <xdr:rowOff>22025</xdr:rowOff>
    </xdr:from>
    <xdr:to>
      <xdr:col>10</xdr:col>
      <xdr:colOff>378671</xdr:colOff>
      <xdr:row>42</xdr:row>
      <xdr:rowOff>99036</xdr:rowOff>
    </xdr:to>
    <xdr:sp macro="" textlink="'time analysis'!$AN$17">
      <xdr:nvSpPr>
        <xdr:cNvPr id="88" name="TextBox 87">
          <a:extLst>
            <a:ext uri="{FF2B5EF4-FFF2-40B4-BE49-F238E27FC236}">
              <a16:creationId xmlns:a16="http://schemas.microsoft.com/office/drawing/2014/main" id="{54DFCCC1-63D0-4DFA-B655-9647EB527000}"/>
            </a:ext>
          </a:extLst>
        </xdr:cNvPr>
        <xdr:cNvSpPr txBox="1"/>
      </xdr:nvSpPr>
      <xdr:spPr>
        <a:xfrm>
          <a:off x="3301999" y="7097739"/>
          <a:ext cx="3184767" cy="621297"/>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77627CE-7B8D-4106-9AF3-5F4DA771B3A7}" type="TxLink">
            <a:rPr lang="en-US" sz="1100" b="1" i="0" u="none" strike="noStrike">
              <a:solidFill>
                <a:srgbClr val="00A44A"/>
              </a:solidFill>
              <a:latin typeface="Arial Black" panose="020B0A04020102020204" pitchFamily="34" charset="0"/>
              <a:cs typeface="Calibri"/>
            </a:rPr>
            <a:pPr/>
            <a:t>The Line in the chart indicates $136,869 Average Revenue</a:t>
          </a:fld>
          <a:endParaRPr lang="en-US" sz="1100" b="1">
            <a:solidFill>
              <a:srgbClr val="00A44A"/>
            </a:solidFill>
            <a:latin typeface="Arial Black" panose="020B0A04020102020204" pitchFamily="34" charset="0"/>
          </a:endParaRPr>
        </a:p>
      </xdr:txBody>
    </xdr:sp>
    <xdr:clientData/>
  </xdr:twoCellAnchor>
  <xdr:twoCellAnchor editAs="absolute">
    <xdr:from>
      <xdr:col>1</xdr:col>
      <xdr:colOff>508000</xdr:colOff>
      <xdr:row>23</xdr:row>
      <xdr:rowOff>62347</xdr:rowOff>
    </xdr:from>
    <xdr:to>
      <xdr:col>5</xdr:col>
      <xdr:colOff>299357</xdr:colOff>
      <xdr:row>40</xdr:row>
      <xdr:rowOff>0</xdr:rowOff>
    </xdr:to>
    <mc:AlternateContent xmlns:mc="http://schemas.openxmlformats.org/markup-compatibility/2006" xmlns:a14="http://schemas.microsoft.com/office/drawing/2010/main">
      <mc:Choice Requires="a14">
        <xdr:graphicFrame macro="">
          <xdr:nvGraphicFramePr>
            <xdr:cNvPr id="8" name="Store Name 1">
              <a:extLst>
                <a:ext uri="{FF2B5EF4-FFF2-40B4-BE49-F238E27FC236}">
                  <a16:creationId xmlns:a16="http://schemas.microsoft.com/office/drawing/2014/main" id="{5BEAABE7-74E6-4B40-8EAC-B4A0ED4EFA6F}"/>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119481" y="4389754"/>
              <a:ext cx="2237283" cy="3136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355600</xdr:colOff>
          <xdr:row>2</xdr:row>
          <xdr:rowOff>44450</xdr:rowOff>
        </xdr:from>
        <xdr:to>
          <xdr:col>7</xdr:col>
          <xdr:colOff>101600</xdr:colOff>
          <xdr:row>4</xdr:row>
          <xdr:rowOff>19050</xdr:rowOff>
        </xdr:to>
        <xdr:sp macro="" textlink="">
          <xdr:nvSpPr>
            <xdr:cNvPr id="8195" name="Option Button 3" hidden="1">
              <a:extLst>
                <a:ext uri="{63B3BB69-23CF-44E3-9099-C40C66FF867C}">
                  <a14:compatExt spid="_x0000_s8195"/>
                </a:ext>
                <a:ext uri="{FF2B5EF4-FFF2-40B4-BE49-F238E27FC236}">
                  <a16:creationId xmlns:a16="http://schemas.microsoft.com/office/drawing/2014/main" id="{00000000-0008-0000-04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768350</xdr:colOff>
          <xdr:row>2</xdr:row>
          <xdr:rowOff>44450</xdr:rowOff>
        </xdr:from>
        <xdr:to>
          <xdr:col>7</xdr:col>
          <xdr:colOff>508000</xdr:colOff>
          <xdr:row>4</xdr:row>
          <xdr:rowOff>12700</xdr:rowOff>
        </xdr:to>
        <xdr:sp macro="" textlink="">
          <xdr:nvSpPr>
            <xdr:cNvPr id="8196" name="Option Button 4" hidden="1">
              <a:extLst>
                <a:ext uri="{63B3BB69-23CF-44E3-9099-C40C66FF867C}">
                  <a14:compatExt spid="_x0000_s8196"/>
                </a:ext>
                <a:ext uri="{FF2B5EF4-FFF2-40B4-BE49-F238E27FC236}">
                  <a16:creationId xmlns:a16="http://schemas.microsoft.com/office/drawing/2014/main" id="{00000000-0008-0000-04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xdr:col>
      <xdr:colOff>295275</xdr:colOff>
      <xdr:row>23</xdr:row>
      <xdr:rowOff>127000</xdr:rowOff>
    </xdr:from>
    <xdr:to>
      <xdr:col>6</xdr:col>
      <xdr:colOff>723900</xdr:colOff>
      <xdr:row>30</xdr:row>
      <xdr:rowOff>57150</xdr:rowOff>
    </xdr:to>
    <xdr:graphicFrame macro="">
      <xdr:nvGraphicFramePr>
        <xdr:cNvPr id="2" name="Chart 1">
          <a:extLst>
            <a:ext uri="{FF2B5EF4-FFF2-40B4-BE49-F238E27FC236}">
              <a16:creationId xmlns:a16="http://schemas.microsoft.com/office/drawing/2014/main" id="{B9B1E333-1532-97BF-194A-F088CCA88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82479</xdr:colOff>
      <xdr:row>10</xdr:row>
      <xdr:rowOff>167873</xdr:rowOff>
    </xdr:from>
    <xdr:to>
      <xdr:col>20</xdr:col>
      <xdr:colOff>985345</xdr:colOff>
      <xdr:row>18</xdr:row>
      <xdr:rowOff>72404</xdr:rowOff>
    </xdr:to>
    <xdr:graphicFrame macro="">
      <xdr:nvGraphicFramePr>
        <xdr:cNvPr id="3" name="Chart 2">
          <a:extLst>
            <a:ext uri="{FF2B5EF4-FFF2-40B4-BE49-F238E27FC236}">
              <a16:creationId xmlns:a16="http://schemas.microsoft.com/office/drawing/2014/main" id="{A0A06DEE-00DF-E784-CE72-DDDA31B88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199258</xdr:colOff>
      <xdr:row>8</xdr:row>
      <xdr:rowOff>160575</xdr:rowOff>
    </xdr:from>
    <xdr:to>
      <xdr:col>24</xdr:col>
      <xdr:colOff>29196</xdr:colOff>
      <xdr:row>19</xdr:row>
      <xdr:rowOff>116782</xdr:rowOff>
    </xdr:to>
    <xdr:graphicFrame macro="">
      <xdr:nvGraphicFramePr>
        <xdr:cNvPr id="4" name="Chart 3">
          <a:extLst>
            <a:ext uri="{FF2B5EF4-FFF2-40B4-BE49-F238E27FC236}">
              <a16:creationId xmlns:a16="http://schemas.microsoft.com/office/drawing/2014/main" id="{16A8F531-BBDE-843D-60C6-D7A611828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161192</xdr:colOff>
      <xdr:row>18</xdr:row>
      <xdr:rowOff>97691</xdr:rowOff>
    </xdr:from>
    <xdr:to>
      <xdr:col>32</xdr:col>
      <xdr:colOff>356576</xdr:colOff>
      <xdr:row>28</xdr:row>
      <xdr:rowOff>121138</xdr:rowOff>
    </xdr:to>
    <xdr:graphicFrame macro="">
      <xdr:nvGraphicFramePr>
        <xdr:cNvPr id="5" name="Chart 4">
          <a:extLst>
            <a:ext uri="{FF2B5EF4-FFF2-40B4-BE49-F238E27FC236}">
              <a16:creationId xmlns:a16="http://schemas.microsoft.com/office/drawing/2014/main" id="{67B14E8D-39B1-81C6-9D7D-0DCC8D82B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283308</xdr:colOff>
      <xdr:row>32</xdr:row>
      <xdr:rowOff>175845</xdr:rowOff>
    </xdr:from>
    <xdr:to>
      <xdr:col>32</xdr:col>
      <xdr:colOff>429846</xdr:colOff>
      <xdr:row>42</xdr:row>
      <xdr:rowOff>68384</xdr:rowOff>
    </xdr:to>
    <xdr:graphicFrame macro="">
      <xdr:nvGraphicFramePr>
        <xdr:cNvPr id="6" name="Chart 5">
          <a:extLst>
            <a:ext uri="{FF2B5EF4-FFF2-40B4-BE49-F238E27FC236}">
              <a16:creationId xmlns:a16="http://schemas.microsoft.com/office/drawing/2014/main" id="{0672A5F4-6FDF-DB8F-C183-531A717B3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119946</xdr:colOff>
      <xdr:row>13</xdr:row>
      <xdr:rowOff>169333</xdr:rowOff>
    </xdr:from>
    <xdr:to>
      <xdr:col>44</xdr:col>
      <xdr:colOff>635000</xdr:colOff>
      <xdr:row>28</xdr:row>
      <xdr:rowOff>73377</xdr:rowOff>
    </xdr:to>
    <xdr:graphicFrame macro="">
      <xdr:nvGraphicFramePr>
        <xdr:cNvPr id="7" name="Chart 6">
          <a:extLst>
            <a:ext uri="{FF2B5EF4-FFF2-40B4-BE49-F238E27FC236}">
              <a16:creationId xmlns:a16="http://schemas.microsoft.com/office/drawing/2014/main" id="{E17B8471-E93E-9D44-9189-18B326DFD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635000</xdr:colOff>
      <xdr:row>17</xdr:row>
      <xdr:rowOff>181427</xdr:rowOff>
    </xdr:from>
    <xdr:to>
      <xdr:col>46</xdr:col>
      <xdr:colOff>485322</xdr:colOff>
      <xdr:row>29</xdr:row>
      <xdr:rowOff>97063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133E2C9-CA8A-DFBE-F41D-F4F9613733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502600" y="3311977"/>
              <a:ext cx="2022022" cy="21254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482600</xdr:colOff>
      <xdr:row>16</xdr:row>
      <xdr:rowOff>169636</xdr:rowOff>
    </xdr:from>
    <xdr:to>
      <xdr:col>13</xdr:col>
      <xdr:colOff>88900</xdr:colOff>
      <xdr:row>30</xdr:row>
      <xdr:rowOff>153761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9714E92-FDF6-684F-96FF-C15D1C7AAF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20100" y="307249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522431</xdr:colOff>
      <xdr:row>15</xdr:row>
      <xdr:rowOff>150091</xdr:rowOff>
    </xdr:from>
    <xdr:to>
      <xdr:col>5</xdr:col>
      <xdr:colOff>233281</xdr:colOff>
      <xdr:row>35</xdr:row>
      <xdr:rowOff>146870</xdr:rowOff>
    </xdr:to>
    <mc:AlternateContent xmlns:mc="http://schemas.openxmlformats.org/markup-compatibility/2006" xmlns:a14="http://schemas.microsoft.com/office/drawing/2010/main">
      <mc:Choice Requires="a14">
        <xdr:graphicFrame macro="">
          <xdr:nvGraphicFramePr>
            <xdr:cNvPr id="3" name="Month 3">
              <a:extLst>
                <a:ext uri="{FF2B5EF4-FFF2-40B4-BE49-F238E27FC236}">
                  <a16:creationId xmlns:a16="http://schemas.microsoft.com/office/drawing/2014/main" id="{390D80BA-27ED-47F9-B76B-99BE589967FE}"/>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055047" y="2918986"/>
              <a:ext cx="1834634" cy="2507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28864</xdr:colOff>
      <xdr:row>16</xdr:row>
      <xdr:rowOff>66579</xdr:rowOff>
    </xdr:from>
    <xdr:to>
      <xdr:col>3</xdr:col>
      <xdr:colOff>0</xdr:colOff>
      <xdr:row>29</xdr:row>
      <xdr:rowOff>86591</xdr:rowOff>
    </xdr:to>
    <xdr:graphicFrame macro="">
      <xdr:nvGraphicFramePr>
        <xdr:cNvPr id="4" name="Chart 3">
          <a:extLst>
            <a:ext uri="{FF2B5EF4-FFF2-40B4-BE49-F238E27FC236}">
              <a16:creationId xmlns:a16="http://schemas.microsoft.com/office/drawing/2014/main" id="{ACCE2E04-21D1-162F-6796-6740E5C6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114492</xdr:colOff>
      <xdr:row>4</xdr:row>
      <xdr:rowOff>134697</xdr:rowOff>
    </xdr:from>
    <xdr:to>
      <xdr:col>16</xdr:col>
      <xdr:colOff>567652</xdr:colOff>
      <xdr:row>15</xdr:row>
      <xdr:rowOff>154517</xdr:rowOff>
    </xdr:to>
    <xdr:graphicFrame macro="">
      <xdr:nvGraphicFramePr>
        <xdr:cNvPr id="6" name="Chart 5">
          <a:extLst>
            <a:ext uri="{FF2B5EF4-FFF2-40B4-BE49-F238E27FC236}">
              <a16:creationId xmlns:a16="http://schemas.microsoft.com/office/drawing/2014/main" id="{364B4435-0531-C616-29B4-434695428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846745</xdr:colOff>
      <xdr:row>34</xdr:row>
      <xdr:rowOff>99376</xdr:rowOff>
    </xdr:from>
    <xdr:to>
      <xdr:col>3</xdr:col>
      <xdr:colOff>344028</xdr:colOff>
      <xdr:row>54</xdr:row>
      <xdr:rowOff>121984</xdr:rowOff>
    </xdr:to>
    <mc:AlternateContent xmlns:mc="http://schemas.openxmlformats.org/markup-compatibility/2006" xmlns:a14="http://schemas.microsoft.com/office/drawing/2010/main">
      <mc:Choice Requires="a14">
        <xdr:graphicFrame macro="">
          <xdr:nvGraphicFramePr>
            <xdr:cNvPr id="7" name="Store Name">
              <a:extLst>
                <a:ext uri="{FF2B5EF4-FFF2-40B4-BE49-F238E27FC236}">
                  <a16:creationId xmlns:a16="http://schemas.microsoft.com/office/drawing/2014/main" id="{650B7A3F-5FE0-9AE0-C6F2-D74F4770B4B7}"/>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846745" y="5247109"/>
              <a:ext cx="1825616" cy="2562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105834</xdr:colOff>
      <xdr:row>17</xdr:row>
      <xdr:rowOff>48107</xdr:rowOff>
    </xdr:from>
    <xdr:to>
      <xdr:col>42</xdr:col>
      <xdr:colOff>375227</xdr:colOff>
      <xdr:row>35</xdr:row>
      <xdr:rowOff>103218</xdr:rowOff>
    </xdr:to>
    <xdr:graphicFrame macro="">
      <xdr:nvGraphicFramePr>
        <xdr:cNvPr id="9" name="Chart 8">
          <a:extLst>
            <a:ext uri="{FF2B5EF4-FFF2-40B4-BE49-F238E27FC236}">
              <a16:creationId xmlns:a16="http://schemas.microsoft.com/office/drawing/2014/main" id="{1FE317B1-C585-A6DC-E2D3-339E6813E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67592594" backgroundQuery="1" createdVersion="8" refreshedVersion="8" minRefreshableVersion="3" recordCount="0" supportSubquery="1" supportAdvancedDrill="1" xr:uid="{E242D587-B370-4C6A-8D28-380878AF7BFF}">
  <cacheSource type="external" connectionId="8"/>
  <cacheFields count="4">
    <cacheField name="[Measures].[Total revenue]" caption="Total revenue" numFmtId="0" hierarchy="38" level="32767"/>
    <cacheField name="[Measures].[Total target]" caption="Total target" numFmtId="0" hierarchy="48" level="32767"/>
    <cacheField name="[sales_persons_table].[Store Name].[Store Name]" caption="Store Name" numFmtId="0" hierarchy="32" level="1">
      <sharedItems count="10">
        <s v="Barron-Fleming"/>
        <s v="Berg-Trujillo"/>
        <s v="Lee-Myers"/>
        <s v="Lopez"/>
        <s v="Martinez"/>
        <s v="Miller"/>
        <s v="Myers-Lopez"/>
        <s v="Novak PLC"/>
        <s v="Thomas"/>
        <s v="Valdez"/>
      </sharedItems>
    </cacheField>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2"/>
      </fieldsUsage>
    </cacheHierarchy>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oneField="1">
      <fieldsUsage count="1">
        <fieldUsage x="1"/>
      </fieldsUsage>
    </cacheHierarchy>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68634257" backgroundQuery="1" createdVersion="8" refreshedVersion="8" minRefreshableVersion="3" recordCount="0" supportSubquery="1" supportAdvancedDrill="1" xr:uid="{DF171FA8-8D94-4004-AB2F-447F337F114B}">
  <cacheSource type="external" connectionId="8"/>
  <cacheFields count="12">
    <cacheField name="[Measures].[Total revenue]" caption="Total revenue" numFmtId="0" hierarchy="38" level="32767"/>
    <cacheField name="[Measures].[COGS]" caption="COGS" numFmtId="0" hierarchy="39" level="32767"/>
    <cacheField name="[Measures].[Profit margin]" caption="Profit margin" numFmtId="0" hierarchy="40" level="32767"/>
    <cacheField name="[Measures].[% Of profit margin]" caption="% Of profit margin" numFmtId="0" hierarchy="41" level="32767"/>
    <cacheField name="[Measures].[#Transactions]" caption="#Transactions" numFmtId="0" hierarchy="42" level="32767"/>
    <cacheField name="[Measures].[Total refund]" caption="Total refund" numFmtId="0" hierarchy="43" level="32767"/>
    <cacheField name="[Measures].[Refund rate]" caption="Refund rate" numFmtId="0" hierarchy="44" level="32767"/>
    <cacheField name="[Measures].[Total products]" caption="Total products" numFmtId="0" hierarchy="45" level="32767"/>
    <cacheField name="[Measures].[Qty sold]" caption="Qty sold" numFmtId="0" hierarchy="46" level="32767"/>
    <cacheField name="[Measures].[Qty returend]" caption="Qty returend" numFmtId="0" hierarchy="47" level="32767"/>
    <cacheField name="[Measures].[Total target]" caption="Total target" numFmtId="0" hierarchy="48"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1"/>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oneField="1">
      <fieldsUsage count="1">
        <fieldUsage x="1"/>
      </fieldsUsage>
    </cacheHierarchy>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oneField="1">
      <fieldsUsage count="1">
        <fieldUsage x="3"/>
      </fieldsUsage>
    </cacheHierarchy>
    <cacheHierarchy uniqueName="[Measures].[#Transactions]" caption="#Transactions" measure="1" displayFolder="" measureGroup="Query1" count="0" oneField="1">
      <fieldsUsage count="1">
        <fieldUsage x="4"/>
      </fieldsUsage>
    </cacheHierarchy>
    <cacheHierarchy uniqueName="[Measures].[Total refund]" caption="Total refund" measure="1" displayFolder="" measureGroup="Query1" count="0" oneField="1">
      <fieldsUsage count="1">
        <fieldUsage x="5"/>
      </fieldsUsage>
    </cacheHierarchy>
    <cacheHierarchy uniqueName="[Measures].[Refund rate]" caption="Refund rate" measure="1" displayFolder="" measureGroup="Query1" count="0" oneField="1">
      <fieldsUsage count="1">
        <fieldUsage x="6"/>
      </fieldsUsage>
    </cacheHierarchy>
    <cacheHierarchy uniqueName="[Measures].[Total products]" caption="Total products" measure="1" displayFolder="" measureGroup="Query1" count="0" oneField="1">
      <fieldsUsage count="1">
        <fieldUsage x="7"/>
      </fieldsUsage>
    </cacheHierarchy>
    <cacheHierarchy uniqueName="[Measures].[Qty sold]" caption="Qty sold" measure="1" displayFolder="" measureGroup="Query1" count="0" oneField="1">
      <fieldsUsage count="1">
        <fieldUsage x="8"/>
      </fieldsUsage>
    </cacheHierarchy>
    <cacheHierarchy uniqueName="[Measures].[Qty returend]" caption="Qty returend" measure="1" displayFolder="" measureGroup="Query1" count="0" oneField="1">
      <fieldsUsage count="1">
        <fieldUsage x="9"/>
      </fieldsUsage>
    </cacheHierarchy>
    <cacheHierarchy uniqueName="[Measures].[Total target]" caption="Total target" measure="1" displayFolder="" measureGroup="Query1" count="0" oneField="1">
      <fieldsUsage count="1">
        <fieldUsage x="10"/>
      </fieldsUsage>
    </cacheHierarchy>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69560188" backgroundQuery="1" createdVersion="8" refreshedVersion="8" minRefreshableVersion="3" recordCount="0" supportSubquery="1" supportAdvancedDrill="1" xr:uid="{C21A6A2E-517F-43D0-9C1A-23F1BADA5121}">
  <cacheSource type="external" connectionId="8"/>
  <cacheFields count="2">
    <cacheField name="[Measures].[Total revenue]" caption="Total revenue" numFmtId="0" hierarchy="38" level="32767"/>
    <cacheField name="[Date].[Month].[Month]" caption="Month" numFmtId="0" hierarchy="2" level="1">
      <sharedItems count="12">
        <s v="Jan"/>
        <s v="Feb"/>
        <s v="Mar"/>
        <s v="Apr"/>
        <s v="May"/>
        <s v="Jun"/>
        <s v="Jul"/>
        <s v="Aug"/>
        <s v="Sep"/>
        <s v="Oct"/>
        <s v="Nov"/>
        <s v="Dec"/>
      </sharedItems>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0717596" backgroundQuery="1" createdVersion="8" refreshedVersion="8" minRefreshableVersion="3" recordCount="0" supportSubquery="1" supportAdvancedDrill="1" xr:uid="{81DAE841-5875-4DDE-93E8-6494614DDAAC}">
  <cacheSource type="external" connectionId="8"/>
  <cacheFields count="3">
    <cacheField name="[Dim_customer].[Full name].[Full name]" caption="Full name" numFmtId="0" hierarchy="9" level="1">
      <sharedItems count="5">
        <s v="JohnBrown"/>
        <s v="JudithSimmons"/>
        <s v="KristineBarrett"/>
        <s v="LauraGross"/>
        <s v="PaulNoble"/>
      </sharedItems>
    </cacheField>
    <cacheField name="[Measures].[Profit margin]" caption="Profit margin" numFmtId="0" hierarchy="40"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2"/>
      </fieldsUsage>
    </cacheHierarchy>
    <cacheHierarchy uniqueName="[Date].[Day Name]" caption="Day Name" attribute="1" defaultMemberUniqueName="[Date].[Day Name].[All]" allUniqueName="[Date].[Day Name].[All]" dimensionUniqueName="[Date]" displayFolder="" count="2" memberValueDatatype="130" unbalanced="0"/>
    <cacheHierarchy uniqueName="[Date].[Weekdaynum]" caption="Weekdaynum" attribute="1" defaultMemberUniqueName="[Date].[Weekdaynum].[All]" allUniqueName="[Date].[Weekdaynum].[All]" dimensionUniqueName="[Date]" displayFolder="" count="2" memberValueDatatype="20" unbalanced="0"/>
    <cacheHierarchy uniqueName="[Date].[Weektype]" caption="Weektype" attribute="1" defaultMemberUniqueName="[Date].[Weektype].[All]" allUniqueName="[Date].[Weektyp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Monthnum]" caption="Monthnum" attribute="1" defaultMemberUniqueName="[Date].[Monthnum].[All]" allUniqueName="[Date].[Monthnum].[All]" dimensionUniqueName="[Date]" displayFolder="" count="2" memberValueDatatype="20" unbalanced="0"/>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cacheHierarchy uniqueName="[Dim_customer].[Customer age]" caption="Customer age" attribute="1" defaultMemberUniqueName="[Dim_customer].[Customer age].[All]" allUniqueName="[Dim_customer].[Customer 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2" memberValueDatatype="5" unbalanced="0"/>
    <cacheHierarchy uniqueName="[dim_products].[Cost Price]" caption="Cost Price" attribute="1" defaultMemberUniqueName="[dim_products].[Cost Price].[All]" allUniqueName="[dim_products].[Cost Price].[All]" dimensionUniqueName="[dim_products]" displayFolder="" count="2" memberValueDatatype="5" unbalanced="0"/>
    <cacheHierarchy uniqueName="[fact_table].[Product ID]" caption="Product ID" attribute="1" defaultMemberUniqueName="[fact_table].[Product ID].[All]" allUniqueName="[fact_table].[Product ID].[All]" dimensionUniqueName="[fact_table]" displayFolder="" count="2" memberValueDatatype="20" unbalanced="0"/>
    <cacheHierarchy uniqueName="[fact_table].[Customer ID]" caption="Customer ID" attribute="1" defaultMemberUniqueName="[fact_table].[Customer ID].[All]" allUniqueName="[fact_table].[Customer ID].[All]" dimensionUniqueName="[fact_table]" displayFolder="" count="2" memberValueDatatype="20" unbalanced="0"/>
    <cacheHierarchy uniqueName="[fact_table].[Sales Person ID]" caption="Sales Person ID" attribute="1" defaultMemberUniqueName="[fact_table].[Sales Person ID].[All]" allUniqueName="[fact_table].[Sales Person ID].[All]" dimensionUniqueName="[fact_table]" displayFolder="" count="2" memberValueDatatype="20" unbalanced="0"/>
    <cacheHierarchy uniqueName="[fact_table].[Quantity Sold]" caption="Quantity Sold" attribute="1" defaultMemberUniqueName="[fact_table].[Quantity Sold].[All]" allUniqueName="[fact_table].[Quantity Sold].[All]" dimensionUniqueName="[fact_table]" displayFolder="" count="2" memberValueDatatype="20" unbalanced="0"/>
    <cacheHierarchy uniqueName="[fact_table].[Payment Method]" caption="Payment Method" attribute="1" defaultMemberUniqueName="[fact_table].[Payment Method].[All]" allUniqueName="[fact_table].[Payment Method].[All]" dimensionUniqueName="[fact_table]" displayFolder="" count="2" memberValueDatatype="130" unbalanced="0"/>
    <cacheHierarchy uniqueName="[fact_table].[Quantity Returned]" caption="Quantity Returned" attribute="1" defaultMemberUniqueName="[fact_table].[Quantity Returned].[All]" allUniqueName="[fact_table].[Quantity Returned].[All]" dimensionUniqueName="[fact_table]" displayFolder="" count="2" memberValueDatatype="20" unbalanced="0"/>
    <cacheHierarchy uniqueName="[fact_table].[Order Date]" caption="Order Date" attribute="1" time="1" defaultMemberUniqueName="[fact_table].[Order Date].[All]" allUniqueName="[fact_table].[Order Date].[All]" dimensionUniqueName="[fact_table]" displayFolder="" count="2" memberValueDatatype="7" unbalanced="0"/>
    <cacheHierarchy uniqueName="[monthly_store_targets].[Store ID]" caption="Store ID" attribute="1" defaultMemberUniqueName="[monthly_store_targets].[Store ID].[All]" allUniqueName="[monthly_store_targets].[Store ID].[All]" dimensionUniqueName="[monthly_store_targets]" displayFolder="" count="2" memberValueDatatype="20" unbalanced="0"/>
    <cacheHierarchy uniqueName="[monthly_store_targets].[Date]" caption="Date" attribute="1" time="1" defaultMemberUniqueName="[monthly_store_targets].[Date].[All]" allUniqueName="[monthly_store_targets].[Date].[All]" dimensionUniqueName="[monthly_store_targets]" displayFolder="" count="2"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2" memberValueDatatype="20" unbalanced="0"/>
    <cacheHierarchy uniqueName="[Query1].[Measures]" caption="Measures" attribute="1" defaultMemberUniqueName="[Query1].[Measures].[All]" allUniqueName="[Query1].[Measures].[All]" dimensionUniqueName="[Query1]" displayFolder="" count="2"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2" memberValueDatatype="20" unbalanced="0"/>
    <cacheHierarchy uniqueName="[sales_persons_table].[FullName]" caption="FullName" attribute="1" defaultMemberUniqueName="[sales_persons_table].[FullName].[All]" allUniqueName="[sales_persons_table].[FullName].[All]" dimensionUniqueName="[sales_persons_table]" displayFolder="" count="2"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2"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1"/>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1759258" backgroundQuery="1" createdVersion="8" refreshedVersion="8" minRefreshableVersion="3" recordCount="0" supportSubquery="1" supportAdvancedDrill="1" xr:uid="{6155517A-F6C7-4276-9969-51D2929E9579}">
  <cacheSource type="external" connectionId="8"/>
  <cacheFields count="5">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Profit margin]" caption="Profit margin" numFmtId="0" hierarchy="40" level="32767"/>
    <cacheField name="[Date].[Day Name].[Day Name]" caption="Day Name" numFmtId="0" hierarchy="3" level="1">
      <sharedItems count="7">
        <s v="Sunday"/>
        <s v="Monday"/>
        <s v="Tuesday"/>
        <s v="Wednesday"/>
        <s v="Thursday"/>
        <s v="Friday"/>
        <s v="Saturday"/>
      </sharedItems>
    </cacheField>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2" memberValueDatatype="130" unbalanced="0">
      <fieldsUsage count="2">
        <fieldUsage x="-1"/>
        <fieldUsage x="3"/>
      </fieldsUsage>
    </cacheHierarchy>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3032406" backgroundQuery="1" createdVersion="8" refreshedVersion="8" minRefreshableVersion="3" recordCount="0" supportSubquery="1" supportAdvancedDrill="1" xr:uid="{1C00B90C-B72E-47CC-8435-A04D649F2243}">
  <cacheSource type="external" connectionId="8"/>
  <cacheFields count="5">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Profit margin]" caption="Profit margin" numFmtId="0" hierarchy="40" level="32767"/>
    <cacheField name="[dim_products].[Product Name].[Product Name]" caption="Product Name" numFmtId="0" hierarchy="15" level="1">
      <sharedItems count="5">
        <s v="Attorney Mist"/>
        <s v="Begin Brew"/>
        <s v="Common Splash"/>
        <s v="Eight Brew"/>
        <s v="Onto Dew"/>
      </sharedItems>
    </cacheField>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3"/>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4305553" backgroundQuery="1" createdVersion="8" refreshedVersion="8" minRefreshableVersion="3" recordCount="0" supportSubquery="1" supportAdvancedDrill="1" xr:uid="{9FCCA480-97AB-40EF-913D-C3986CD4EC73}">
  <cacheSource type="external" connectionId="8"/>
  <cacheFields count="6">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Profit margin]" caption="Profit margin" numFmtId="0" hierarchy="40" level="32767"/>
    <cacheField name="[dim_products].[Product Name].[Product Name]" caption="Product Name" numFmtId="0" hierarchy="15" level="1">
      <sharedItems count="5">
        <s v="Attorney Mist"/>
        <s v="Begin Brew"/>
        <s v="Common Splash"/>
        <s v="Eight Brew"/>
        <s v="Onto Dew"/>
      </sharedItems>
    </cacheField>
    <cacheField name="[dim_products].[Category].[Category]" caption="Category" numFmtId="0" hierarchy="16" level="1">
      <sharedItems count="8">
        <s v="Alcoholic Beverage"/>
        <s v="Coffee"/>
        <s v="Energy Drink"/>
        <s v="Juice"/>
        <s v="Soft Drink"/>
        <s v="Sports Drink"/>
        <s v="Tea"/>
        <s v="Water"/>
      </sharedItems>
    </cacheField>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3"/>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5578707" backgroundQuery="1" createdVersion="8" refreshedVersion="8" minRefreshableVersion="3" recordCount="0" supportSubquery="1" supportAdvancedDrill="1" xr:uid="{80FE1322-A38B-4ADE-B1EC-357050D83A81}">
  <cacheSource type="external" connectionId="8"/>
  <cacheFields count="3">
    <cacheField name="[Dim_customer].[Full name].[Full name]" caption="Full name" numFmtId="0" hierarchy="9" level="1">
      <sharedItems count="5">
        <s v="BobbyAbbott"/>
        <s v="ChristineHawkins"/>
        <s v="JefferyPowell"/>
        <s v="LisaWest"/>
        <s v="TravisEwing"/>
      </sharedItems>
    </cacheField>
    <cacheField name="[Measures].[Profit margin]" caption="Profit margin" numFmtId="0" hierarchy="40"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2"/>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1"/>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6620369" backgroundQuery="1" createdVersion="8" refreshedVersion="8" minRefreshableVersion="3" recordCount="0" supportSubquery="1" supportAdvancedDrill="1" xr:uid="{0B51BDD3-0033-4E55-B4D0-6C14FA364CD4}">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Measures].[Profit margin]" caption="Profit margin" numFmtId="0" hierarchy="40" level="32767"/>
    <cacheField name="[Dim_customer].[Location].[Location]" caption="Location" numFmtId="0" hierarchy="11" level="1">
      <sharedItems count="5">
        <s v="California"/>
        <s v="Michigan"/>
        <s v="Missouri"/>
        <s v="Virginia"/>
        <s v="Washington"/>
      </sharedItems>
    </cacheField>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1"/>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7777778" backgroundQuery="1" createdVersion="8" refreshedVersion="8" minRefreshableVersion="3" recordCount="0" supportSubquery="1" supportAdvancedDrill="1" xr:uid="{CB6ABFD9-F67C-4AB1-8D04-CC848C1E8063}">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Measures].[Profit margin]" caption="Profit margin" numFmtId="0" hierarchy="40" level="32767"/>
    <cacheField name="[Dim_customer].[Location].[Location]" caption="Location" numFmtId="0" hierarchy="11" level="1">
      <sharedItems count="5">
        <s v="Florida"/>
        <s v="Indiana"/>
        <s v="Maryland"/>
        <s v="New York"/>
        <s v="Wisconsin"/>
      </sharedItems>
    </cacheField>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1"/>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824074" backgroundQuery="1" createdVersion="8" refreshedVersion="8" minRefreshableVersion="3" recordCount="0" supportSubquery="1" supportAdvancedDrill="1" xr:uid="{9CB913EE-0DEA-45E8-8225-B856D5AD0C32}">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 Location]" caption="# Location" numFmtId="0" hierarchy="50"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oneField="1">
      <fieldsUsage count="1">
        <fieldUsage x="2"/>
      </fieldsUsage>
    </cacheHierarchy>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79398148" backgroundQuery="1" createdVersion="8" refreshedVersion="8" minRefreshableVersion="3" recordCount="0" supportSubquery="1" supportAdvancedDrill="1" xr:uid="{7C341F33-6937-465C-AAFF-9E98F4578D08}">
  <cacheSource type="external" connectionId="8"/>
  <cacheFields count="5">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Dim_customer].[AGE GROUP].[AGE GROUP]" caption="AGE GROUP" numFmtId="0" hierarchy="13" level="1">
      <sharedItems count="5">
        <s v="21-30"/>
        <s v="31-40"/>
        <s v="41-50"/>
        <s v="ABOVE 50"/>
        <s v="BELOW 20"/>
      </sharedItems>
    </cacheField>
    <cacheField name="[Measures].[Profit margin]" caption="Profit margin" numFmtId="0" hierarchy="40"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3"/>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80092595" backgroundQuery="1" createdVersion="8" refreshedVersion="8" minRefreshableVersion="3" recordCount="0" supportSubquery="1" supportAdvancedDrill="1" xr:uid="{D88F88EC-906F-43E9-9E74-22FCD0334165}">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Average of Customer age]" caption="Average of Customer age" numFmtId="0" hierarchy="37"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oneField="1">
      <fieldsUsage count="1">
        <fieldUsage x="2"/>
      </fieldsUsage>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81365742" backgroundQuery="1" createdVersion="8" refreshedVersion="8" minRefreshableVersion="3" recordCount="0" supportSubquery="1" supportAdvancedDrill="1" xr:uid="{04A1FE22-4096-4510-87B0-1C86C47C6C09}">
  <cacheSource type="external" connectionId="8"/>
  <cacheFields count="5">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Dim_customer].[Gender].[Gender]" caption="Gender" numFmtId="0" hierarchy="10" level="1">
      <sharedItems count="2">
        <s v="Female"/>
        <s v="Male"/>
      </sharedItems>
    </cacheField>
    <cacheField name="[Measures].[Profit margin]" caption="Profit margin" numFmtId="0" hierarchy="40"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3"/>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82638889" backgroundQuery="1" createdVersion="8" refreshedVersion="8" minRefreshableVersion="3" recordCount="0" supportSubquery="1" supportAdvancedDrill="1" xr:uid="{78AA256C-8DCD-43DD-9C47-60B7FCA31527}">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Profit margin]" caption="Profit margin" numFmtId="0" hierarchy="40" level="32767"/>
    <cacheField name="[Date].[Month].[Month]" caption="Month" numFmtId="0" hierarchy="2" level="1">
      <sharedItems count="12">
        <s v="Jan"/>
        <s v="Feb"/>
        <s v="Mar"/>
        <s v="Apr"/>
        <s v="May"/>
        <s v="Jun"/>
        <s v="Jul"/>
        <s v="Aug"/>
        <s v="Sep"/>
        <s v="Oct"/>
        <s v="Nov"/>
        <s v="Dec"/>
      </sharedItems>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84259259" backgroundQuery="1" createdVersion="8" refreshedVersion="8" minRefreshableVersion="3" recordCount="0" supportSubquery="1" supportAdvancedDrill="1" xr:uid="{96B53946-8850-4152-9F6E-E7ECE9F3496F}">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Profit margin]" caption="Profit margin" numFmtId="0" hierarchy="40" level="32767"/>
    <cacheField name="[Date].[Month].[Month]" caption="Month" numFmtId="0" hierarchy="2" level="1">
      <sharedItems count="12">
        <s v="Jan"/>
        <s v="Feb"/>
        <s v="Mar"/>
        <s v="Apr"/>
        <s v="May"/>
        <s v="Jun"/>
        <s v="Jul"/>
        <s v="Aug"/>
        <s v="Sep"/>
        <s v="Oct"/>
        <s v="Nov"/>
        <s v="Dec"/>
      </sharedItems>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85300929" backgroundQuery="1" createdVersion="8" refreshedVersion="8" minRefreshableVersion="3" recordCount="0" supportSubquery="1" supportAdvancedDrill="1" xr:uid="{9E306DF0-B89A-4E87-9574-EDB353DA4613}">
  <cacheSource type="external" connectionId="8"/>
  <cacheFields count="4">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 Customers]" caption="# Customers" numFmtId="0" hierarchy="49"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oneField="1">
      <fieldsUsage count="1">
        <fieldUsage x="2"/>
      </fieldsUsage>
    </cacheHierarchy>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6.49248645833" backgroundQuery="1" createdVersion="8" refreshedVersion="8" minRefreshableVersion="3" recordCount="0" supportSubquery="1" supportAdvancedDrill="1" xr:uid="{B662A952-7A0E-4661-B0B7-AC56C9ADD816}">
  <cacheSource type="external" connectionId="8"/>
  <cacheFields count="6">
    <cacheField name="[Dim_customer].[Full name].[Full name]" caption="Full name" numFmtId="0" hierarchy="9" level="1">
      <sharedItems count="5">
        <s v="JohnBrown"/>
        <s v="JudithSimmons"/>
        <s v="KristineBarrett"/>
        <s v="LauraGross"/>
        <s v="PaulNoble"/>
      </sharedItems>
    </cacheField>
    <cacheField name="[Dim_customer].[Location].[Location]" caption="Location" numFmtId="0" hierarchy="11" level="1">
      <sharedItems count="5">
        <s v="Florida"/>
        <s v="Indiana"/>
        <s v="Maryland"/>
        <s v="New York"/>
        <s v="Wisconsin"/>
      </sharedItems>
    </cacheField>
    <cacheField name="[Measures].[Refund rate]" caption="Refund rate" numFmtId="0" hierarchy="44" level="32767"/>
    <cacheField name="[Measures].[# PRODUCT]" caption="# PRODUCT" numFmtId="0" hierarchy="51" level="32767"/>
    <cacheField name="[Measures].[RETURN RATE ]" caption="RETURN RATE " numFmtId="0" hierarchy="52" level="32767"/>
    <cacheField name="[Date].[Month].[Month]" caption="Month" numFmtId="0" hierarchy="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5"/>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oneField="1">
      <fieldsUsage count="1">
        <fieldUsage x="2"/>
      </fieldsUsage>
    </cacheHierarchy>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oneField="1">
      <fieldsUsage count="1">
        <fieldUsage x="3"/>
      </fieldsUsage>
    </cacheHierarchy>
    <cacheHierarchy uniqueName="[Measures].[RETURN RATE ]" caption="RETURN RATE " measure="1" displayFolder="" measureGroup="Query1" count="0" oneField="1">
      <fieldsUsage count="1">
        <fieldUsage x="4"/>
      </fieldsUsage>
    </cacheHierarchy>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06.818252314813" backgroundQuery="1" createdVersion="8" refreshedVersion="8" minRefreshableVersion="3" recordCount="0" supportSubquery="1" supportAdvancedDrill="1" xr:uid="{EC9833E3-B6A2-4E3E-8000-4F02072C03DE}">
  <cacheSource type="external" connectionId="8"/>
  <cacheFields count="4">
    <cacheField name="[Measures].[Total revenue]" caption="Total revenue" numFmtId="0" hierarchy="38" level="32767"/>
    <cacheField name="[Date].[Month].[Month]" caption="Month" numFmtId="0" hierarchy="2" level="1">
      <sharedItems count="12">
        <s v="Jan"/>
        <s v="Feb"/>
        <s v="Mar"/>
        <s v="Apr"/>
        <s v="May"/>
        <s v="Jun"/>
        <s v="Jul"/>
        <s v="Aug"/>
        <s v="Sep"/>
        <s v="Oct"/>
        <s v="Nov"/>
        <s v="Dec"/>
      </sharedItems>
    </cacheField>
    <cacheField name="[Measures].[Total target]" caption="Total target" numFmtId="0" hierarchy="48" level="32767"/>
    <cacheField name="[sales_persons_table].[Store Name].[Store Name]" caption="Store Name" numFmtId="0" hierarchy="3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3"/>
      </fieldsUsage>
    </cacheHierarchy>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oneField="1">
      <fieldsUsage count="1">
        <fieldUsage x="2"/>
      </fieldsUsage>
    </cacheHierarchy>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06.818254745369" backgroundQuery="1" createdVersion="8" refreshedVersion="8" minRefreshableVersion="3" recordCount="0" supportSubquery="1" supportAdvancedDrill="1" xr:uid="{7B716BC7-4E89-4B0B-9938-307B39938ED9}">
  <cacheSource type="external" connectionId="8"/>
  <cacheFields count="4">
    <cacheField name="[Measures].[Total revenue]" caption="Total revenue" numFmtId="0" hierarchy="38" level="32767"/>
    <cacheField name="[Date].[Month].[Month]" caption="Month" numFmtId="0" hierarchy="2" level="1">
      <sharedItems count="12">
        <s v="Jan"/>
        <s v="Feb"/>
        <s v="Mar"/>
        <s v="Apr"/>
        <s v="May"/>
        <s v="Jun"/>
        <s v="Jul"/>
        <s v="Aug"/>
        <s v="Sep"/>
        <s v="Oct"/>
        <s v="Nov"/>
        <s v="Dec"/>
      </sharedItems>
    </cacheField>
    <cacheField name="[Date].[Weektype].[Weektype]" caption="Weektype" numFmtId="0" hierarchy="5" level="1">
      <sharedItems count="2">
        <s v="weekday"/>
        <s v="Weekend"/>
      </sharedItems>
    </cacheField>
    <cacheField name="[sales_persons_table].[Store Name].[Store Name]" caption="Store Name" numFmtId="0" hierarchy="3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2" memberValueDatatype="130" unbalanced="0">
      <fieldsUsage count="2">
        <fieldUsage x="-1"/>
        <fieldUsage x="2"/>
      </fieldsUsage>
    </cacheHierarchy>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3"/>
      </fieldsUsage>
    </cacheHierarchy>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06.818257638886" backgroundQuery="1" createdVersion="8" refreshedVersion="8" minRefreshableVersion="3" recordCount="0" supportSubquery="1" supportAdvancedDrill="1" xr:uid="{F8D7F487-4DEB-4089-A0CC-BB07F18F7EAC}">
  <cacheSource type="external" connectionId="8"/>
  <cacheFields count="5">
    <cacheField name="[Measures].[Total revenue]" caption="Total revenue" numFmtId="0" hierarchy="38" level="32767"/>
    <cacheField name="[Date].[Month].[Month]" caption="Month" numFmtId="0" hierarchy="2" level="1">
      <sharedItems count="12">
        <s v="Jan"/>
        <s v="Feb"/>
        <s v="Mar"/>
        <s v="Apr"/>
        <s v="May"/>
        <s v="Jun"/>
        <s v="Jul"/>
        <s v="Aug"/>
        <s v="Sep"/>
        <s v="Oct"/>
        <s v="Nov"/>
        <s v="Dec"/>
      </sharedItems>
    </cacheField>
    <cacheField name="[Date].[Quarter].[Quarter]" caption="Quarter" numFmtId="0" hierarchy="6" level="1">
      <sharedItems count="4">
        <s v="Q-1"/>
        <s v="Q-2"/>
        <s v="Q-3"/>
        <s v="Q-4"/>
      </sharedItems>
    </cacheField>
    <cacheField name="[sales_persons_table].[Store Name].[Store Name]" caption="Store Name" numFmtId="0" hierarchy="32" level="1">
      <sharedItems containsSemiMixedTypes="0" containsNonDate="0" containsString="0"/>
    </cacheField>
    <cacheField name="Unsupported0" numFmtId="0" hierarchy="62" level="32767">
      <extLst>
        <ext xmlns:x14="http://schemas.microsoft.com/office/spreadsheetml/2009/9/main" uri="{63CAB8AC-B538-458d-9737-405883B0398D}">
          <x14:cacheField ignore="1"/>
        </ext>
      </extLst>
    </cacheField>
  </cacheFields>
  <cacheHierarchies count="63">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fieldsUsage count="2">
        <fieldUsage x="-1"/>
        <fieldUsage x="2"/>
      </fieldsUsage>
    </cacheHierarchy>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3"/>
      </fieldsUsage>
    </cacheHierarchy>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Unsupported0" caption="Order Date" measure="1" count="0">
      <extLst>
        <ext xmlns:x14="http://schemas.microsoft.com/office/spreadsheetml/2009/9/main" uri="{8CF416AD-EC4C-4aba-99F5-12A058AE0983}">
          <x14:cacheHierarchy ignore="1"/>
        </ext>
      </extLst>
    </cacheHierarchy>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06.818260300926" backgroundQuery="1" createdVersion="8" refreshedVersion="8" minRefreshableVersion="3" recordCount="0" supportSubquery="1" supportAdvancedDrill="1" xr:uid="{C26738A0-C4FF-4E4C-960E-8678547A58EC}">
  <cacheSource type="external" connectionId="8"/>
  <cacheFields count="10">
    <cacheField name="[Measures].[Total revenue]" caption="Total revenue" numFmtId="0" hierarchy="38" level="32767"/>
    <cacheField name="[Measures].[COGS]" caption="COGS" numFmtId="0" hierarchy="39" level="32767"/>
    <cacheField name="[Measures].[Profit margin]" caption="Profit margin" numFmtId="0" hierarchy="40" level="32767"/>
    <cacheField name="[Measures].[% Of profit margin]" caption="% Of profit margin" numFmtId="0" hierarchy="41" level="32767"/>
    <cacheField name="[Measures].[Total products]" caption="Total products" numFmtId="0" hierarchy="45" level="32767"/>
    <cacheField name="[Measures].[Qty sold]" caption="Qty sold" numFmtId="0" hierarchy="46" level="32767"/>
    <cacheField name="[Measures].[Qty returend]" caption="Qty returend" numFmtId="0" hierarchy="47" level="32767"/>
    <cacheField name="[Measures].[Total target]" caption="Total target" numFmtId="0" hierarchy="48" level="32767"/>
    <cacheField name="[Date].[Month].[Month]" caption="Month" numFmtId="0" hierarchy="2" level="1">
      <sharedItems containsSemiMixedTypes="0" containsNonDate="0" containsString="0"/>
    </cacheField>
    <cacheField name="[sales_persons_table].[Store Name].[Store Name]" caption="Store Name" numFmtId="0" hierarchy="32" level="1">
      <sharedItems containsSemiMixedTypes="0" containsNonDate="0" containsString="0"/>
    </cacheField>
  </cacheFields>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8"/>
      </fieldsUsage>
    </cacheHierarchy>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9"/>
      </fieldsUsage>
    </cacheHierarchy>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oneField="1">
      <fieldsUsage count="1">
        <fieldUsage x="0"/>
      </fieldsUsage>
    </cacheHierarchy>
    <cacheHierarchy uniqueName="[Measures].[COGS]" caption="COGS" measure="1" displayFolder="" measureGroup="Query1" count="0" oneField="1">
      <fieldsUsage count="1">
        <fieldUsage x="1"/>
      </fieldsUsage>
    </cacheHierarchy>
    <cacheHierarchy uniqueName="[Measures].[Profit margin]" caption="Profit margin" measure="1" displayFolder="" measureGroup="Query1" count="0" oneField="1">
      <fieldsUsage count="1">
        <fieldUsage x="2"/>
      </fieldsUsage>
    </cacheHierarchy>
    <cacheHierarchy uniqueName="[Measures].[% Of profit margin]" caption="% Of profit margin" measure="1" displayFolder="" measureGroup="Query1" count="0" oneField="1">
      <fieldsUsage count="1">
        <fieldUsage x="3"/>
      </fieldsUsage>
    </cacheHierarchy>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oneField="1">
      <fieldsUsage count="1">
        <fieldUsage x="4"/>
      </fieldsUsage>
    </cacheHierarchy>
    <cacheHierarchy uniqueName="[Measures].[Qty sold]" caption="Qty sold" measure="1" displayFolder="" measureGroup="Query1" count="0" oneField="1">
      <fieldsUsage count="1">
        <fieldUsage x="5"/>
      </fieldsUsage>
    </cacheHierarchy>
    <cacheHierarchy uniqueName="[Measures].[Qty returend]" caption="Qty returend" measure="1" displayFolder="" measureGroup="Query1" count="0" oneField="1">
      <fieldsUsage count="1">
        <fieldUsage x="6"/>
      </fieldsUsage>
    </cacheHierarchy>
    <cacheHierarchy uniqueName="[Measures].[Total target]" caption="Total target" measure="1" displayFolder="" measureGroup="Query1" count="0" oneField="1">
      <fieldsUsage count="1">
        <fieldUsage x="7"/>
      </fieldsUsage>
    </cacheHierarchy>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dimensions count="8">
    <dimension name="Date" uniqueName="[Date]" caption="Date"/>
    <dimension name="Dim_customer" uniqueName="[Dim_customer]" caption="Dim_customer"/>
    <dimension name="dim_products" uniqueName="[dim_products]" caption="dim_products"/>
    <dimension name="fact_table" uniqueName="[fact_table]" caption="fact_table"/>
    <dimension measure="1" name="Measures" uniqueName="[Measures]" caption="Measures"/>
    <dimension name="monthly_store_targets" uniqueName="[monthly_store_targets]" caption="monthly_store_targets"/>
    <dimension name="Query1" uniqueName="[Query1]" caption="Query1"/>
    <dimension name="sales_persons_table" uniqueName="[sales_persons_table]" caption="sales_persons_table"/>
  </dimensions>
  <measureGroups count="7">
    <measureGroup name="Date" caption="Date"/>
    <measureGroup name="Dim_customer" caption="Dim_customer"/>
    <measureGroup name="dim_products" caption="dim_products"/>
    <measureGroup name="fact_table" caption="fact_table"/>
    <measureGroup name="monthly_store_targets" caption="monthly_store_targets"/>
    <measureGroup name="Query1" caption="Query1"/>
    <measureGroup name="sales_persons_table" caption="sales_persons_table"/>
  </measureGroups>
  <maps count="13">
    <map measureGroup="0" dimension="0"/>
    <map measureGroup="1" dimension="1"/>
    <map measureGroup="2" dimension="2"/>
    <map measureGroup="3" dimension="0"/>
    <map measureGroup="3" dimension="1"/>
    <map measureGroup="3" dimension="2"/>
    <map measureGroup="3" dimension="3"/>
    <map measureGroup="3" dimension="7"/>
    <map measureGroup="4" dimension="0"/>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5.48592071759" backgroundQuery="1" createdVersion="3" refreshedVersion="8" minRefreshableVersion="3" recordCount="0" supportSubquery="1" supportAdvancedDrill="1" xr:uid="{A18BC886-05C6-457F-B406-D3A394A96D80}">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0095244"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5.485930324074" backgroundQuery="1" createdVersion="3" refreshedVersion="8" minRefreshableVersion="3" recordCount="0" supportSubquery="1" supportAdvancedDrill="1" xr:uid="{44BA57C6-6650-4FD1-8469-1DD3D0601317}">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8786511"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05.57190949074" backgroundQuery="1" createdVersion="3" refreshedVersion="8" minRefreshableVersion="3" recordCount="0" supportSubquery="1" supportAdvancedDrill="1" xr:uid="{F389DF69-21BE-4198-9C30-513F5536465C}">
  <cacheSource type="external" connectionId="8">
    <extLst>
      <ext xmlns:x14="http://schemas.microsoft.com/office/spreadsheetml/2009/9/main" uri="{F057638F-6D5F-4e77-A914-E7F072B9BCA8}">
        <x14:sourceConnection name="ThisWorkbookDataModel"/>
      </ext>
    </extLst>
  </cacheSource>
  <cacheFields count="0"/>
  <cacheHierarchies count="62">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Day Name]" caption="Day Name" attribute="1" defaultMemberUniqueName="[Date].[Day Name].[All]" allUniqueName="[Date].[Day Name].[All]" dimensionUniqueName="[Date]" displayFolder="" count="0" memberValueDatatype="130" unbalanced="0"/>
    <cacheHierarchy uniqueName="[Date].[Weekdaynum]" caption="Weekdaynum" attribute="1" defaultMemberUniqueName="[Date].[Weekdaynum].[All]" allUniqueName="[Date].[Weekdaynum].[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Monthnum]" caption="Monthnum" attribute="1" defaultMemberUniqueName="[Date].[Monthnum].[All]" allUniqueName="[Date].[Monthnum].[All]" dimensionUniqueName="[Date]"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Query1].[Measures]" caption="Measures" attribute="1" defaultMemberUniqueName="[Query1].[Measures].[All]" allUniqueName="[Query1].[Measures].[All]" dimensionUniqueName="[Query1]" displayFolder="" count="0" memberValueDatatype="13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Name]" caption="FullName" attribute="1" defaultMemberUniqueName="[sales_persons_table].[FullName].[All]" allUniqueName="[sales_persons_table].[Full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sales person age]" caption="sales person age" attribute="1" defaultMemberUniqueName="[sales_persons_table].[sales person age].[All]" allUniqueName="[sales_persons_table].[sales person age].[All]" dimensionUniqueName="[sales_persons_table]" displayFolder="" count="0" memberValueDatatype="20" unbalanced="0"/>
    <cacheHierarchy uniqueName="[Measures].[Sum of Customer ID]" caption="Sum of Customer ID" measure="1" displayFolder="" measureGroup="Dim_customer" count="0">
      <extLst>
        <ext xmlns:x15="http://schemas.microsoft.com/office/spreadsheetml/2010/11/main" uri="{B97F6D7D-B522-45F9-BDA1-12C45D357490}">
          <x15:cacheHierarchy aggregatedColumn="8"/>
        </ext>
      </extLst>
    </cacheHierarchy>
    <cacheHierarchy uniqueName="[Measures].[Sum of Monthly Target]" caption="Sum of Monthly Target" measure="1" displayFolder="" measureGroup="monthly_store_targets" count="0">
      <extLst>
        <ext xmlns:x15="http://schemas.microsoft.com/office/spreadsheetml/2010/11/main" uri="{B97F6D7D-B522-45F9-BDA1-12C45D357490}">
          <x15:cacheHierarchy aggregatedColumn="28"/>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2"/>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Query1" count="0"/>
    <cacheHierarchy uniqueName="[Measures].[COGS]" caption="COGS" measure="1" displayFolder="" measureGroup="Query1" count="0"/>
    <cacheHierarchy uniqueName="[Measures].[Profit margin]" caption="Profit margin" measure="1" displayFolder="" measureGroup="Query1" count="0"/>
    <cacheHierarchy uniqueName="[Measures].[% Of profit margin]" caption="% Of profit margin" measure="1" displayFolder="" measureGroup="Query1" count="0"/>
    <cacheHierarchy uniqueName="[Measures].[#Transactions]" caption="#Transactions" measure="1" displayFolder="" measureGroup="Query1" count="0"/>
    <cacheHierarchy uniqueName="[Measures].[Total refund]" caption="Total refund" measure="1" displayFolder="" measureGroup="Query1" count="0"/>
    <cacheHierarchy uniqueName="[Measures].[Refund rate]" caption="Refund rate" measure="1" displayFolder="" measureGroup="Query1" count="0"/>
    <cacheHierarchy uniqueName="[Measures].[Total products]" caption="Total products" measure="1" displayFolder="" measureGroup="Query1" count="0"/>
    <cacheHierarchy uniqueName="[Measures].[Qty sold]" caption="Qty sold" measure="1" displayFolder="" measureGroup="Query1" count="0"/>
    <cacheHierarchy uniqueName="[Measures].[Qty returend]" caption="Qty returend" measure="1" displayFolder="" measureGroup="Query1" count="0"/>
    <cacheHierarchy uniqueName="[Measures].[Total target]" caption="Total target" measure="1" displayFolder="" measureGroup="Query1" count="0"/>
    <cacheHierarchy uniqueName="[Measures].[# Customers]" caption="# Customers" measure="1" displayFolder="" measureGroup="Query1" count="0"/>
    <cacheHierarchy uniqueName="[Measures].[# Location]" caption="# Location" measure="1" displayFolder="" measureGroup="Query1" count="0"/>
    <cacheHierarchy uniqueName="[Measures].[# PRODUCT]" caption="# PRODUCT" measure="1" displayFolder="" measureGroup="Query1" count="0"/>
    <cacheHierarchy uniqueName="[Measures].[RETURN RATE ]" caption="RETURN RATE " measure="1" displayFolder="" measureGroup="Query1" count="0"/>
    <cacheHierarchy uniqueName="[Measures].[REFUND RATE1]" caption="REFUND RATE1" measure="1" displayFolder="" measureGroup="Query1"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sales_persons_table]" caption="__XL_Count sales_persons_table" measure="1" displayFolder="" measureGroup="sales_persons_table" count="0" hidden="1"/>
    <cacheHierarchy uniqueName="[Measures].[__XL_Count monthly_store_targets]" caption="__XL_Count monthly_store_targets" measure="1" displayFolder="" measureGroup="monthly_store_targets" count="0" hidden="1"/>
    <cacheHierarchy uniqueName="[Measures].[__XL_Count dim_products]" caption="__XL_Count dim_products" measure="1" displayFolder="" measureGroup="dim_products" count="0" hidden="1"/>
    <cacheHierarchy uniqueName="[Measures].[__XL_Count Date]" caption="__XL_Count Date" measure="1" displayFolder="" measureGroup="Date"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74031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4BECD4-856E-444C-BEB4-E40C1BB0F8E5}" name="PivotTable6" cacheId="0" applyNumberFormats="0" applyBorderFormats="0" applyFontFormats="0" applyPatternFormats="0" applyAlignmentFormats="0" applyWidthHeightFormats="1" dataCaption="Values" tag="7a9ab5b1-64e5-4ace-8c4f-20fb00732c0e" updatedVersion="8" minRefreshableVersion="3" useAutoFormatting="1" subtotalHiddenItems="1" itemPrintTitles="1" createdVersion="8" indent="0" outline="1" outlineData="1" multipleFieldFilters="0">
  <location ref="O3:Q14"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6"/>
    </i>
    <i>
      <x v="9"/>
    </i>
    <i>
      <x v="2"/>
    </i>
    <i>
      <x v="5"/>
    </i>
    <i>
      <x/>
    </i>
    <i>
      <x v="3"/>
    </i>
    <i>
      <x v="8"/>
    </i>
    <i>
      <x v="4"/>
    </i>
    <i>
      <x v="7"/>
    </i>
    <i>
      <x v="1"/>
    </i>
    <i t="grand">
      <x/>
    </i>
  </rowItems>
  <colFields count="1">
    <field x="-2"/>
  </colFields>
  <colItems count="2">
    <i>
      <x/>
    </i>
    <i i="1">
      <x v="1"/>
    </i>
  </colItems>
  <dataFields count="2">
    <dataField fld="0" subtotal="count" baseField="0" baseItem="0"/>
    <dataField fld="1"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F96B72-0076-4DFD-BE76-F5FAC15B83E0}" name="PivotTable2" cacheId="1" applyNumberFormats="0" applyBorderFormats="0" applyFontFormats="0" applyPatternFormats="0" applyAlignmentFormats="0" applyWidthHeightFormats="1" dataCaption="Values" tag="f03f264a-095f-4af7-88f1-e7dfd958ec3a" updatedVersion="8" minRefreshableVersion="3" useAutoFormatting="1" itemPrintTitles="1" createdVersion="8" indent="0" outline="1" outlineData="1" multipleFieldFilters="0">
  <location ref="A3:K4"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8"/>
    <dataField fld="1" subtotal="count" baseField="0" baseItem="0" numFmtId="168"/>
    <dataField fld="2" subtotal="count" baseField="0" baseItem="0" numFmtId="168"/>
    <dataField fld="3" subtotal="count" baseField="0" baseItem="0"/>
    <dataField fld="4" subtotal="count" baseField="0" baseItem="0"/>
    <dataField fld="5" subtotal="count" baseField="0" baseItem="0" numFmtId="168"/>
    <dataField fld="6" subtotal="count" baseField="0" baseItem="0"/>
    <dataField fld="7" subtotal="count" baseField="0" baseItem="0"/>
    <dataField fld="8" subtotal="count" baseField="0" baseItem="0"/>
    <dataField fld="9" subtotal="count" baseField="0" baseItem="0"/>
    <dataField fld="10" subtotal="count" baseField="0" baseItem="0" numFmtId="168"/>
  </dataFields>
  <formats count="5">
    <format dxfId="159">
      <pivotArea outline="0" collapsedLevelsAreSubtotals="1" fieldPosition="0">
        <references count="1">
          <reference field="4294967294" count="1" selected="0">
            <x v="0"/>
          </reference>
        </references>
      </pivotArea>
    </format>
    <format dxfId="158">
      <pivotArea outline="0" collapsedLevelsAreSubtotals="1" fieldPosition="0">
        <references count="1">
          <reference field="4294967294" count="1" selected="0">
            <x v="1"/>
          </reference>
        </references>
      </pivotArea>
    </format>
    <format dxfId="157">
      <pivotArea outline="0" collapsedLevelsAreSubtotals="1" fieldPosition="0">
        <references count="1">
          <reference field="4294967294" count="1" selected="0">
            <x v="2"/>
          </reference>
        </references>
      </pivotArea>
    </format>
    <format dxfId="156">
      <pivotArea outline="0" collapsedLevelsAreSubtotals="1" fieldPosition="0">
        <references count="1">
          <reference field="4294967294" count="1" selected="0">
            <x v="5"/>
          </reference>
        </references>
      </pivotArea>
    </format>
    <format dxfId="155">
      <pivotArea outline="0" collapsedLevelsAreSubtotals="1" fieldPosition="0">
        <references count="1">
          <reference field="4294967294" count="1" selected="0">
            <x v="10"/>
          </reference>
        </references>
      </pivotArea>
    </format>
  </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1C4CD4-8DB9-4AF3-BDB0-82E88DB6753A}" name="PivotTable7" cacheId="2" applyNumberFormats="0" applyBorderFormats="0" applyFontFormats="0" applyPatternFormats="0" applyAlignmentFormats="0" applyWidthHeightFormats="1" dataCaption="Values" tag="15a77ebf-b63f-4e71-b770-c292bf0ffa35" updatedVersion="8" minRefreshableVersion="3" useAutoFormatting="1" subtotalHiddenItems="1" itemPrintTitles="1" createdVersion="8" indent="0" outline="1" outlineData="1" multipleFieldFilters="0">
  <location ref="AC4:AD17"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174E64-5384-43D4-9E99-F787989EA95B}" name="PivotTable9" cacheId="13" applyNumberFormats="0" applyBorderFormats="0" applyFontFormats="0" applyPatternFormats="0" applyAlignmentFormats="0" applyWidthHeightFormats="1" dataCaption="Values" tag="0aee6e7f-4feb-4356-8255-c24ba69cb71b" updatedVersion="8" minRefreshableVersion="3" useAutoFormatting="1" subtotalHiddenItems="1" itemPrintTitles="1" createdVersion="8" indent="0" outline="1" outlineData="1" multipleFieldFilters="0" chartFormat="8" rowHeaderCaption="Location">
  <location ref="W4:X7"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fld="3" subtotal="count" showDataAs="percentOfTotal" baseField="0" baseItem="0" numFmtId="10"/>
  </dataFields>
  <formats count="3">
    <format dxfId="137">
      <pivotArea outline="0" collapsedLevelsAreSubtotals="1" fieldPosition="0"/>
    </format>
    <format dxfId="136">
      <pivotArea collapsedLevelsAreSubtotals="1" fieldPosition="0">
        <references count="1">
          <reference field="2" count="0"/>
        </references>
      </pivotArea>
    </format>
    <format dxfId="135">
      <pivotArea outline="0" fieldPosition="0">
        <references count="1">
          <reference field="4294967294" count="1">
            <x v="0"/>
          </reference>
        </references>
      </pivotArea>
    </format>
  </format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9903D6-9355-4682-BA99-4C9A170A9ED9}" name="PivotTable14" cacheId="5" applyNumberFormats="0" applyBorderFormats="0" applyFontFormats="0" applyPatternFormats="0" applyAlignmentFormats="0" applyWidthHeightFormats="1" dataCaption="Values" tag="26a5f211-6027-4736-a89f-4d0640a176ba" updatedVersion="8" minRefreshableVersion="3" useAutoFormatting="1" subtotalHiddenItems="1" itemPrintTitles="1" createdVersion="8" indent="0" outline="1" outlineData="1" multipleFieldFilters="0" chartFormat="16" rowHeaderCaption="Location">
  <location ref="AQ4:AR1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fld="2" subtotal="count" baseField="0" baseItem="0" numFmtId="168"/>
  </dataFields>
  <formats count="2">
    <format dxfId="139">
      <pivotArea outline="0" fieldPosition="0">
        <references count="1">
          <reference field="4294967294" count="1">
            <x v="0"/>
          </reference>
        </references>
      </pivotArea>
    </format>
    <format dxfId="138">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40">
      <autoFilter ref="A1">
        <filterColumn colId="0">
          <top10 val="5" filterVal="5"/>
        </filterColumn>
      </autoFilter>
    </filter>
    <filter fld="1" type="count" id="2" iMeasureHier="40">
      <autoFilter ref="A1">
        <filterColumn colId="0">
          <top10 top="0" val="5" filterVal="5"/>
        </filterColumn>
      </autoFilter>
    </filter>
    <filter fld="3" type="count" id="3" iMeasureHier="4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EB1BCC-F79D-4D3E-A123-DB5C3A176FC1}" name="PivotTable12" cacheId="4" applyNumberFormats="0" applyBorderFormats="0" applyFontFormats="0" applyPatternFormats="0" applyAlignmentFormats="0" applyWidthHeightFormats="1" dataCaption="Values" tag="4ab2a30f-c5fc-4053-a330-7c4466363e52" updatedVersion="8" minRefreshableVersion="3" useAutoFormatting="1" subtotalHiddenItems="1" itemPrintTitles="1" createdVersion="8" indent="0" outline="1" outlineData="1" multipleFieldFilters="0" chartFormat="16" rowHeaderCaption="Location">
  <location ref="AB34:AC42"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7">
        <item x="6"/>
        <item x="5"/>
        <item x="4"/>
        <item x="3"/>
        <item x="2"/>
        <item x="1"/>
        <item x="0"/>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fld="2" subtotal="count" baseField="0" baseItem="0" numFmtId="168"/>
  </dataFields>
  <formats count="2">
    <format dxfId="141">
      <pivotArea outline="0" fieldPosition="0">
        <references count="1">
          <reference field="4294967294" count="1">
            <x v="0"/>
          </reference>
        </references>
      </pivotArea>
    </format>
    <format dxfId="140">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86A9E1-C66B-4C41-94D4-F0EB04BC364A}" name="PivotTable15" cacheId="6" applyNumberFormats="0" applyBorderFormats="0" applyFontFormats="0" applyPatternFormats="0" applyAlignmentFormats="0" applyWidthHeightFormats="1" dataCaption="Values" tag="d7a7c8a0-94df-4d60-a3b0-3f3c28561f32" updatedVersion="8" minRefreshableVersion="3" useAutoFormatting="1" subtotalHiddenItems="1" itemPrintTitles="1" createdVersion="8" indent="0" outline="1" outlineData="1" multipleFieldFilters="0" chartFormat="22" rowHeaderCaption="Location">
  <location ref="AT4:AU13"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4"/>
  </rowFields>
  <rowItems count="9">
    <i>
      <x/>
    </i>
    <i>
      <x v="1"/>
    </i>
    <i>
      <x v="2"/>
    </i>
    <i>
      <x v="3"/>
    </i>
    <i>
      <x v="4"/>
    </i>
    <i>
      <x v="5"/>
    </i>
    <i>
      <x v="6"/>
    </i>
    <i>
      <x v="7"/>
    </i>
    <i t="grand">
      <x/>
    </i>
  </rowItems>
  <colItems count="1">
    <i/>
  </colItems>
  <dataFields count="1">
    <dataField fld="2" subtotal="count" baseField="0" baseItem="0" numFmtId="168"/>
  </dataFields>
  <formats count="2">
    <format dxfId="143">
      <pivotArea outline="0" fieldPosition="0">
        <references count="1">
          <reference field="4294967294" count="1">
            <x v="0"/>
          </reference>
        </references>
      </pivotArea>
    </format>
    <format dxfId="142">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40">
      <autoFilter ref="A1">
        <filterColumn colId="0">
          <top10 val="5" filterVal="5"/>
        </filterColumn>
      </autoFilter>
    </filter>
    <filter fld="1" type="count" id="2" iMeasureHier="40">
      <autoFilter ref="A1">
        <filterColumn colId="0">
          <top10 top="0" val="5" filterVal="5"/>
        </filterColumn>
      </autoFilter>
    </filter>
    <filter fld="3" type="count" id="3" iMeasureHier="4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1FECD9-D6AF-4996-B2C2-43C678994A4D}" name="PivotTable5" cacheId="16" applyNumberFormats="0" applyBorderFormats="0" applyFontFormats="0" applyPatternFormats="0" applyAlignmentFormats="0" applyWidthHeightFormats="1" dataCaption="Values" tag="a3e5fdd2-0c75-4b90-b84d-a610dc3e0f3a" updatedVersion="8" minRefreshableVersion="3" useAutoFormatting="1" subtotalHiddenItems="1" itemPrintTitles="1" createdVersion="8" indent="0" outline="1" outlineData="1" multipleFieldFilters="0" rowHeaderCaption="Location">
  <location ref="M9:M10"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ACEB0D-0165-491B-B151-A09D64CE3175}" name="PivotTable1" cacheId="3" applyNumberFormats="0" applyBorderFormats="0" applyFontFormats="0" applyPatternFormats="0" applyAlignmentFormats="0" applyWidthHeightFormats="1" dataCaption="Values" tag="04f23f6d-83b9-4c3b-8930-0c642ef3128b" updatedVersion="8" minRefreshableVersion="3" useAutoFormatting="1" itemPrintTitles="1" createdVersion="8" indent="0" outline="1" outlineData="1" multipleFieldFilters="0" rowHeaderCaption="Full Name">
  <location ref="A7:B13"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3"/>
    </i>
    <i>
      <x v="1"/>
    </i>
    <i>
      <x v="2"/>
    </i>
    <i t="grand">
      <x/>
    </i>
  </rowItems>
  <colItems count="1">
    <i/>
  </colItems>
  <dataFields count="1">
    <dataField fld="1"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11068C-8BC6-458E-B8FD-9D40C97B56F0}" name="PivotTable6"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Location">
  <location ref="M12:M13"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DCF9CD-890C-4A1F-BB9D-3D5E3E878489}" name="PivotTable7" cacheId="11" applyNumberFormats="0" applyBorderFormats="0" applyFontFormats="0" applyPatternFormats="0" applyAlignmentFormats="0" applyWidthHeightFormats="1" dataCaption="Values" tag="e341abc7-3e6a-45b2-b8ee-a29bbaf09f42" updatedVersion="8" minRefreshableVersion="3" useAutoFormatting="1" subtotalHiddenItems="1" itemPrintTitles="1" createdVersion="8" indent="0" outline="1" outlineData="1" multipleFieldFilters="0" chartFormat="5" rowHeaderCaption="Location">
  <location ref="R4:S1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v="3"/>
    </i>
    <i>
      <x v="2"/>
    </i>
    <i>
      <x v="1"/>
    </i>
    <i>
      <x/>
    </i>
    <i>
      <x v="4"/>
    </i>
    <i t="grand">
      <x/>
    </i>
  </rowItems>
  <colItems count="1">
    <i/>
  </colItems>
  <dataFields count="1">
    <dataField fld="3" subtotal="count" baseField="0" baseItem="0"/>
  </dataFields>
  <formats count="1">
    <format dxfId="144">
      <pivotArea collapsedLevelsAreSubtotals="1" fieldPosition="0">
        <references count="1">
          <reference field="2" count="0"/>
        </references>
      </pivotArea>
    </format>
  </format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972FDD-1CA1-4D1A-9C46-2571469CB0F0}" name="PivotTable2" cacheId="7" applyNumberFormats="0" applyBorderFormats="0" applyFontFormats="0" applyPatternFormats="0" applyAlignmentFormats="0" applyWidthHeightFormats="1" dataCaption="Values" tag="ca1b09f2-d93f-4836-93d7-468b1280b7f0" updatedVersion="8" minRefreshableVersion="3" useAutoFormatting="1" itemPrintTitles="1" createdVersion="8" indent="0" outline="1" outlineData="1" multipleFieldFilters="0" rowHeaderCaption="Full Name">
  <location ref="D7:E13"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i>
    <i>
      <x v="1"/>
    </i>
    <i>
      <x v="2"/>
    </i>
    <i t="grand">
      <x/>
    </i>
  </rowItems>
  <colItems count="1">
    <i/>
  </colItems>
  <dataFields count="1">
    <dataField fld="1"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0">
      <autoFilter ref="A1">
        <filterColumn colId="0">
          <top10 top="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DB5039-FAE2-42D2-9A85-EC70CC88B172}" name="PivotTable10" cacheId="15" applyNumberFormats="0" applyBorderFormats="0" applyFontFormats="0" applyPatternFormats="0" applyAlignmentFormats="0" applyWidthHeightFormats="1" dataCaption="Values" tag="5d39d284-ce98-479d-b609-22f8a0df55fe" updatedVersion="8" minRefreshableVersion="3" useAutoFormatting="1" subtotalHiddenItems="1" itemPrintTitles="1" createdVersion="8" indent="0" outline="1" outlineData="1" multipleFieldFilters="0" chartFormat="8" rowHeaderCaption="Location">
  <location ref="AA4:AB17"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Items count="1">
    <i/>
  </colItems>
  <dataFields count="1">
    <dataField fld="2" subtotal="count" baseField="0" baseItem="0"/>
  </dataFields>
  <formats count="3">
    <format dxfId="147">
      <pivotArea outline="0" collapsedLevelsAreSubtotals="1" fieldPosition="0"/>
    </format>
    <format dxfId="146">
      <pivotArea outline="0" fieldPosition="0">
        <references count="1">
          <reference field="4294967294" count="1">
            <x v="0"/>
          </reference>
        </references>
      </pivotArea>
    </format>
    <format dxfId="145">
      <pivotArea collapsedLevelsAreSubtotals="1" fieldPosition="0">
        <references count="1">
          <reference field="3" count="0"/>
        </references>
      </pivotArea>
    </format>
  </format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51DA0B-2FED-464C-9851-67DB8E637F26}"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Location">
  <location ref="J7:K13"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2"/>
    </i>
    <i>
      <x v="4"/>
    </i>
    <i>
      <x v="1"/>
    </i>
    <i>
      <x/>
    </i>
    <i t="grand">
      <x/>
    </i>
  </rowItems>
  <colItems count="1">
    <i/>
  </colItems>
  <dataFields count="1">
    <dataField fld="1"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2" type="count" id="2" iMeasureHier="40">
      <autoFilter ref="A1">
        <filterColumn colId="0">
          <top10 top="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8661AF-DA71-475F-BA7C-593DC8EAFCD1}" name="PivotTable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Location">
  <location ref="G7:H13"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i>
    <i>
      <x v="1"/>
    </i>
    <i>
      <x v="3"/>
    </i>
    <i>
      <x v="2"/>
    </i>
    <i t="grand">
      <x/>
    </i>
  </rowItems>
  <colItems count="1">
    <i/>
  </colItems>
  <dataFields count="1">
    <dataField fld="1"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2" type="count" id="2" iMeasureHier="4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913D45E-DE2C-439F-886C-6C516991580A}" name="PivotTable11" cacheId="14" applyNumberFormats="0" applyBorderFormats="0" applyFontFormats="0" applyPatternFormats="0" applyAlignmentFormats="0" applyWidthHeightFormats="1" dataCaption="Values" tag="17e73826-87ae-425f-8f29-e7e8c93b6a94" updatedVersion="8" minRefreshableVersion="3" useAutoFormatting="1" subtotalHiddenItems="1" itemPrintTitles="1" createdVersion="8" indent="0" outline="1" outlineData="1" multipleFieldFilters="0" chartFormat="8" rowHeaderCaption="Location">
  <location ref="AD4:AE17"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Items count="1">
    <i/>
  </colItems>
  <dataFields count="1">
    <dataField fld="2" subtotal="count" showDataAs="percentDiff" baseField="3" baseItem="1048828" numFmtId="10"/>
  </dataFields>
  <formats count="3">
    <format dxfId="150">
      <pivotArea outline="0" collapsedLevelsAreSubtotals="1" fieldPosition="0"/>
    </format>
    <format dxfId="149">
      <pivotArea collapsedLevelsAreSubtotals="1" fieldPosition="0">
        <references count="1">
          <reference field="3" count="0"/>
        </references>
      </pivotArea>
    </format>
    <format dxfId="148">
      <pivotArea outline="0" fieldPosition="0">
        <references count="1">
          <reference field="4294967294" count="1">
            <x v="0"/>
          </reference>
        </references>
      </pivotArea>
    </format>
  </format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F176FE-872E-4F5D-9604-A7D45112D7E0}" name="PivotTable13" cacheId="17" applyNumberFormats="0" applyBorderFormats="0" applyFontFormats="0" applyPatternFormats="0" applyAlignmentFormats="0" applyWidthHeightFormats="1" dataCaption="Values" tag="0534813b-0849-4aa4-88b3-ec5f9e6a3d47" updatedVersion="8" minRefreshableVersion="3" useAutoFormatting="1" subtotalHiddenItems="1" itemPrintTitles="1" createdVersion="8" indent="0" outline="1" outlineData="1" multipleFieldFilters="0" chartFormat="8" rowHeaderCaption="Location">
  <location ref="AL4:AN5" firstHeaderRow="0" firstDataRow="1" firstDataCol="0"/>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2" subtotal="count" baseField="0" baseItem="0" numFmtId="165"/>
    <dataField fld="3" subtotal="count" baseField="0" baseItem="0"/>
    <dataField fld="4" subtotal="count" baseField="0" baseItem="0" numFmtId="165"/>
  </dataFields>
  <formats count="3">
    <format dxfId="153">
      <pivotArea outline="0" collapsedLevelsAreSubtotals="1" fieldPosition="0"/>
    </format>
    <format dxfId="152">
      <pivotArea outline="0" collapsedLevelsAreSubtotals="1" fieldPosition="0">
        <references count="1">
          <reference field="4294967294" count="1" selected="0">
            <x v="0"/>
          </reference>
        </references>
      </pivotArea>
    </format>
    <format dxfId="151">
      <pivotArea outline="0" collapsedLevelsAreSubtotals="1" fieldPosition="0">
        <references count="1">
          <reference field="4294967294" count="1" selected="0">
            <x v="2"/>
          </reference>
        </references>
      </pivotArea>
    </format>
  </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Query1]"/>
        <x15:activeTabTopLevelEntity name="[Dim_customer]"/>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D7AB317-03C9-48AB-8F95-D137A6B4ECD3}" name="PivotTable8" cacheId="12" applyNumberFormats="0" applyBorderFormats="0" applyFontFormats="0" applyPatternFormats="0" applyAlignmentFormats="0" applyWidthHeightFormats="1" dataCaption="Values" tag="5537a9d5-ccbd-445b-abdb-67d0fbf5e91a" updatedVersion="8" minRefreshableVersion="3" useAutoFormatting="1" subtotalHiddenItems="1" itemPrintTitles="1" createdVersion="8" indent="0" outline="1" outlineData="1" multipleFieldFilters="0" chartFormat="2" rowHeaderCaption="Location">
  <location ref="U4:U5"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age" fld="2" subtotal="average" baseField="0" baseItem="0" numFmtId="1"/>
  </dataFields>
  <formats count="1">
    <format dxfId="154">
      <pivotArea outline="0" collapsedLevelsAreSubtotals="1" fieldPosition="0"/>
    </format>
  </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2" iMeasureHier="4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8C7FED-8CB0-45D4-BB70-A06E0C3D8B13}" name="PivotTable8" cacheId="147" applyNumberFormats="0" applyBorderFormats="0" applyFontFormats="0" applyPatternFormats="0" applyAlignmentFormats="0" applyWidthHeightFormats="1" dataCaption="Values" tag="9c42dca1-6d45-4336-8dea-c2b3ed2ea638" updatedVersion="8" minRefreshableVersion="3" useAutoFormatting="1" subtotalHiddenItems="1" itemPrintTitles="1" createdVersion="8" indent="0" outline="1" outlineData="1" multipleFieldFilters="0" chartFormat="4">
  <location ref="A3:C16" firstHeaderRow="0" firstDataRow="1" firstDataCol="1"/>
  <pivotFields count="4">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2" subtotal="count" baseField="0" baseItem="0"/>
  </dataFields>
  <formats count="1">
    <format dxfId="126">
      <pivotArea collapsedLevelsAreSubtotals="1" fieldPosition="0">
        <references count="1">
          <reference field="1" count="0"/>
        </references>
      </pivotArea>
    </format>
  </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Miller]"/>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sales_persons_table]"/>
        <x15:activeTabTopLevelEntity name="[Date]"/>
        <x15:activeTabTopLevelEntity name="[monthly_store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AC5E4A4-D36A-45F4-AB04-CE14B989CA5A}" name="PivotTable11" cacheId="153" applyNumberFormats="0" applyBorderFormats="0" applyFontFormats="0" applyPatternFormats="0" applyAlignmentFormats="0" applyWidthHeightFormats="1" dataCaption="Values" tag="e68fe007-3c61-43be-99b0-5da0ccc88d56" updatedVersion="8" minRefreshableVersion="3" useAutoFormatting="1" subtotalHiddenItems="1" itemPrintTitles="1" createdVersion="8" indent="0" outline="1" outlineData="1" multipleFieldFilters="0" chartFormat="4">
  <location ref="AL3:AN8" firstHeaderRow="0" firstDataRow="1" firstDataCol="1"/>
  <pivotFields count="5">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5">
    <i>
      <x/>
    </i>
    <i>
      <x v="1"/>
    </i>
    <i>
      <x v="2"/>
    </i>
    <i>
      <x v="3"/>
    </i>
    <i t="grand">
      <x/>
    </i>
  </rowItems>
  <colFields count="1">
    <field x="-2"/>
  </colFields>
  <colItems count="2">
    <i>
      <x/>
    </i>
    <i i="1">
      <x v="1"/>
    </i>
  </colItems>
  <dataFields count="2">
    <dataField name="Total revenue" fld="0" subtotal="count" baseField="0" baseItem="0">
      <extLst>
        <ext xmlns:x14="http://schemas.microsoft.com/office/spreadsheetml/2009/9/main" uri="{E15A36E0-9728-4e99-A89B-3F7291B0FE68}">
          <x14:dataField sourceField="0" uniqueName="[__Xl2].[Measures].[Total revenue]"/>
        </ext>
      </extLst>
    </dataField>
    <dataField name="Total revenue2" fld="4" subtotal="count" showDataAs="percentDiff" baseField="2" baseItem="1048828" numFmtId="10">
      <extLst>
        <ext xmlns:x14="http://schemas.microsoft.com/office/spreadsheetml/2009/9/main" uri="{E15A36E0-9728-4e99-A89B-3F7291B0FE68}">
          <x14:dataField sourceField="0"/>
        </ext>
      </extLst>
    </dataField>
  </dataFields>
  <formats count="4">
    <format dxfId="130">
      <pivotArea collapsedLevelsAreSubtotals="1" fieldPosition="0">
        <references count="2">
          <reference field="4294967294" count="1" selected="0">
            <x v="1"/>
          </reference>
          <reference field="2" count="0"/>
        </references>
      </pivotArea>
    </format>
    <format dxfId="129">
      <pivotArea outline="0" fieldPosition="0">
        <references count="1">
          <reference field="4294967294" count="1">
            <x v="1"/>
          </reference>
        </references>
      </pivotArea>
    </format>
    <format dxfId="128">
      <pivotArea collapsedLevelsAreSubtotals="1" fieldPosition="0">
        <references count="2">
          <reference field="4294967294" count="1" selected="0">
            <x v="1"/>
          </reference>
          <reference field="2" count="0"/>
        </references>
      </pivotArea>
    </format>
    <format dxfId="127">
      <pivotArea collapsedLevelsAreSubtotals="1" fieldPosition="0">
        <references count="2">
          <reference field="4294967294" count="1" selected="0">
            <x v="0"/>
          </reference>
          <reference field="2" count="0"/>
        </references>
      </pivotArea>
    </format>
  </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Miller]"/>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Query1]"/>
        <x15:activeTabTopLevelEntity name="[sales_persons_table]"/>
        <x15:activeTabTopLevelEntity name="[Date]"/>
        <x15:activeTabTopLevelEntity name="[monthly_store_tar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75FB3EC-AEDE-4175-AC6D-F57D233410A4}" name="PivotTable17" cacheId="156" applyNumberFormats="0" applyBorderFormats="0" applyFontFormats="0" applyPatternFormats="0" applyAlignmentFormats="0" applyWidthHeightFormats="1" dataCaption="Values" tag="3879ba91-9866-4287-b73e-8b9b84f32685" updatedVersion="8" minRefreshableVersion="3" useAutoFormatting="1" itemPrintTitles="1" createdVersion="8" indent="0" outline="1" outlineData="1" multipleFieldFilters="0">
  <location ref="A74:H75"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8"/>
    <dataField fld="1" subtotal="count" baseField="0" baseItem="0" numFmtId="168"/>
    <dataField fld="2" subtotal="count" baseField="0" baseItem="0" numFmtId="168"/>
    <dataField fld="3" subtotal="count" baseField="0" baseItem="0"/>
    <dataField fld="4" subtotal="count" baseField="0" baseItem="0"/>
    <dataField fld="5" subtotal="count" baseField="0" baseItem="0"/>
    <dataField fld="6" subtotal="count" baseField="0" baseItem="0"/>
    <dataField fld="7" subtotal="count" baseField="0" baseItem="0" numFmtId="168"/>
  </dataFields>
  <formats count="4">
    <format dxfId="134">
      <pivotArea outline="0" collapsedLevelsAreSubtotals="1" fieldPosition="0">
        <references count="1">
          <reference field="4294967294" count="1" selected="0">
            <x v="0"/>
          </reference>
        </references>
      </pivotArea>
    </format>
    <format dxfId="133">
      <pivotArea outline="0" collapsedLevelsAreSubtotals="1" fieldPosition="0">
        <references count="1">
          <reference field="4294967294" count="1" selected="0">
            <x v="1"/>
          </reference>
        </references>
      </pivotArea>
    </format>
    <format dxfId="132">
      <pivotArea outline="0" collapsedLevelsAreSubtotals="1" fieldPosition="0">
        <references count="1">
          <reference field="4294967294" count="1" selected="0">
            <x v="2"/>
          </reference>
        </references>
      </pivotArea>
    </format>
    <format dxfId="131">
      <pivotArea outline="0" collapsedLevelsAreSubtotals="1" fieldPosition="0">
        <references count="1">
          <reference field="4294967294" count="1" selected="0">
            <x v="7"/>
          </reference>
        </references>
      </pivotArea>
    </format>
  </formats>
  <pivotHierarchies count="62">
    <pivotHierarchy dragToData="1"/>
    <pivotHierarchy dragToData="1"/>
    <pivotHierarchy multipleItemSelectionAllowed="1" dragToData="1">
      <members count="1" level="1">
        <member name="[Dat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Miller]"/>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A970D80-C675-40DD-9C68-090D2B068915}" name="PivotTable10" cacheId="150" applyNumberFormats="0" applyBorderFormats="0" applyFontFormats="0" applyPatternFormats="0" applyAlignmentFormats="0" applyWidthHeightFormats="1" dataCaption="Values" tag="e9b18b21-3cc6-49ae-9520-252330a9bdac" updatedVersion="8" minRefreshableVersion="3" useAutoFormatting="1" subtotalHiddenItems="1" itemPrintTitles="1" createdVersion="8" indent="0" outline="1" outlineData="1" multipleFieldFilters="0" chartFormat="4">
  <location ref="S3:T6" firstHeaderRow="1" firstDataRow="1" firstDataCol="1"/>
  <pivotFields count="4">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fld="0" subtotal="count" baseField="0" baseItem="0"/>
  </dataField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Miller]"/>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sales_persons_table]"/>
        <x15:activeTabTopLevelEntity name="[Date]"/>
        <x15:activeTabTopLevelEntity name="[monthly_store_targe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CF3E55E-F786-49CE-9048-AEAE1CE182D5}" sourceName="[Date].[Month]">
  <pivotTables>
    <pivotTable tabId="1" name="PivotTable6"/>
    <pivotTable tabId="1" name="PivotTable2"/>
    <pivotTable tabId="1" name="PivotTable7"/>
    <pivotTable tabId="8" name="PivotTable1"/>
    <pivotTable tabId="8" name="PivotTable12"/>
    <pivotTable tabId="8" name="PivotTable14"/>
    <pivotTable tabId="8" name="PivotTable15"/>
    <pivotTable tabId="8" name="PivotTable2"/>
    <pivotTable tabId="8" name="PivotTable3"/>
    <pivotTable tabId="8" name="PivotTable4"/>
    <pivotTable tabId="8" name="PivotTable6"/>
    <pivotTable tabId="8" name="PivotTable7"/>
    <pivotTable tabId="8" name="PivotTable8"/>
    <pivotTable tabId="8" name="PivotTable9"/>
    <pivotTable tabId="8" name="PivotTable11"/>
    <pivotTable tabId="8" name="PivotTable10"/>
    <pivotTable tabId="8" name="PivotTable5"/>
    <pivotTable tabId="8" name="PivotTable13"/>
  </pivotTables>
  <data>
    <olap pivotCacheId="1190095244">
      <levels count="2">
        <level uniqueName="[Date].[Month].[(All)]" sourceCaption="(All)" count="0"/>
        <level uniqueName="[Date].[Month].[Month]" sourceCaption="Month" count="12">
          <ranges>
            <range startItem="0">
              <i n="[Date].[Month].&amp;[Jan]" c="Jan"/>
              <i n="[Date].[Month].&amp;[Feb]" c="Feb"/>
              <i n="[Date].[Month].&amp;[Mar]" c="Mar"/>
              <i n="[Date].[Month].&amp;[Apr]" c="Apr"/>
              <i n="[Date].[Month].&amp;[May]" c="May"/>
              <i n="[Date].[Month].&amp;[Jun]" c="Jun"/>
              <i n="[Date].[Month].&amp;[Jul]" c="Jul"/>
              <i n="[Date].[Month].&amp;[Aug]" c="Aug"/>
              <i n="[Date].[Month].&amp;[Sep]" c="Sep"/>
              <i n="[Date].[Month].&amp;[Oct]" c="Oct"/>
              <i n="[Date].[Month].&amp;[Nov]" c="Nov"/>
              <i n="[Date].[Month].&amp;[Dec]" c="Dec"/>
            </range>
          </ranges>
        </level>
      </levels>
      <selections count="1">
        <selection n="[Dat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DA04754E-C5BF-4CD4-AE11-CC0C29AF6AEA}" sourceName="[sales_persons_table].[Store Name]">
  <pivotTables>
    <pivotTable tabId="7" name="PivotTable8"/>
    <pivotTable tabId="7" name="PivotTable10"/>
    <pivotTable tabId="7" name="PivotTable11"/>
    <pivotTable tabId="7" name="PivotTable17"/>
  </pivotTables>
  <data>
    <olap pivotCacheId="478786511">
      <levels count="2">
        <level uniqueName="[sales_persons_table].[Store Name].[(All)]" sourceCaption="(All)" count="0"/>
        <level uniqueName="[sales_persons_table].[Store Name].[Store Name]" sourceCaption="Store Name" count="10">
          <ranges>
            <range startItem="0">
              <i n="[sales_persons_table].[Store Name].&amp;[Barron-Fleming]" c="Barron-Fleming"/>
              <i n="[sales_persons_table].[Store Name].&amp;[Berg-Trujillo]" c="Berg-Trujillo"/>
              <i n="[sales_persons_table].[Store Name].&amp;[Lee-Myers]" c="Lee-Myers"/>
              <i n="[sales_persons_table].[Store Name].&amp;[Lopez]" c="Lopez"/>
              <i n="[sales_persons_table].[Store Name].&amp;[Martinez]" c="Martinez"/>
              <i n="[sales_persons_table].[Store Name].&amp;[Miller]" c="Miller"/>
              <i n="[sales_persons_table].[Store Name].&amp;[Myers-Lopez]" c="Myers-Lopez"/>
              <i n="[sales_persons_table].[Store Name].&amp;[Novak PLC]" c="Novak PLC"/>
              <i n="[sales_persons_table].[Store Name].&amp;[Thomas]" c="Thomas"/>
              <i n="[sales_persons_table].[Store Name].&amp;[Valdez]" c="Valdez"/>
            </range>
          </ranges>
        </level>
      </levels>
      <selections count="1">
        <selection n="[sales_persons_table].[Store Name].&amp;[Mille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32B1CA-3A98-4BC1-9612-0A803D8856AD}" sourceName="[dim_products].[Category]">
  <pivotTables>
    <pivotTable tabId="8" name="PivotTable1"/>
    <pivotTable tabId="8" name="PivotTable10"/>
    <pivotTable tabId="8" name="PivotTable11"/>
    <pivotTable tabId="8" name="PivotTable12"/>
    <pivotTable tabId="8" name="PivotTable13"/>
    <pivotTable tabId="8" name="PivotTable14"/>
    <pivotTable tabId="8" name="PivotTable15"/>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olap pivotCacheId="407403124">
      <levels count="2">
        <level uniqueName="[dim_products].[Category].[(All)]" sourceCaption="(All)" count="0"/>
        <level uniqueName="[dim_products].[Category].[Category]" sourceCaption="Category" count="8">
          <ranges>
            <range startItem="0">
              <i n="[dim_products].[Category].&amp;[Alcoholic Beverage]" c="Alcoholic Beverage"/>
              <i n="[dim_products].[Category].&amp;[Coffee]" c="Coffee"/>
              <i n="[dim_products].[Category].&amp;[Energy Drink]" c="Energy Drink"/>
              <i n="[dim_products].[Category].&amp;[Juice]" c="Juice"/>
              <i n="[dim_products].[Category].&amp;[Soft Drink]" c="Soft Drink"/>
              <i n="[dim_products].[Category].&amp;[Sports Drink]" c="Sports Drink"/>
              <i n="[dim_products].[Category].&amp;[Tea]" c="Tea"/>
              <i n="[dim_products].[Category].&amp;[Water]" c="Water"/>
            </range>
          </ranges>
        </level>
      </levels>
      <selections count="1">
        <selection n="[dim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8AE831E5-8686-4978-9CC1-550FE8B2E357}" cache="Slicer_Month" caption="FILTER BY MONTH" columnCount="2" level="1" style="SlicerStyleLight1 2" rowHeight="365760"/>
  <slicer name="Category 1" xr10:uid="{6A44392B-C2AD-4B97-BE4B-119716D6EA24}" cache="Slicer_Category" caption="Category" level="1" style="SlicerStyleLight1 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D126AAF-F627-466D-BCEC-670AC44C12D9}" cache="Slicer_Month" caption="FILTER BY MONTH" columnCount="2" level="1" style="SlicerStyleLight1 2"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5D38F6A-EEAE-40CF-88D8-4B9ACBDE5997}" cache="Slicer_Month" caption="Month"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6196C15B-462A-4BBD-9349-16CC52F8AE92}" cache="Slicer_Store_Name" caption="Store Name" level="1" style="SlicerStyleLight1 2"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EFDB50-7C57-47FE-A5AA-73A4567379CF}" cache="Slicer_Category" caption="Category"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C02D6B4E-7B42-4C53-A90E-690A14B2DADB}" cache="Slicer_Month" caption="Month" level="1" rowHeight="241300"/>
  <slicer name="Store Name" xr10:uid="{864C10B8-A427-4F8A-A52C-7C6D864FEC21}" cache="Slicer_Store_Name" caption="Store Na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3.xml"/><Relationship Id="rId4"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18" Type="http://schemas.openxmlformats.org/officeDocument/2006/relationships/ctrlProp" Target="../ctrlProps/ctrlProp4.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vmlDrawing" Target="../drawings/vmlDrawing4.vml"/><Relationship Id="rId2" Type="http://schemas.openxmlformats.org/officeDocument/2006/relationships/pivotTable" Target="../pivotTables/pivotTable5.xml"/><Relationship Id="rId16" Type="http://schemas.openxmlformats.org/officeDocument/2006/relationships/drawing" Target="../drawings/drawing6.xml"/><Relationship Id="rId20" Type="http://schemas.microsoft.com/office/2007/relationships/slicer" Target="../slicers/slicer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19" Type="http://schemas.openxmlformats.org/officeDocument/2006/relationships/ctrlProp" Target="../ctrlProps/ctrlProp5.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microsoft.com/office/2007/relationships/slicer" Target="../slicers/slicer6.xml"/><Relationship Id="rId5" Type="http://schemas.openxmlformats.org/officeDocument/2006/relationships/drawing" Target="../drawings/drawing7.xml"/><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5E95E-29F3-4D69-9C5E-4C8E38690B47}">
  <sheetPr codeName="Sheet5"/>
  <dimension ref="A1"/>
  <sheetViews>
    <sheetView showGridLines="0" tabSelected="1" topLeftCell="B1" zoomScale="55" zoomScaleNormal="64" workbookViewId="0">
      <selection activeCell="AG26" sqref="AG26"/>
    </sheetView>
  </sheetViews>
  <sheetFormatPr defaultRowHeight="14.5" x14ac:dyDescent="0.35"/>
  <sheetData/>
  <sheetProtection algorithmName="SHA-512" hashValue="OXUzKJ6F3GKYWVbRCId9gGFo5zzZoIUY35buJ/tITO03gnidM8HNouSMVF9cl0w5cAyn84vi6S/Sm0oXdBsTIQ==" saltValue="IXYD5sE8AlzTkafd9tvDRQ==" spinCount="100000" sheet="1" objects="1" scenarios="1" selectLockedCells="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Option Button 1">
              <controlPr locked="0" defaultSize="0" autoFill="0" autoLine="0" autoPict="0">
                <anchor>
                  <from>
                    <xdr:col>10</xdr:col>
                    <xdr:colOff>203200</xdr:colOff>
                    <xdr:row>12</xdr:row>
                    <xdr:rowOff>171450</xdr:rowOff>
                  </from>
                  <to>
                    <xdr:col>11</xdr:col>
                    <xdr:colOff>107950</xdr:colOff>
                    <xdr:row>14</xdr:row>
                    <xdr:rowOff>146050</xdr:rowOff>
                  </to>
                </anchor>
              </controlPr>
            </control>
          </mc:Choice>
        </mc:AlternateContent>
        <mc:AlternateContent xmlns:mc="http://schemas.openxmlformats.org/markup-compatibility/2006">
          <mc:Choice Requires="x14">
            <control shapeId="7170" r:id="rId4" name="Option Button 2">
              <controlPr locked="0" defaultSize="0" autoFill="0" autoLine="0" autoPict="0">
                <anchor>
                  <from>
                    <xdr:col>11</xdr:col>
                    <xdr:colOff>323850</xdr:colOff>
                    <xdr:row>12</xdr:row>
                    <xdr:rowOff>177800</xdr:rowOff>
                  </from>
                  <to>
                    <xdr:col>12</xdr:col>
                    <xdr:colOff>44450</xdr:colOff>
                    <xdr:row>14</xdr:row>
                    <xdr:rowOff>133350</xdr:rowOff>
                  </to>
                </anchor>
              </controlPr>
            </control>
          </mc:Choice>
        </mc:AlternateContent>
        <mc:AlternateContent xmlns:mc="http://schemas.openxmlformats.org/markup-compatibility/2006">
          <mc:Choice Requires="x14">
            <control shapeId="7" r:id="rId5" name="Drop Down 7">
              <controlPr locked="0" defaultSize="0" autoLine="0" autoPict="0">
                <anchor>
                  <from>
                    <xdr:col>15</xdr:col>
                    <xdr:colOff>298450</xdr:colOff>
                    <xdr:row>13</xdr:row>
                    <xdr:rowOff>57150</xdr:rowOff>
                  </from>
                  <to>
                    <xdr:col>17</xdr:col>
                    <xdr:colOff>44450</xdr:colOff>
                    <xdr:row>14</xdr:row>
                    <xdr:rowOff>101600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F0A7-9A0A-41F8-9FD0-AC64E772F61E}">
  <sheetPr codeName="Sheet2"/>
  <dimension ref="A1"/>
  <sheetViews>
    <sheetView showGridLines="0" zoomScale="56" zoomScaleNormal="190" workbookViewId="0">
      <selection activeCell="AB17" sqref="AB17"/>
    </sheetView>
  </sheetViews>
  <sheetFormatPr defaultRowHeight="14.5" x14ac:dyDescent="0.35"/>
  <sheetData/>
  <sheetProtection algorithmName="SHA-512" hashValue="jtANrWoJ0xr2MD7pzZYbbNBiv1iBOzHKfhucgl5pEgHV20/PRleKQYkvYBZ7LGj8IJ88xDogBidHn0LxwnAFxA==" saltValue="uez5VSahMwLJ2ArTmX6ieA==" spinCount="100000" sheet="1" objects="1" scenarios="1" selectLockedCell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0D53B-93D3-483C-B081-450EAC55D3E9}">
  <sheetPr codeName="Sheet3"/>
  <dimension ref="A1:AE17"/>
  <sheetViews>
    <sheetView zoomScale="75" workbookViewId="0">
      <selection activeCell="E10" sqref="E10"/>
    </sheetView>
  </sheetViews>
  <sheetFormatPr defaultRowHeight="14.5" x14ac:dyDescent="0.35"/>
  <cols>
    <col min="1" max="1" width="12.90625" bestFit="1" customWidth="1"/>
    <col min="2" max="2" width="6.6328125" bestFit="1" customWidth="1"/>
    <col min="3" max="3" width="12.1796875" bestFit="1" customWidth="1"/>
    <col min="4" max="4" width="16.81640625" bestFit="1" customWidth="1"/>
    <col min="5" max="5" width="12.7265625" bestFit="1" customWidth="1"/>
    <col min="6" max="6" width="11.453125" bestFit="1" customWidth="1"/>
    <col min="7" max="7" width="11.26953125" bestFit="1" customWidth="1"/>
    <col min="8" max="8" width="13.26953125" bestFit="1" customWidth="1"/>
    <col min="9" max="9" width="8.1796875" bestFit="1" customWidth="1"/>
    <col min="10" max="10" width="12.36328125" bestFit="1" customWidth="1"/>
    <col min="11" max="11" width="11" bestFit="1" customWidth="1"/>
    <col min="12" max="12" width="11.7265625" bestFit="1" customWidth="1"/>
    <col min="13" max="13" width="10.6328125" bestFit="1" customWidth="1"/>
    <col min="14" max="14" width="8.7265625" style="9"/>
    <col min="15" max="15" width="14" bestFit="1" customWidth="1"/>
    <col min="16" max="16" width="12.90625" bestFit="1" customWidth="1"/>
    <col min="17" max="17" width="11" bestFit="1" customWidth="1"/>
    <col min="18" max="19" width="10.90625" bestFit="1" customWidth="1"/>
    <col min="20" max="20" width="11.90625" bestFit="1" customWidth="1"/>
    <col min="21" max="24" width="10.90625" bestFit="1" customWidth="1"/>
    <col min="27" max="27" width="8.7265625" style="9"/>
    <col min="29" max="29" width="13.81640625" bestFit="1" customWidth="1"/>
    <col min="30" max="30" width="12.90625" bestFit="1" customWidth="1"/>
  </cols>
  <sheetData>
    <row r="1" spans="1:31" x14ac:dyDescent="0.35">
      <c r="B1" s="44" t="s">
        <v>36</v>
      </c>
      <c r="C1" s="44"/>
      <c r="D1" s="44"/>
      <c r="E1" s="44"/>
      <c r="F1" s="44"/>
      <c r="G1" s="44"/>
      <c r="H1" s="44"/>
      <c r="I1" s="44"/>
      <c r="O1" s="43" t="s">
        <v>35</v>
      </c>
      <c r="P1" s="43"/>
      <c r="Q1" s="43"/>
      <c r="R1" s="43"/>
      <c r="S1" s="43"/>
      <c r="T1" s="43"/>
      <c r="U1" s="43"/>
      <c r="V1" s="43"/>
      <c r="W1" s="43"/>
      <c r="X1" s="43"/>
      <c r="Y1" s="43"/>
      <c r="AC1" s="45" t="s">
        <v>37</v>
      </c>
      <c r="AD1" s="45"/>
      <c r="AE1" s="45"/>
    </row>
    <row r="2" spans="1:31" x14ac:dyDescent="0.35">
      <c r="B2" s="44"/>
      <c r="C2" s="44"/>
      <c r="D2" s="44"/>
      <c r="E2" s="44"/>
      <c r="F2" s="44"/>
      <c r="G2" s="44"/>
      <c r="H2" s="44"/>
      <c r="I2" s="44"/>
      <c r="O2" s="43"/>
      <c r="P2" s="43"/>
      <c r="Q2" s="43"/>
      <c r="R2" s="43"/>
      <c r="S2" s="43"/>
      <c r="T2" s="43"/>
      <c r="U2" s="43"/>
      <c r="V2" s="43"/>
      <c r="W2" s="43"/>
      <c r="X2" s="43"/>
      <c r="Y2" s="43"/>
      <c r="AC2" s="45"/>
      <c r="AD2" s="45"/>
      <c r="AE2" s="45"/>
    </row>
    <row r="3" spans="1:31" x14ac:dyDescent="0.35">
      <c r="A3" t="s">
        <v>2</v>
      </c>
      <c r="B3" t="s">
        <v>3</v>
      </c>
      <c r="C3" t="s">
        <v>4</v>
      </c>
      <c r="D3" t="s">
        <v>5</v>
      </c>
      <c r="E3" t="s">
        <v>6</v>
      </c>
      <c r="F3" t="s">
        <v>7</v>
      </c>
      <c r="G3" t="s">
        <v>8</v>
      </c>
      <c r="H3" t="s">
        <v>9</v>
      </c>
      <c r="I3" t="s">
        <v>10</v>
      </c>
      <c r="J3" t="s">
        <v>11</v>
      </c>
      <c r="K3" t="s">
        <v>12</v>
      </c>
      <c r="O3" s="1" t="s">
        <v>0</v>
      </c>
      <c r="P3" t="s">
        <v>2</v>
      </c>
      <c r="Q3" t="s">
        <v>12</v>
      </c>
      <c r="T3" s="6" t="s">
        <v>38</v>
      </c>
      <c r="U3" s="6" t="s">
        <v>39</v>
      </c>
      <c r="W3" s="7"/>
    </row>
    <row r="4" spans="1:31" x14ac:dyDescent="0.35">
      <c r="A4" s="11">
        <v>5446809.4700000202</v>
      </c>
      <c r="B4" s="11">
        <v>3149297.4099999927</v>
      </c>
      <c r="C4" s="11">
        <v>2297512.0600000275</v>
      </c>
      <c r="D4" s="4">
        <v>0.42180878047126164</v>
      </c>
      <c r="E4" s="5">
        <v>20000</v>
      </c>
      <c r="F4" s="11">
        <v>438297.51000000123</v>
      </c>
      <c r="G4" s="4">
        <v>8.0468669303389667E-2</v>
      </c>
      <c r="H4" s="5">
        <v>100</v>
      </c>
      <c r="I4" s="5">
        <v>606148</v>
      </c>
      <c r="J4" s="5">
        <v>48662</v>
      </c>
      <c r="K4" s="11">
        <v>5254990</v>
      </c>
      <c r="O4" s="2" t="s">
        <v>19</v>
      </c>
      <c r="P4" s="3">
        <v>565168.15000000014</v>
      </c>
      <c r="Q4" s="3">
        <v>445958</v>
      </c>
      <c r="S4" s="2" t="s">
        <v>22</v>
      </c>
      <c r="T4" s="10">
        <f>GETPIVOTDATA("[Measures].[Total revenue]",$O$3,"[sales_persons_table].[Store Name]","[sales_persons_table].[Store Name].&amp;[Valdez]")</f>
        <v>558181.42000000004</v>
      </c>
      <c r="U4" s="10">
        <f>GETPIVOTDATA("[Measures].[Total target]",$O$3,"[sales_persons_table].[Store Name]","[sales_persons_table].[Store Name].&amp;[Valdez]")</f>
        <v>504552</v>
      </c>
      <c r="V4" s="2" t="s">
        <v>22</v>
      </c>
      <c r="W4" s="10">
        <f t="shared" ref="W4:W13" si="0">-(U4-T4)</f>
        <v>53629.420000000042</v>
      </c>
      <c r="X4" s="2" t="s">
        <v>22</v>
      </c>
      <c r="Y4" s="8">
        <f t="shared" ref="Y4:Y6" si="1">W4/U4</f>
        <v>0.10629116523173041</v>
      </c>
      <c r="AC4" s="1" t="s">
        <v>0</v>
      </c>
      <c r="AD4" t="s">
        <v>2</v>
      </c>
    </row>
    <row r="5" spans="1:31" x14ac:dyDescent="0.35">
      <c r="O5" s="2" t="s">
        <v>22</v>
      </c>
      <c r="P5" s="3">
        <v>558181.42000000004</v>
      </c>
      <c r="Q5" s="3">
        <v>504552</v>
      </c>
      <c r="S5" s="2" t="s">
        <v>21</v>
      </c>
      <c r="T5" s="10">
        <f>GETPIVOTDATA("[Measures].[Total revenue]",$O$3,"[sales_persons_table].[Store Name]","[sales_persons_table].[Store Name].&amp;[Thomas]")</f>
        <v>537047.05999999982</v>
      </c>
      <c r="U5" s="10">
        <f>GETPIVOTDATA("[Measures].[Total target]",$O$3,"[sales_persons_table].[Store Name]","[sales_persons_table].[Store Name].&amp;[Thomas]")</f>
        <v>485684</v>
      </c>
      <c r="V5" s="2" t="s">
        <v>21</v>
      </c>
      <c r="W5" s="10">
        <f t="shared" si="0"/>
        <v>51363.059999999823</v>
      </c>
      <c r="X5" s="2" t="s">
        <v>21</v>
      </c>
      <c r="Y5" s="8">
        <f t="shared" si="1"/>
        <v>0.10575407054792792</v>
      </c>
      <c r="AC5" s="2" t="s">
        <v>28</v>
      </c>
      <c r="AD5" s="3">
        <v>444162.52</v>
      </c>
    </row>
    <row r="6" spans="1:31" x14ac:dyDescent="0.35">
      <c r="O6" s="2" t="s">
        <v>15</v>
      </c>
      <c r="P6" s="3">
        <v>548423.81999999995</v>
      </c>
      <c r="Q6" s="3">
        <v>418186</v>
      </c>
      <c r="S6" s="2" t="s">
        <v>20</v>
      </c>
      <c r="T6" s="10">
        <f>GETPIVOTDATA("[Measures].[Total revenue]",$O$3,"[sales_persons_table].[Store Name]","[sales_persons_table].[Store Name].&amp;[Novak PLC]")</f>
        <v>536180.92999999993</v>
      </c>
      <c r="U6" s="10">
        <f>GETPIVOTDATA("[Measures].[Total target]",$O$3,"[sales_persons_table].[Store Name]","[sales_persons_table].[Store Name].&amp;[Novak PLC]")</f>
        <v>711271</v>
      </c>
      <c r="V6" s="2" t="s">
        <v>20</v>
      </c>
      <c r="W6" s="10">
        <f t="shared" si="0"/>
        <v>-175090.07000000007</v>
      </c>
      <c r="X6" s="2" t="s">
        <v>20</v>
      </c>
      <c r="Y6" s="8">
        <f t="shared" si="1"/>
        <v>-0.24616506226178217</v>
      </c>
      <c r="AC6" s="2" t="s">
        <v>27</v>
      </c>
      <c r="AD6" s="3">
        <v>423741.52</v>
      </c>
    </row>
    <row r="7" spans="1:31" x14ac:dyDescent="0.35">
      <c r="O7" s="2" t="s">
        <v>18</v>
      </c>
      <c r="P7" s="3">
        <v>547475.30000000005</v>
      </c>
      <c r="Q7" s="3">
        <v>646080</v>
      </c>
      <c r="S7" s="2" t="s">
        <v>19</v>
      </c>
      <c r="T7" s="10">
        <f>GETPIVOTDATA("[Measures].[Total revenue]",$O$3,"[sales_persons_table].[Store Name]","[sales_persons_table].[Store Name].&amp;[Myers-Lopez]")</f>
        <v>565168.15000000014</v>
      </c>
      <c r="U7" s="10">
        <f>GETPIVOTDATA("[Measures].[Total target]",$O$3,"[sales_persons_table].[Store Name]","[sales_persons_table].[Store Name].&amp;[Myers-Lopez]")</f>
        <v>445958</v>
      </c>
      <c r="V7" s="2" t="s">
        <v>19</v>
      </c>
      <c r="W7" s="10">
        <f t="shared" si="0"/>
        <v>119210.15000000014</v>
      </c>
      <c r="X7" s="2" t="s">
        <v>19</v>
      </c>
      <c r="Y7" s="8">
        <f>W7/U7</f>
        <v>0.26731250476502305</v>
      </c>
      <c r="AC7" s="2" t="s">
        <v>30</v>
      </c>
      <c r="AD7" s="3">
        <v>468344.26999999955</v>
      </c>
    </row>
    <row r="8" spans="1:31" x14ac:dyDescent="0.35">
      <c r="O8" s="2" t="s">
        <v>13</v>
      </c>
      <c r="P8" s="3">
        <v>546574.63</v>
      </c>
      <c r="Q8" s="3">
        <v>422011</v>
      </c>
      <c r="S8" s="2" t="s">
        <v>18</v>
      </c>
      <c r="T8" s="10">
        <f>GETPIVOTDATA("[Measures].[Total revenue]",$O$3,"[sales_persons_table].[Store Name]","[sales_persons_table].[Store Name].&amp;[Miller]")</f>
        <v>547475.30000000005</v>
      </c>
      <c r="U8" s="10">
        <f>GETPIVOTDATA("[Measures].[Total target]",$O$3,"[sales_persons_table].[Store Name]","[sales_persons_table].[Store Name].&amp;[Miller]")</f>
        <v>646080</v>
      </c>
      <c r="V8" s="2" t="s">
        <v>18</v>
      </c>
      <c r="W8" s="10">
        <f t="shared" si="0"/>
        <v>-98604.699999999953</v>
      </c>
      <c r="X8" s="2" t="s">
        <v>18</v>
      </c>
      <c r="Y8" s="8">
        <f t="shared" ref="Y8:Y13" si="2">W8/U8</f>
        <v>-0.15261995418524016</v>
      </c>
      <c r="AC8" s="2" t="s">
        <v>24</v>
      </c>
      <c r="AD8" s="3">
        <v>448652.76</v>
      </c>
    </row>
    <row r="9" spans="1:31" x14ac:dyDescent="0.35">
      <c r="C9" s="12" t="s">
        <v>40</v>
      </c>
      <c r="D9" s="12" t="s">
        <v>39</v>
      </c>
      <c r="E9" s="12" t="s">
        <v>41</v>
      </c>
      <c r="F9" s="8">
        <f>-(D10-C10)/D10</f>
        <v>3.6502347292767488E-2</v>
      </c>
      <c r="O9" s="2" t="s">
        <v>16</v>
      </c>
      <c r="P9" s="3">
        <v>545095.25999999989</v>
      </c>
      <c r="Q9" s="3">
        <v>419431</v>
      </c>
      <c r="S9" s="2" t="s">
        <v>17</v>
      </c>
      <c r="T9" s="10">
        <f>GETPIVOTDATA("[Measures].[Total revenue]",$O$3,"[sales_persons_table].[Store Name]","[sales_persons_table].[Store Name].&amp;[Martinez]")</f>
        <v>536475.9</v>
      </c>
      <c r="U9" s="10">
        <f>GETPIVOTDATA("[Measures].[Total target]",$O$3,"[sales_persons_table].[Store Name]","[sales_persons_table].[Store Name].&amp;[Martinez]")</f>
        <v>601307</v>
      </c>
      <c r="V9" s="2" t="s">
        <v>17</v>
      </c>
      <c r="W9" s="10">
        <f t="shared" si="0"/>
        <v>-64831.099999999977</v>
      </c>
      <c r="X9" s="2" t="s">
        <v>17</v>
      </c>
      <c r="Y9" s="8">
        <f t="shared" si="2"/>
        <v>-0.10781697202926288</v>
      </c>
      <c r="AC9" s="2" t="s">
        <v>31</v>
      </c>
      <c r="AD9" s="3">
        <v>480720.64000000013</v>
      </c>
    </row>
    <row r="10" spans="1:31" ht="21" x14ac:dyDescent="0.35">
      <c r="C10" s="11">
        <f>GETPIVOTDATA("[Measures].[Total revenue]",$A$3)</f>
        <v>5446809.4700000202</v>
      </c>
      <c r="D10" s="11">
        <f>GETPIVOTDATA("[Measures].[Total target]",$A$3)</f>
        <v>5254990</v>
      </c>
      <c r="E10" s="13" t="str">
        <f>IF(-(D10-C10)/D10&gt;0,"▲","▼")&amp;TEXT(F9,"+0.0%;-0.0%")</f>
        <v>▲+3.7%</v>
      </c>
      <c r="O10" s="2" t="s">
        <v>21</v>
      </c>
      <c r="P10" s="3">
        <v>537047.05999999982</v>
      </c>
      <c r="Q10" s="3">
        <v>485684</v>
      </c>
      <c r="S10" s="2" t="s">
        <v>16</v>
      </c>
      <c r="T10" s="10">
        <f>GETPIVOTDATA("[Measures].[Total revenue]",$O$3,"[sales_persons_table].[Store Name]","[sales_persons_table].[Store Name].&amp;[Lopez]")</f>
        <v>545095.25999999989</v>
      </c>
      <c r="U10" s="10">
        <f>GETPIVOTDATA("[Measures].[Total target]",$O$3,"[sales_persons_table].[Store Name]","[sales_persons_table].[Store Name].&amp;[Lopez]")</f>
        <v>419431</v>
      </c>
      <c r="V10" s="2" t="s">
        <v>16</v>
      </c>
      <c r="W10" s="10">
        <f t="shared" si="0"/>
        <v>125664.25999999989</v>
      </c>
      <c r="X10" s="2" t="s">
        <v>16</v>
      </c>
      <c r="Y10" s="8">
        <f t="shared" si="2"/>
        <v>0.29960651453993598</v>
      </c>
      <c r="AC10" s="2" t="s">
        <v>23</v>
      </c>
      <c r="AD10" s="3">
        <v>455501.1399999999</v>
      </c>
    </row>
    <row r="11" spans="1:31" x14ac:dyDescent="0.35">
      <c r="O11" s="2" t="s">
        <v>17</v>
      </c>
      <c r="P11" s="3">
        <v>536475.9</v>
      </c>
      <c r="Q11" s="3">
        <v>601307</v>
      </c>
      <c r="S11" s="2" t="s">
        <v>15</v>
      </c>
      <c r="T11" s="10">
        <f>GETPIVOTDATA("[Measures].[Total revenue]",$O$3,"[sales_persons_table].[Store Name]","[sales_persons_table].[Store Name].&amp;[Lee-Myers]")</f>
        <v>548423.81999999995</v>
      </c>
      <c r="U11" s="10">
        <f>GETPIVOTDATA("[Measures].[Total target]",$O$3,"[sales_persons_table].[Store Name]","[sales_persons_table].[Store Name].&amp;[Lee-Myers]")</f>
        <v>418186</v>
      </c>
      <c r="V11" s="2" t="s">
        <v>15</v>
      </c>
      <c r="W11" s="10">
        <f t="shared" si="0"/>
        <v>130237.81999999995</v>
      </c>
      <c r="X11" s="2" t="s">
        <v>15</v>
      </c>
      <c r="Y11" s="8">
        <f t="shared" si="2"/>
        <v>0.31143515086588253</v>
      </c>
      <c r="AC11" s="2" t="s">
        <v>29</v>
      </c>
      <c r="AD11" s="3">
        <v>433725.86000000057</v>
      </c>
    </row>
    <row r="12" spans="1:31" x14ac:dyDescent="0.35">
      <c r="O12" s="2" t="s">
        <v>20</v>
      </c>
      <c r="P12" s="3">
        <v>536180.92999999993</v>
      </c>
      <c r="Q12" s="3">
        <v>711271</v>
      </c>
      <c r="S12" s="2" t="s">
        <v>14</v>
      </c>
      <c r="T12" s="10">
        <f>GETPIVOTDATA("[Measures].[Total revenue]",$O$3,"[sales_persons_table].[Store Name]","[sales_persons_table].[Store Name].&amp;[Berg-Trujillo]")</f>
        <v>526187</v>
      </c>
      <c r="U12" s="10">
        <f>GETPIVOTDATA("[Measures].[Total target]",$O$3,"[sales_persons_table].[Store Name]","[sales_persons_table].[Store Name].&amp;[Berg-Trujillo]")</f>
        <v>600510</v>
      </c>
      <c r="V12" s="2" t="s">
        <v>14</v>
      </c>
      <c r="W12" s="10">
        <f t="shared" si="0"/>
        <v>-74323</v>
      </c>
      <c r="X12" s="2" t="s">
        <v>14</v>
      </c>
      <c r="Y12" s="8">
        <f t="shared" si="2"/>
        <v>-0.12376646517127109</v>
      </c>
      <c r="AC12" s="2" t="s">
        <v>25</v>
      </c>
      <c r="AD12" s="3">
        <v>485766.24999999977</v>
      </c>
    </row>
    <row r="13" spans="1:31" x14ac:dyDescent="0.35">
      <c r="C13" s="12" t="s">
        <v>97</v>
      </c>
      <c r="D13" s="36">
        <f>GETPIVOTDATA("[Measures].[COGS]",$A$3)</f>
        <v>3149297.4099999927</v>
      </c>
      <c r="E13" s="16"/>
      <c r="F13" s="17"/>
      <c r="O13" s="2" t="s">
        <v>14</v>
      </c>
      <c r="P13" s="3">
        <v>526187</v>
      </c>
      <c r="Q13" s="3">
        <v>600510</v>
      </c>
      <c r="S13" s="2" t="s">
        <v>13</v>
      </c>
      <c r="T13" s="10">
        <f>GETPIVOTDATA("[Measures].[Total revenue]",$O$3,"[sales_persons_table].[Store Name]","[sales_persons_table].[Store Name].&amp;[Barron-Fleming]")</f>
        <v>546574.63</v>
      </c>
      <c r="U13" s="10">
        <f>GETPIVOTDATA("[Measures].[Total target]",$O$3,"[sales_persons_table].[Store Name]","[sales_persons_table].[Store Name].&amp;[Barron-Fleming]")</f>
        <v>422011</v>
      </c>
      <c r="V13" s="2" t="s">
        <v>13</v>
      </c>
      <c r="W13" s="10">
        <f t="shared" si="0"/>
        <v>124563.63</v>
      </c>
      <c r="X13" s="2" t="s">
        <v>13</v>
      </c>
      <c r="Y13" s="8">
        <f t="shared" si="2"/>
        <v>0.29516678475205621</v>
      </c>
      <c r="AC13" s="2" t="s">
        <v>34</v>
      </c>
      <c r="AD13" s="3">
        <v>443447.43000000028</v>
      </c>
    </row>
    <row r="14" spans="1:31" x14ac:dyDescent="0.35">
      <c r="C14" t="s">
        <v>98</v>
      </c>
      <c r="D14" s="36">
        <f>GETPIVOTDATA("[Measures].[Profit margin]",$A$3)</f>
        <v>2297512.0600000275</v>
      </c>
      <c r="E14" s="16"/>
      <c r="F14" s="16"/>
      <c r="O14" s="2" t="s">
        <v>1</v>
      </c>
      <c r="P14" s="3">
        <v>5446809.4700000202</v>
      </c>
      <c r="Q14" s="3">
        <v>5254990</v>
      </c>
      <c r="AC14" s="2" t="s">
        <v>33</v>
      </c>
      <c r="AD14" s="3">
        <v>458984.37999999983</v>
      </c>
    </row>
    <row r="15" spans="1:31" x14ac:dyDescent="0.35">
      <c r="C15" t="s">
        <v>99</v>
      </c>
      <c r="D15" s="8">
        <f>GETPIVOTDATA("[Measures].[% Of profit margin]",$A$3)</f>
        <v>0.42180878047126164</v>
      </c>
      <c r="AC15" s="2" t="s">
        <v>32</v>
      </c>
      <c r="AD15" s="3">
        <v>462537.40999999963</v>
      </c>
    </row>
    <row r="16" spans="1:31" x14ac:dyDescent="0.35">
      <c r="AC16" s="2" t="s">
        <v>26</v>
      </c>
      <c r="AD16" s="3">
        <v>441225.2900000001</v>
      </c>
    </row>
    <row r="17" spans="29:30" x14ac:dyDescent="0.35">
      <c r="AC17" s="2" t="s">
        <v>1</v>
      </c>
      <c r="AD17" s="3">
        <v>5446809.4700000202</v>
      </c>
    </row>
  </sheetData>
  <sortState xmlns:xlrd2="http://schemas.microsoft.com/office/spreadsheetml/2017/richdata2" ref="S4:U13">
    <sortCondition descending="1" ref="S4:S13"/>
  </sortState>
  <mergeCells count="3">
    <mergeCell ref="O1:Y2"/>
    <mergeCell ref="B1:I2"/>
    <mergeCell ref="AC1:AE2"/>
  </mergeCells>
  <conditionalFormatting sqref="E10">
    <cfRule type="expression" dxfId="125" priority="1">
      <formula>$F$9&gt;0</formula>
    </cfRule>
    <cfRule type="expression" dxfId="124" priority="2">
      <formula>$F$9&lt;0</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E8B7-5227-4BF4-BEDC-5C107442CE0A}">
  <sheetPr codeName="Sheet4"/>
  <dimension ref="A1"/>
  <sheetViews>
    <sheetView showGridLines="0" topLeftCell="A9" zoomScale="55" zoomScaleNormal="44" workbookViewId="0">
      <selection activeCell="AD34" sqref="AD34"/>
    </sheetView>
  </sheetViews>
  <sheetFormatPr defaultRowHeight="14.5" x14ac:dyDescent="0.35"/>
  <sheetData/>
  <sheetProtection algorithmName="SHA-512" hashValue="7/JfpljrO4XBetxGA9oBWdVNLRFEMaBVxZrBl/csxiv6EVZGTVw89VBBpbpU0qQG/zgPQLenedmPvu2RV7cEoA==" saltValue="bkWo4SSAFshxRr9AGy8EKg==" spinCount="100000" sheet="1" objects="1" scenarios="1" selectLockedCell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6416-F0AC-46AE-86AA-3CC7D7E020A8}">
  <sheetPr codeName="Sheet6"/>
  <dimension ref="A1:AW42"/>
  <sheetViews>
    <sheetView zoomScale="70" workbookViewId="0">
      <selection activeCell="D7" sqref="D7:E13"/>
    </sheetView>
  </sheetViews>
  <sheetFormatPr defaultRowHeight="14.5" x14ac:dyDescent="0.35"/>
  <cols>
    <col min="1" max="1" width="13.54296875" bestFit="1" customWidth="1"/>
    <col min="2" max="2" width="11.81640625" bestFit="1" customWidth="1"/>
    <col min="3" max="3" width="10.08984375" bestFit="1" customWidth="1"/>
    <col min="4" max="4" width="15.26953125" bestFit="1" customWidth="1"/>
    <col min="5" max="5" width="11.81640625" bestFit="1" customWidth="1"/>
    <col min="7" max="7" width="10.90625" bestFit="1" customWidth="1"/>
    <col min="8" max="8" width="11.81640625" bestFit="1" customWidth="1"/>
    <col min="10" max="10" width="10.90625" bestFit="1" customWidth="1"/>
    <col min="11" max="11" width="11.81640625" bestFit="1" customWidth="1"/>
    <col min="13" max="13" width="11.26953125" bestFit="1" customWidth="1"/>
    <col min="14" max="14" width="9.36328125" bestFit="1" customWidth="1"/>
    <col min="17" max="17" width="8.7265625" style="12"/>
    <col min="18" max="18" width="10.90625" bestFit="1" customWidth="1"/>
    <col min="19" max="19" width="11.81640625" bestFit="1" customWidth="1"/>
    <col min="21" max="21" width="22" bestFit="1" customWidth="1"/>
    <col min="22" max="22" width="8.7265625" style="12" customWidth="1"/>
    <col min="23" max="23" width="10.90625" bestFit="1" customWidth="1"/>
    <col min="24" max="24" width="11.81640625" bestFit="1" customWidth="1"/>
    <col min="26" max="26" width="8.7265625" style="12"/>
    <col min="27" max="27" width="10.90625" bestFit="1" customWidth="1"/>
    <col min="28" max="29" width="11.81640625" bestFit="1" customWidth="1"/>
    <col min="30" max="30" width="10.90625" bestFit="1" customWidth="1"/>
    <col min="31" max="31" width="11.81640625" bestFit="1" customWidth="1"/>
    <col min="33" max="33" width="8.7265625" customWidth="1"/>
    <col min="34" max="34" width="8.7265625" style="16"/>
    <col min="37" max="37" width="8.7265625" style="12"/>
    <col min="38" max="38" width="10.7265625" bestFit="1" customWidth="1"/>
    <col min="39" max="39" width="10.453125" bestFit="1" customWidth="1"/>
    <col min="40" max="40" width="12.7265625" bestFit="1" customWidth="1"/>
    <col min="42" max="42" width="8.7265625" style="12"/>
    <col min="43" max="43" width="14.36328125" bestFit="1" customWidth="1"/>
    <col min="44" max="44" width="11.81640625" bestFit="1" customWidth="1"/>
    <col min="45" max="45" width="14.6328125" bestFit="1" customWidth="1"/>
    <col min="46" max="46" width="16.453125" bestFit="1" customWidth="1"/>
    <col min="47" max="47" width="11.81640625" bestFit="1" customWidth="1"/>
  </cols>
  <sheetData>
    <row r="1" spans="1:49" x14ac:dyDescent="0.35">
      <c r="S1" s="46" t="s">
        <v>106</v>
      </c>
      <c r="T1" s="46"/>
      <c r="X1" s="46" t="s">
        <v>107</v>
      </c>
      <c r="Y1" s="46"/>
      <c r="AB1" s="46" t="s">
        <v>110</v>
      </c>
      <c r="AC1" s="46"/>
    </row>
    <row r="2" spans="1:49" x14ac:dyDescent="0.35">
      <c r="C2" t="s">
        <v>61</v>
      </c>
      <c r="D2" s="37">
        <v>1</v>
      </c>
      <c r="E2" s="40" t="s">
        <v>89</v>
      </c>
      <c r="R2" s="38"/>
      <c r="S2" s="46"/>
      <c r="T2" s="46"/>
      <c r="X2" s="46"/>
      <c r="Y2" s="46"/>
      <c r="AB2" s="46"/>
      <c r="AC2" s="46"/>
      <c r="AQ2" s="46" t="s">
        <v>127</v>
      </c>
      <c r="AR2" s="46"/>
      <c r="AT2" s="46" t="s">
        <v>128</v>
      </c>
      <c r="AU2" s="46"/>
      <c r="AV2" s="46"/>
      <c r="AW2" s="46"/>
    </row>
    <row r="3" spans="1:49" x14ac:dyDescent="0.35">
      <c r="C3" t="s">
        <v>62</v>
      </c>
      <c r="D3" s="37">
        <v>1</v>
      </c>
      <c r="E3" s="40" t="s">
        <v>90</v>
      </c>
      <c r="T3" s="38"/>
      <c r="AQ3" s="46"/>
      <c r="AR3" s="46"/>
      <c r="AT3" s="46"/>
      <c r="AU3" s="46"/>
      <c r="AV3" s="46"/>
      <c r="AW3" s="46"/>
    </row>
    <row r="4" spans="1:49" x14ac:dyDescent="0.35">
      <c r="R4" s="1" t="s">
        <v>90</v>
      </c>
      <c r="S4" t="s">
        <v>4</v>
      </c>
      <c r="U4" t="s">
        <v>105</v>
      </c>
      <c r="W4" s="1" t="s">
        <v>90</v>
      </c>
      <c r="X4" t="s">
        <v>4</v>
      </c>
      <c r="AA4" s="1" t="s">
        <v>90</v>
      </c>
      <c r="AB4" t="s">
        <v>4</v>
      </c>
      <c r="AD4" s="1" t="s">
        <v>90</v>
      </c>
      <c r="AE4" t="s">
        <v>4</v>
      </c>
      <c r="AG4" t="s">
        <v>48</v>
      </c>
      <c r="AH4" s="16" t="s">
        <v>111</v>
      </c>
      <c r="AI4" t="s">
        <v>112</v>
      </c>
      <c r="AL4" t="s">
        <v>8</v>
      </c>
      <c r="AM4" t="s">
        <v>120</v>
      </c>
      <c r="AN4" t="s">
        <v>121</v>
      </c>
      <c r="AQ4" s="1" t="s">
        <v>90</v>
      </c>
      <c r="AR4" t="s">
        <v>4</v>
      </c>
      <c r="AT4" s="1" t="s">
        <v>90</v>
      </c>
      <c r="AU4" t="s">
        <v>4</v>
      </c>
    </row>
    <row r="5" spans="1:49" x14ac:dyDescent="0.35">
      <c r="R5" s="2" t="s">
        <v>103</v>
      </c>
      <c r="S5" s="11">
        <v>933472.3399999924</v>
      </c>
      <c r="U5" s="5">
        <v>46.288333333333334</v>
      </c>
      <c r="W5" s="2" t="s">
        <v>108</v>
      </c>
      <c r="X5" s="35">
        <v>0.48527656041986861</v>
      </c>
      <c r="AA5" s="2" t="s">
        <v>28</v>
      </c>
      <c r="AB5" s="36">
        <v>177715.37999999989</v>
      </c>
      <c r="AD5" s="2" t="s">
        <v>28</v>
      </c>
      <c r="AE5" s="35"/>
      <c r="AG5" s="2" t="s">
        <v>28</v>
      </c>
      <c r="AH5" s="41">
        <f t="shared" ref="AH5:AH16" si="0">AB5</f>
        <v>177715.37999999989</v>
      </c>
      <c r="AI5" s="36">
        <f>AH5</f>
        <v>177715.37999999989</v>
      </c>
      <c r="AL5" s="4">
        <v>8.0468669303389667E-2</v>
      </c>
      <c r="AM5" s="5">
        <v>100</v>
      </c>
      <c r="AN5" s="4">
        <v>8.0280723519668459E-2</v>
      </c>
      <c r="AQ5" s="2" t="s">
        <v>122</v>
      </c>
      <c r="AR5" s="11">
        <v>78081.849999999962</v>
      </c>
      <c r="AT5" s="2" t="s">
        <v>129</v>
      </c>
      <c r="AU5" s="11">
        <v>86449.160000000033</v>
      </c>
    </row>
    <row r="6" spans="1:49" x14ac:dyDescent="0.35">
      <c r="A6" t="s">
        <v>73</v>
      </c>
      <c r="D6" t="s">
        <v>74</v>
      </c>
      <c r="G6" t="s">
        <v>75</v>
      </c>
      <c r="J6" t="s">
        <v>76</v>
      </c>
      <c r="M6" s="38" t="s">
        <v>95</v>
      </c>
      <c r="N6" t="str">
        <f>_xlfn.TEXTJOIN(" ",,IF($D$2=1,"Top-5 Profitable","Bottom-5 Profitable"),IF($D$3=1,"Customer","Location"))</f>
        <v>Top-5 Profitable Customer</v>
      </c>
      <c r="R6" s="2" t="s">
        <v>102</v>
      </c>
      <c r="S6" s="11">
        <v>499936.95000000054</v>
      </c>
      <c r="W6" s="2" t="s">
        <v>109</v>
      </c>
      <c r="X6" s="35">
        <v>0.51472343958010647</v>
      </c>
      <c r="AA6" s="2" t="s">
        <v>27</v>
      </c>
      <c r="AB6" s="36">
        <v>177756.56999999966</v>
      </c>
      <c r="AD6" s="2" t="s">
        <v>27</v>
      </c>
      <c r="AE6" s="35">
        <v>2.3177510016167156E-4</v>
      </c>
      <c r="AG6" s="2" t="s">
        <v>27</v>
      </c>
      <c r="AH6" s="41">
        <f t="shared" si="0"/>
        <v>177756.56999999966</v>
      </c>
      <c r="AI6" s="36">
        <f t="shared" ref="AI6:AI16" si="1">AH6</f>
        <v>177756.56999999966</v>
      </c>
      <c r="AQ6" s="2" t="s">
        <v>123</v>
      </c>
      <c r="AR6" s="11">
        <v>95024.850000000035</v>
      </c>
      <c r="AT6" s="2" t="s">
        <v>130</v>
      </c>
      <c r="AU6" s="11">
        <v>142236.05999999959</v>
      </c>
    </row>
    <row r="7" spans="1:49" x14ac:dyDescent="0.35">
      <c r="A7" s="1" t="s">
        <v>88</v>
      </c>
      <c r="B7" t="s">
        <v>4</v>
      </c>
      <c r="D7" s="1" t="s">
        <v>88</v>
      </c>
      <c r="E7" t="s">
        <v>4</v>
      </c>
      <c r="G7" s="1" t="s">
        <v>90</v>
      </c>
      <c r="H7" t="s">
        <v>4</v>
      </c>
      <c r="J7" s="1" t="s">
        <v>90</v>
      </c>
      <c r="K7" t="s">
        <v>4</v>
      </c>
      <c r="R7" s="2" t="s">
        <v>101</v>
      </c>
      <c r="S7" s="11">
        <v>424463.9299999983</v>
      </c>
      <c r="W7" s="2" t="s">
        <v>1</v>
      </c>
      <c r="X7" s="35">
        <v>1</v>
      </c>
      <c r="AA7" s="2" t="s">
        <v>30</v>
      </c>
      <c r="AB7" s="36">
        <v>204515.86999999953</v>
      </c>
      <c r="AD7" s="2" t="s">
        <v>30</v>
      </c>
      <c r="AE7" s="35">
        <v>0.15053902086431981</v>
      </c>
      <c r="AG7" s="2" t="s">
        <v>30</v>
      </c>
      <c r="AH7" s="41">
        <f t="shared" si="0"/>
        <v>204515.86999999953</v>
      </c>
      <c r="AI7" s="36">
        <f t="shared" si="1"/>
        <v>204515.86999999953</v>
      </c>
      <c r="AL7" s="4">
        <f>GETPIVOTDATA("[Measures].[Refund rate]",$AL$4)</f>
        <v>8.0468669303389667E-2</v>
      </c>
      <c r="AM7">
        <f>GETPIVOTDATA("[Measures].[# PRODUCT]",$AL$4)</f>
        <v>100</v>
      </c>
      <c r="AN7" s="4">
        <f>GETPIVOTDATA("[Measures].[RETURN RATE ]",$AL$4)</f>
        <v>8.0280723519668459E-2</v>
      </c>
      <c r="AQ7" s="2" t="s">
        <v>124</v>
      </c>
      <c r="AR7" s="11">
        <v>84506.489999999932</v>
      </c>
      <c r="AT7" s="2" t="s">
        <v>131</v>
      </c>
      <c r="AU7" s="11">
        <v>174072.76000000042</v>
      </c>
    </row>
    <row r="8" spans="1:49" x14ac:dyDescent="0.35">
      <c r="A8" s="2" t="s">
        <v>66</v>
      </c>
      <c r="B8" s="3">
        <v>8477.4799999999977</v>
      </c>
      <c r="D8" s="2" t="s">
        <v>72</v>
      </c>
      <c r="E8" s="3">
        <v>130.20000000000073</v>
      </c>
      <c r="G8" s="2" t="s">
        <v>85</v>
      </c>
      <c r="H8" s="3">
        <v>134907.56</v>
      </c>
      <c r="J8" s="2" t="s">
        <v>83</v>
      </c>
      <c r="K8" s="3">
        <v>86589.619999999952</v>
      </c>
      <c r="N8" t="s">
        <v>96</v>
      </c>
      <c r="O8" s="38" t="str">
        <f>IF(D3=1,"Total Customer","All Locations")</f>
        <v>Total Customer</v>
      </c>
      <c r="R8" s="2" t="s">
        <v>100</v>
      </c>
      <c r="S8" s="11">
        <v>375058.86999999976</v>
      </c>
      <c r="AA8" s="2" t="s">
        <v>24</v>
      </c>
      <c r="AB8" s="36">
        <v>192977.03999999998</v>
      </c>
      <c r="AD8" s="2" t="s">
        <v>24</v>
      </c>
      <c r="AE8" s="35">
        <v>-5.6420218147372019E-2</v>
      </c>
      <c r="AG8" s="2" t="s">
        <v>24</v>
      </c>
      <c r="AH8" s="41">
        <f t="shared" si="0"/>
        <v>192977.03999999998</v>
      </c>
      <c r="AI8" s="36">
        <f t="shared" si="1"/>
        <v>192977.03999999998</v>
      </c>
      <c r="AQ8" s="2" t="s">
        <v>125</v>
      </c>
      <c r="AR8" s="11">
        <v>82987.239999999991</v>
      </c>
      <c r="AT8" s="2" t="s">
        <v>132</v>
      </c>
      <c r="AU8" s="11">
        <v>52455.239999999467</v>
      </c>
    </row>
    <row r="9" spans="1:49" x14ac:dyDescent="0.35">
      <c r="A9" s="2" t="s">
        <v>71</v>
      </c>
      <c r="B9" s="3">
        <v>7569.0199999999959</v>
      </c>
      <c r="D9" s="2" t="s">
        <v>70</v>
      </c>
      <c r="E9" s="3">
        <v>912.82000000000062</v>
      </c>
      <c r="G9" s="2" t="s">
        <v>77</v>
      </c>
      <c r="H9" s="3">
        <v>132555.79000000024</v>
      </c>
      <c r="J9" s="2" t="s">
        <v>80</v>
      </c>
      <c r="K9" s="3">
        <v>91811.079999999856</v>
      </c>
      <c r="M9" t="s">
        <v>93</v>
      </c>
      <c r="O9">
        <f>IF($D$3=1,GETPIVOTDATA("[Measures].[# Customers]",$M$9),GETPIVOTDATA("[Measures].[# Location]",$M$12))</f>
        <v>600</v>
      </c>
      <c r="R9" s="2" t="s">
        <v>104</v>
      </c>
      <c r="S9" s="11">
        <v>64579.969999999928</v>
      </c>
      <c r="AA9" s="2" t="s">
        <v>31</v>
      </c>
      <c r="AB9" s="36">
        <v>205642.8500000005</v>
      </c>
      <c r="AD9" s="2" t="s">
        <v>31</v>
      </c>
      <c r="AE9" s="35">
        <v>6.5633766586950054E-2</v>
      </c>
      <c r="AG9" s="2" t="s">
        <v>31</v>
      </c>
      <c r="AH9" s="41">
        <f t="shared" si="0"/>
        <v>205642.8500000005</v>
      </c>
      <c r="AI9" s="36">
        <f t="shared" si="1"/>
        <v>205642.8500000005</v>
      </c>
      <c r="AQ9" s="2" t="s">
        <v>126</v>
      </c>
      <c r="AR9" s="11">
        <v>83284.599999999977</v>
      </c>
      <c r="AT9" s="2" t="s">
        <v>133</v>
      </c>
      <c r="AU9" s="11">
        <v>718216.26999999932</v>
      </c>
    </row>
    <row r="10" spans="1:49" x14ac:dyDescent="0.35">
      <c r="A10" s="2" t="s">
        <v>69</v>
      </c>
      <c r="B10" s="3">
        <v>7236.9200000000019</v>
      </c>
      <c r="D10" s="2" t="s">
        <v>63</v>
      </c>
      <c r="E10" s="3">
        <v>992.27999999999975</v>
      </c>
      <c r="G10" s="2" t="s">
        <v>81</v>
      </c>
      <c r="H10" s="3">
        <v>132061.01999999973</v>
      </c>
      <c r="J10" s="2" t="s">
        <v>86</v>
      </c>
      <c r="K10" s="3">
        <v>96221.15</v>
      </c>
      <c r="M10" s="5">
        <v>600</v>
      </c>
      <c r="R10" s="2" t="s">
        <v>1</v>
      </c>
      <c r="S10" s="3">
        <v>2297512.0600000275</v>
      </c>
      <c r="AA10" s="2" t="s">
        <v>23</v>
      </c>
      <c r="AB10" s="36">
        <v>195489.95000000036</v>
      </c>
      <c r="AD10" s="2" t="s">
        <v>23</v>
      </c>
      <c r="AE10" s="35">
        <v>-4.9371519603040488E-2</v>
      </c>
      <c r="AG10" s="2" t="s">
        <v>23</v>
      </c>
      <c r="AH10" s="41">
        <f t="shared" si="0"/>
        <v>195489.95000000036</v>
      </c>
      <c r="AI10" s="36">
        <f t="shared" si="1"/>
        <v>195489.95000000036</v>
      </c>
      <c r="AQ10" s="2" t="s">
        <v>1</v>
      </c>
      <c r="AR10" s="11">
        <v>423885.0299999995</v>
      </c>
      <c r="AT10" s="2" t="s">
        <v>134</v>
      </c>
      <c r="AU10" s="11">
        <v>417457.830000002</v>
      </c>
    </row>
    <row r="11" spans="1:49" x14ac:dyDescent="0.35">
      <c r="A11" s="2" t="s">
        <v>67</v>
      </c>
      <c r="B11" s="3">
        <v>7191.9699999999975</v>
      </c>
      <c r="D11" s="2" t="s">
        <v>64</v>
      </c>
      <c r="E11" s="3">
        <v>1362.7800000000007</v>
      </c>
      <c r="G11" s="2" t="s">
        <v>84</v>
      </c>
      <c r="H11" s="3">
        <v>131335.97000000015</v>
      </c>
      <c r="J11" s="2" t="s">
        <v>79</v>
      </c>
      <c r="K11" s="3">
        <v>101212.63000000015</v>
      </c>
      <c r="AA11" s="2" t="s">
        <v>29</v>
      </c>
      <c r="AB11" s="36">
        <v>182737.19000000064</v>
      </c>
      <c r="AD11" s="2" t="s">
        <v>29</v>
      </c>
      <c r="AE11" s="35">
        <v>-6.5234862457122192E-2</v>
      </c>
      <c r="AG11" s="2" t="s">
        <v>29</v>
      </c>
      <c r="AH11" s="41">
        <f t="shared" si="0"/>
        <v>182737.19000000064</v>
      </c>
      <c r="AI11" s="36">
        <f t="shared" si="1"/>
        <v>182737.19000000064</v>
      </c>
      <c r="AT11" s="2" t="s">
        <v>135</v>
      </c>
      <c r="AU11" s="11">
        <v>367414.25000000041</v>
      </c>
    </row>
    <row r="12" spans="1:49" x14ac:dyDescent="0.35">
      <c r="A12" s="2" t="s">
        <v>68</v>
      </c>
      <c r="B12" s="3">
        <v>6966.5800000000008</v>
      </c>
      <c r="D12" s="2" t="s">
        <v>65</v>
      </c>
      <c r="E12" s="3">
        <v>1387.2399999999998</v>
      </c>
      <c r="G12" s="2" t="s">
        <v>82</v>
      </c>
      <c r="H12" s="3">
        <v>128176.22000000032</v>
      </c>
      <c r="J12" s="2" t="s">
        <v>78</v>
      </c>
      <c r="K12" s="3">
        <v>104453.84999999986</v>
      </c>
      <c r="M12" t="s">
        <v>94</v>
      </c>
      <c r="AA12" s="2" t="s">
        <v>25</v>
      </c>
      <c r="AB12" s="36">
        <v>208599.36000000022</v>
      </c>
      <c r="AD12" s="2" t="s">
        <v>25</v>
      </c>
      <c r="AE12" s="35">
        <v>0.14152658251995384</v>
      </c>
      <c r="AG12" s="2" t="s">
        <v>25</v>
      </c>
      <c r="AH12" s="41">
        <f t="shared" si="0"/>
        <v>208599.36000000022</v>
      </c>
      <c r="AI12" s="36">
        <f t="shared" si="1"/>
        <v>208599.36000000022</v>
      </c>
      <c r="AT12" s="2" t="s">
        <v>136</v>
      </c>
      <c r="AU12" s="11">
        <v>339210.4900000029</v>
      </c>
    </row>
    <row r="13" spans="1:49" x14ac:dyDescent="0.35">
      <c r="A13" s="2" t="s">
        <v>1</v>
      </c>
      <c r="B13" s="3">
        <v>37441.970000000023</v>
      </c>
      <c r="D13" s="2" t="s">
        <v>1</v>
      </c>
      <c r="E13" s="3">
        <v>4785.3200000000033</v>
      </c>
      <c r="G13" s="2" t="s">
        <v>1</v>
      </c>
      <c r="H13" s="3">
        <v>659036.56000000262</v>
      </c>
      <c r="J13" s="2" t="s">
        <v>1</v>
      </c>
      <c r="K13" s="3">
        <v>480288.32999999996</v>
      </c>
      <c r="M13" s="5">
        <v>20</v>
      </c>
      <c r="AA13" s="2" t="s">
        <v>34</v>
      </c>
      <c r="AB13" s="36">
        <v>190084.82000000018</v>
      </c>
      <c r="AD13" s="2" t="s">
        <v>34</v>
      </c>
      <c r="AE13" s="35">
        <v>-8.8756456395647707E-2</v>
      </c>
      <c r="AG13" s="2" t="s">
        <v>34</v>
      </c>
      <c r="AH13" s="41">
        <f t="shared" si="0"/>
        <v>190084.82000000018</v>
      </c>
      <c r="AI13" s="36">
        <f t="shared" si="1"/>
        <v>190084.82000000018</v>
      </c>
      <c r="AT13" s="2" t="s">
        <v>1</v>
      </c>
      <c r="AU13" s="11">
        <v>2297512.0600000275</v>
      </c>
    </row>
    <row r="14" spans="1:49" x14ac:dyDescent="0.35">
      <c r="AA14" s="2" t="s">
        <v>33</v>
      </c>
      <c r="AB14" s="36">
        <v>190384.21999999986</v>
      </c>
      <c r="AD14" s="2" t="s">
        <v>33</v>
      </c>
      <c r="AE14" s="35">
        <v>1.5750863219886457E-3</v>
      </c>
      <c r="AG14" s="2" t="s">
        <v>33</v>
      </c>
      <c r="AH14" s="41">
        <f t="shared" si="0"/>
        <v>190384.21999999986</v>
      </c>
      <c r="AI14" s="36">
        <f t="shared" si="1"/>
        <v>190384.21999999986</v>
      </c>
      <c r="AT14" t="s">
        <v>137</v>
      </c>
      <c r="AU14" t="s">
        <v>138</v>
      </c>
    </row>
    <row r="15" spans="1:49" x14ac:dyDescent="0.35">
      <c r="AA15" s="2" t="s">
        <v>32</v>
      </c>
      <c r="AB15" s="36">
        <v>192253.24999999942</v>
      </c>
      <c r="AD15" s="2" t="s">
        <v>32</v>
      </c>
      <c r="AE15" s="35">
        <v>9.8171476606599209E-3</v>
      </c>
      <c r="AG15" s="2" t="s">
        <v>32</v>
      </c>
      <c r="AH15" s="41">
        <f t="shared" si="0"/>
        <v>192253.24999999942</v>
      </c>
      <c r="AI15" s="36">
        <f t="shared" si="1"/>
        <v>192253.24999999942</v>
      </c>
      <c r="AT15" s="2" t="s">
        <v>131</v>
      </c>
      <c r="AU15" s="11">
        <f>GETPIVOTDATA("[Measures].[Profit margin]",$AT$4,"[dim_products].[Category]","[dim_products].[Category].&amp;[Energy Drink]")</f>
        <v>174072.76000000042</v>
      </c>
    </row>
    <row r="16" spans="1:49" x14ac:dyDescent="0.35">
      <c r="B16" s="39" t="s">
        <v>87</v>
      </c>
      <c r="E16" s="12" t="s">
        <v>91</v>
      </c>
      <c r="H16" s="12" t="s">
        <v>92</v>
      </c>
      <c r="AA16" s="2" t="s">
        <v>26</v>
      </c>
      <c r="AB16" s="36">
        <v>179355.56000000011</v>
      </c>
      <c r="AD16" s="2" t="s">
        <v>26</v>
      </c>
      <c r="AE16" s="35">
        <v>-6.7086980324126341E-2</v>
      </c>
      <c r="AG16" s="2" t="s">
        <v>26</v>
      </c>
      <c r="AH16" s="41">
        <f t="shared" si="0"/>
        <v>179355.56000000011</v>
      </c>
      <c r="AI16" s="36">
        <f t="shared" si="1"/>
        <v>179355.56000000011</v>
      </c>
      <c r="AT16" s="2" t="s">
        <v>133</v>
      </c>
      <c r="AU16" s="11">
        <f>GETPIVOTDATA("[Measures].[Profit margin]",$AT$4,"[dim_products].[Category]","[dim_products].[Category].&amp;[Soft Drink]")</f>
        <v>718216.26999999932</v>
      </c>
    </row>
    <row r="17" spans="2:47" x14ac:dyDescent="0.35">
      <c r="B17" t="str">
        <f>IF($D$2=1,A7,D7)</f>
        <v>Full Name</v>
      </c>
      <c r="C17" t="str">
        <f>IF($D$2=1,B7,E7)</f>
        <v>Profit margin</v>
      </c>
      <c r="E17" t="str">
        <f>IF($D$2=1,G7,J7)</f>
        <v>Location</v>
      </c>
      <c r="F17" t="str">
        <f>IF($D$2=1,H7,K7)</f>
        <v>Profit margin</v>
      </c>
      <c r="H17" t="str">
        <f>IF($D$3 =1,B17,E17)</f>
        <v>Full Name</v>
      </c>
      <c r="I17" t="str">
        <f>IF($D$3 =1,C17,F17)</f>
        <v>Profit margin</v>
      </c>
      <c r="AA17" s="2" t="s">
        <v>1</v>
      </c>
      <c r="AB17">
        <v>2297512.0600000275</v>
      </c>
      <c r="AD17" s="2" t="s">
        <v>1</v>
      </c>
      <c r="AE17" s="35"/>
      <c r="AT17" s="2" t="s">
        <v>134</v>
      </c>
      <c r="AU17" s="11">
        <f>GETPIVOTDATA("[Measures].[Profit margin]",$AT$4,"[dim_products].[Category]","[dim_products].[Category].&amp;[Sports Drink]")</f>
        <v>417457.830000002</v>
      </c>
    </row>
    <row r="18" spans="2:47" x14ac:dyDescent="0.35">
      <c r="B18" t="str">
        <f t="shared" ref="B18:C22" si="2">IF($D$2=1,A8,D8)</f>
        <v>JohnBrown</v>
      </c>
      <c r="C18" s="5">
        <f t="shared" si="2"/>
        <v>8477.4799999999977</v>
      </c>
      <c r="E18" t="str">
        <f t="shared" ref="E18:F22" si="3">IF($D$2=1,G8,J8)</f>
        <v>Washington</v>
      </c>
      <c r="F18">
        <f t="shared" si="3"/>
        <v>134907.56</v>
      </c>
      <c r="H18" t="str">
        <f t="shared" ref="H18:I22" si="4">IF($D$3 =1,B18,E18)</f>
        <v>JohnBrown</v>
      </c>
      <c r="I18" s="5">
        <f t="shared" si="4"/>
        <v>8477.4799999999977</v>
      </c>
      <c r="AT18" s="2" t="s">
        <v>135</v>
      </c>
      <c r="AU18" s="11">
        <f>GETPIVOTDATA("[Measures].[Profit margin]",$AT$4,"[dim_products].[Category]","[dim_products].[Category].&amp;[Tea]")</f>
        <v>367414.25000000041</v>
      </c>
    </row>
    <row r="19" spans="2:47" x14ac:dyDescent="0.35">
      <c r="B19" t="str">
        <f t="shared" si="2"/>
        <v>PaulNoble</v>
      </c>
      <c r="C19" s="5">
        <f t="shared" si="2"/>
        <v>7569.0199999999959</v>
      </c>
      <c r="E19" t="str">
        <f t="shared" si="3"/>
        <v>California</v>
      </c>
      <c r="F19">
        <f t="shared" si="3"/>
        <v>132555.79000000024</v>
      </c>
      <c r="H19" t="str">
        <f t="shared" si="4"/>
        <v>PaulNoble</v>
      </c>
      <c r="I19" s="5">
        <f t="shared" si="4"/>
        <v>7569.0199999999959</v>
      </c>
      <c r="AT19" s="2" t="s">
        <v>136</v>
      </c>
      <c r="AU19" s="11">
        <f>GETPIVOTDATA("[Measures].[Profit margin]",$AT$4,"[dim_products].[Category]","[dim_products].[Category].&amp;[Water]")</f>
        <v>339210.4900000029</v>
      </c>
    </row>
    <row r="20" spans="2:47" x14ac:dyDescent="0.35">
      <c r="B20" t="str">
        <f t="shared" si="2"/>
        <v>LauraGross</v>
      </c>
      <c r="C20" s="5">
        <f t="shared" si="2"/>
        <v>7236.9200000000019</v>
      </c>
      <c r="E20" t="str">
        <f t="shared" si="3"/>
        <v>Michigan</v>
      </c>
      <c r="F20">
        <f t="shared" si="3"/>
        <v>132061.01999999973</v>
      </c>
      <c r="H20" t="str">
        <f t="shared" si="4"/>
        <v>LauraGross</v>
      </c>
      <c r="I20" s="5">
        <f t="shared" si="4"/>
        <v>7236.9200000000019</v>
      </c>
    </row>
    <row r="21" spans="2:47" x14ac:dyDescent="0.35">
      <c r="B21" t="str">
        <f t="shared" si="2"/>
        <v>JudithSimmons</v>
      </c>
      <c r="C21" s="5">
        <f t="shared" si="2"/>
        <v>7191.9699999999975</v>
      </c>
      <c r="E21" t="str">
        <f t="shared" si="3"/>
        <v>Virginia</v>
      </c>
      <c r="F21">
        <f t="shared" si="3"/>
        <v>131335.97000000015</v>
      </c>
      <c r="H21" t="str">
        <f t="shared" si="4"/>
        <v>JudithSimmons</v>
      </c>
      <c r="I21" s="5">
        <f t="shared" si="4"/>
        <v>7191.9699999999975</v>
      </c>
      <c r="W21" t="s">
        <v>139</v>
      </c>
      <c r="X21" s="35">
        <f>GETPIVOTDATA("[Measures].[Profit margin]",$W$4,"[Dim_customer].[Gender]","[Dim_customer].[Gender].&amp;[Female]")</f>
        <v>0.48527656041986861</v>
      </c>
    </row>
    <row r="22" spans="2:47" x14ac:dyDescent="0.35">
      <c r="B22" t="str">
        <f t="shared" si="2"/>
        <v>KristineBarrett</v>
      </c>
      <c r="C22" s="5">
        <f t="shared" si="2"/>
        <v>6966.5800000000008</v>
      </c>
      <c r="E22" t="str">
        <f t="shared" si="3"/>
        <v>Missouri</v>
      </c>
      <c r="F22">
        <f t="shared" si="3"/>
        <v>128176.22000000032</v>
      </c>
      <c r="H22" t="str">
        <f t="shared" si="4"/>
        <v>KristineBarrett</v>
      </c>
      <c r="I22" s="5">
        <f t="shared" si="4"/>
        <v>6966.5800000000008</v>
      </c>
      <c r="W22" t="s">
        <v>140</v>
      </c>
      <c r="X22" s="35">
        <f>GETPIVOTDATA("[Measures].[Profit margin]",$W$4,"[Dim_customer].[Gender]","[Dim_customer].[Gender].&amp;[Male]")</f>
        <v>0.51472343958010647</v>
      </c>
    </row>
    <row r="34" spans="28:29" x14ac:dyDescent="0.35">
      <c r="AB34" s="1" t="s">
        <v>90</v>
      </c>
      <c r="AC34" t="s">
        <v>4</v>
      </c>
    </row>
    <row r="35" spans="28:29" x14ac:dyDescent="0.35">
      <c r="AB35" s="2" t="s">
        <v>119</v>
      </c>
      <c r="AC35" s="11">
        <v>332458.74000000069</v>
      </c>
    </row>
    <row r="36" spans="28:29" x14ac:dyDescent="0.35">
      <c r="AB36" s="2" t="s">
        <v>118</v>
      </c>
      <c r="AC36" s="11">
        <v>319564.96000000124</v>
      </c>
    </row>
    <row r="37" spans="28:29" x14ac:dyDescent="0.35">
      <c r="AB37" s="2" t="s">
        <v>117</v>
      </c>
      <c r="AC37" s="11">
        <v>340665.27999999869</v>
      </c>
    </row>
    <row r="38" spans="28:29" x14ac:dyDescent="0.35">
      <c r="AB38" s="2" t="s">
        <v>116</v>
      </c>
      <c r="AC38" s="11">
        <v>324189.0599999979</v>
      </c>
    </row>
    <row r="39" spans="28:29" x14ac:dyDescent="0.35">
      <c r="AB39" s="2" t="s">
        <v>115</v>
      </c>
      <c r="AC39" s="11">
        <v>324340.81999999884</v>
      </c>
    </row>
    <row r="40" spans="28:29" x14ac:dyDescent="0.35">
      <c r="AB40" s="2" t="s">
        <v>114</v>
      </c>
      <c r="AC40" s="11">
        <v>342889.85000000324</v>
      </c>
    </row>
    <row r="41" spans="28:29" x14ac:dyDescent="0.35">
      <c r="AB41" s="2" t="s">
        <v>113</v>
      </c>
      <c r="AC41" s="11">
        <v>313403.34999999951</v>
      </c>
    </row>
    <row r="42" spans="28:29" x14ac:dyDescent="0.35">
      <c r="AB42" s="2" t="s">
        <v>1</v>
      </c>
      <c r="AC42" s="11">
        <v>2297512.0600000275</v>
      </c>
    </row>
  </sheetData>
  <mergeCells count="5">
    <mergeCell ref="S1:T2"/>
    <mergeCell ref="X1:Y2"/>
    <mergeCell ref="AB1:AC2"/>
    <mergeCell ref="AQ2:AR3"/>
    <mergeCell ref="AT2:AW3"/>
  </mergeCells>
  <pageMargins left="0.7" right="0.7" top="0.75" bottom="0.75" header="0.3" footer="0.3"/>
  <drawing r:id="rId16"/>
  <legacyDrawing r:id="rId17"/>
  <mc:AlternateContent xmlns:mc="http://schemas.openxmlformats.org/markup-compatibility/2006">
    <mc:Choice Requires="x14">
      <controls>
        <mc:AlternateContent xmlns:mc="http://schemas.openxmlformats.org/markup-compatibility/2006">
          <mc:Choice Requires="x14">
            <control shapeId="8195" r:id="rId18" name="Option Button 3">
              <controlPr defaultSize="0" autoFill="0" autoLine="0" autoPict="0">
                <anchor moveWithCells="1">
                  <from>
                    <xdr:col>6</xdr:col>
                    <xdr:colOff>355600</xdr:colOff>
                    <xdr:row>2</xdr:row>
                    <xdr:rowOff>44450</xdr:rowOff>
                  </from>
                  <to>
                    <xdr:col>7</xdr:col>
                    <xdr:colOff>101600</xdr:colOff>
                    <xdr:row>4</xdr:row>
                    <xdr:rowOff>19050</xdr:rowOff>
                  </to>
                </anchor>
              </controlPr>
            </control>
          </mc:Choice>
        </mc:AlternateContent>
        <mc:AlternateContent xmlns:mc="http://schemas.openxmlformats.org/markup-compatibility/2006">
          <mc:Choice Requires="x14">
            <control shapeId="8196" r:id="rId19" name="Option Button 4">
              <controlPr defaultSize="0" autoFill="0" autoLine="0" autoPict="0">
                <anchor moveWithCells="1">
                  <from>
                    <xdr:col>6</xdr:col>
                    <xdr:colOff>768350</xdr:colOff>
                    <xdr:row>2</xdr:row>
                    <xdr:rowOff>44450</xdr:rowOff>
                  </from>
                  <to>
                    <xdr:col>7</xdr:col>
                    <xdr:colOff>508000</xdr:colOff>
                    <xdr:row>4</xdr:row>
                    <xdr:rowOff>12700</xdr:rowOff>
                  </to>
                </anchor>
              </controlPr>
            </control>
          </mc:Choice>
        </mc:AlternateContent>
      </controls>
    </mc:Choice>
  </mc:AlternateContent>
  <extLst>
    <ext xmlns:x14="http://schemas.microsoft.com/office/spreadsheetml/2009/9/main" uri="{A8765BA9-456A-4dab-B4F3-ACF838C121DE}">
      <x14:slicerList>
        <x14:slicer r:id="rId2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BD41-FE44-4651-B82D-EC5885A4C7FF}">
  <sheetPr codeName="Sheet1"/>
  <dimension ref="A1:AP80"/>
  <sheetViews>
    <sheetView showGridLines="0" topLeftCell="A69" zoomScale="75" workbookViewId="0">
      <selection activeCell="E80" sqref="E80"/>
    </sheetView>
  </sheetViews>
  <sheetFormatPr defaultRowHeight="14.5" x14ac:dyDescent="0.35"/>
  <cols>
    <col min="1" max="1" width="12.90625" bestFit="1" customWidth="1"/>
    <col min="2" max="2" width="8.08984375" bestFit="1" customWidth="1"/>
    <col min="3" max="3" width="12.1796875" bestFit="1" customWidth="1"/>
    <col min="4" max="4" width="16.81640625" bestFit="1" customWidth="1"/>
    <col min="5" max="5" width="13.26953125" bestFit="1" customWidth="1"/>
    <col min="6" max="6" width="8.1796875" bestFit="1" customWidth="1"/>
    <col min="7" max="7" width="12.36328125" bestFit="1" customWidth="1"/>
    <col min="8" max="8" width="11" bestFit="1" customWidth="1"/>
    <col min="9" max="9" width="15.36328125" style="9" bestFit="1" customWidth="1"/>
    <col min="10" max="10" width="15.36328125" bestFit="1" customWidth="1"/>
    <col min="11" max="11" width="9.7265625" bestFit="1" customWidth="1"/>
    <col min="18" max="18" width="8.7265625" style="9"/>
    <col min="19" max="19" width="13.81640625" bestFit="1" customWidth="1"/>
    <col min="20" max="20" width="12.90625" bestFit="1" customWidth="1"/>
    <col min="23" max="23" width="9.7265625" bestFit="1" customWidth="1"/>
    <col min="25" max="34" width="1.453125" customWidth="1"/>
    <col min="36" max="36" width="8.7265625" style="9"/>
    <col min="38" max="38" width="13.81640625" bestFit="1" customWidth="1"/>
    <col min="39" max="39" width="12.90625" bestFit="1" customWidth="1"/>
    <col min="40" max="40" width="14" bestFit="1" customWidth="1"/>
  </cols>
  <sheetData>
    <row r="1" spans="1:42" x14ac:dyDescent="0.35">
      <c r="J1" s="47" t="s">
        <v>46</v>
      </c>
      <c r="K1" s="47"/>
      <c r="L1" s="47"/>
      <c r="M1" s="47"/>
      <c r="N1" s="47"/>
      <c r="O1" s="47"/>
      <c r="P1" s="47"/>
      <c r="Q1" s="47"/>
    </row>
    <row r="2" spans="1:42" x14ac:dyDescent="0.35">
      <c r="J2" s="47"/>
      <c r="K2" s="47"/>
      <c r="L2" s="47"/>
      <c r="M2" s="47"/>
      <c r="N2" s="47"/>
      <c r="O2" s="47"/>
      <c r="P2" s="47"/>
      <c r="Q2" s="47"/>
    </row>
    <row r="3" spans="1:42" x14ac:dyDescent="0.35">
      <c r="A3" s="1" t="s">
        <v>0</v>
      </c>
      <c r="B3" t="s">
        <v>2</v>
      </c>
      <c r="C3" t="s">
        <v>12</v>
      </c>
      <c r="E3" s="14" t="s">
        <v>48</v>
      </c>
      <c r="F3" s="14" t="s">
        <v>42</v>
      </c>
      <c r="G3" s="14" t="s">
        <v>39</v>
      </c>
      <c r="H3" s="14" t="s">
        <v>43</v>
      </c>
      <c r="J3" s="14" t="s">
        <v>48</v>
      </c>
      <c r="K3" s="14" t="s">
        <v>47</v>
      </c>
      <c r="S3" s="1" t="s">
        <v>0</v>
      </c>
      <c r="T3" t="s">
        <v>2</v>
      </c>
      <c r="AL3" s="1" t="s">
        <v>0</v>
      </c>
      <c r="AM3" t="s">
        <v>2</v>
      </c>
      <c r="AN3" t="s">
        <v>57</v>
      </c>
    </row>
    <row r="4" spans="1:42" x14ac:dyDescent="0.35">
      <c r="A4" s="2" t="s">
        <v>28</v>
      </c>
      <c r="B4" s="11">
        <v>44298.269999999975</v>
      </c>
      <c r="C4" s="11">
        <v>57367</v>
      </c>
      <c r="E4" s="2" t="s">
        <v>28</v>
      </c>
      <c r="F4" s="11">
        <f t="shared" ref="F4:F15" si="0">B4</f>
        <v>44298.269999999975</v>
      </c>
      <c r="G4" s="11">
        <f t="shared" ref="G4:G15" si="1">C4</f>
        <v>57367</v>
      </c>
      <c r="H4" t="str">
        <f t="shared" ref="H4:H15" si="2">IF(F4=LARGE_1,G4,IF(F4=LARGE_2,LARGE_2,""))</f>
        <v/>
      </c>
      <c r="J4" s="2" t="s">
        <v>28</v>
      </c>
      <c r="K4" s="15">
        <f>(F4-G4)/G4</f>
        <v>-0.22780919343873698</v>
      </c>
      <c r="S4" s="2" t="s">
        <v>49</v>
      </c>
      <c r="T4" s="3">
        <v>389062.0800000006</v>
      </c>
      <c r="U4" s="11">
        <f>GETPIVOTDATA("[Measures].[Total revenue]",$S$3,"[Date].[Weektype]","[Date].[Weektype].&amp;[weekday]")</f>
        <v>389062.0800000006</v>
      </c>
      <c r="V4" s="2" t="s">
        <v>49</v>
      </c>
      <c r="W4" s="8">
        <f>GETPIVOTDATA("[Measures].[Total revenue]",$S$3,"[Date].[Weektype]","[Date].[Weektype].&amp;[weekday]")/GETPIVOTDATA("[Measures].[Total revenue]",$S$3)</f>
        <v>0.71064773150496574</v>
      </c>
      <c r="AL4" s="2" t="s">
        <v>53</v>
      </c>
      <c r="AM4" s="36">
        <v>133314.45000000007</v>
      </c>
      <c r="AN4" s="48"/>
      <c r="AO4" s="2"/>
      <c r="AP4" s="8"/>
    </row>
    <row r="5" spans="1:42" x14ac:dyDescent="0.35">
      <c r="A5" s="2" t="s">
        <v>27</v>
      </c>
      <c r="B5" s="11">
        <v>38941.549999999996</v>
      </c>
      <c r="C5" s="11">
        <v>60401</v>
      </c>
      <c r="E5" s="2" t="s">
        <v>27</v>
      </c>
      <c r="F5" s="11">
        <f t="shared" si="0"/>
        <v>38941.549999999996</v>
      </c>
      <c r="G5" s="11">
        <f t="shared" si="1"/>
        <v>60401</v>
      </c>
      <c r="H5" t="str">
        <f t="shared" si="2"/>
        <v/>
      </c>
      <c r="J5" s="2" t="s">
        <v>27</v>
      </c>
      <c r="K5" s="15">
        <f t="shared" ref="K5:K15" si="3">(F5-G5)/G5</f>
        <v>-0.35528302511547827</v>
      </c>
      <c r="S5" s="2" t="s">
        <v>50</v>
      </c>
      <c r="T5" s="3">
        <v>158413.22000000006</v>
      </c>
      <c r="U5" s="11">
        <f>GETPIVOTDATA("[Measures].[Total revenue]",$S$3,"[Date].[Weektype]","[Date].[Weektype].&amp;[Weekend]")</f>
        <v>158413.22000000006</v>
      </c>
      <c r="V5" s="2" t="s">
        <v>50</v>
      </c>
      <c r="W5" s="8">
        <f>GETPIVOTDATA("[Measures].[Total revenue]",$S$3,"[Date].[Weektype]","[Date].[Weektype].&amp;[Weekend]")/GETPIVOTDATA("[Measures].[Total revenue]",$S$3)</f>
        <v>0.28935226849503537</v>
      </c>
      <c r="AL5" s="2" t="s">
        <v>54</v>
      </c>
      <c r="AM5" s="36">
        <v>134824.14999999997</v>
      </c>
      <c r="AN5" s="48">
        <v>1.1324353811607778E-2</v>
      </c>
      <c r="AO5" s="2"/>
      <c r="AP5" s="8"/>
    </row>
    <row r="6" spans="1:42" x14ac:dyDescent="0.35">
      <c r="A6" s="2" t="s">
        <v>30</v>
      </c>
      <c r="B6" s="11">
        <v>50074.630000000019</v>
      </c>
      <c r="C6" s="11">
        <v>68774</v>
      </c>
      <c r="E6" s="2" t="s">
        <v>30</v>
      </c>
      <c r="F6" s="11">
        <f t="shared" si="0"/>
        <v>50074.630000000019</v>
      </c>
      <c r="G6" s="11">
        <f t="shared" si="1"/>
        <v>68774</v>
      </c>
      <c r="H6" t="str">
        <f t="shared" si="2"/>
        <v/>
      </c>
      <c r="J6" s="2" t="s">
        <v>30</v>
      </c>
      <c r="K6" s="15">
        <f t="shared" si="3"/>
        <v>-0.27189591996975571</v>
      </c>
      <c r="S6" s="2" t="s">
        <v>1</v>
      </c>
      <c r="T6" s="3">
        <v>547475.30000000005</v>
      </c>
      <c r="AL6" s="2" t="s">
        <v>55</v>
      </c>
      <c r="AM6" s="36">
        <v>150507.98000000016</v>
      </c>
      <c r="AN6" s="48">
        <v>0.11632804657029319</v>
      </c>
    </row>
    <row r="7" spans="1:42" x14ac:dyDescent="0.35">
      <c r="A7" s="2" t="s">
        <v>24</v>
      </c>
      <c r="B7" s="11">
        <v>43948.810000000005</v>
      </c>
      <c r="C7" s="11">
        <v>67925</v>
      </c>
      <c r="E7" s="2" t="s">
        <v>24</v>
      </c>
      <c r="F7" s="11">
        <f t="shared" si="0"/>
        <v>43948.810000000005</v>
      </c>
      <c r="G7" s="11">
        <f t="shared" si="1"/>
        <v>67925</v>
      </c>
      <c r="H7" t="str">
        <f t="shared" si="2"/>
        <v/>
      </c>
      <c r="J7" s="2" t="s">
        <v>24</v>
      </c>
      <c r="K7" s="15">
        <f t="shared" si="3"/>
        <v>-0.35298034596981959</v>
      </c>
      <c r="AL7" s="2" t="s">
        <v>56</v>
      </c>
      <c r="AM7" s="36">
        <v>128828.7199999999</v>
      </c>
      <c r="AN7" s="48">
        <v>-0.14404060170098779</v>
      </c>
    </row>
    <row r="8" spans="1:42" x14ac:dyDescent="0.35">
      <c r="A8" s="2" t="s">
        <v>31</v>
      </c>
      <c r="B8" s="11">
        <v>48923.540000000008</v>
      </c>
      <c r="C8" s="11">
        <v>53319</v>
      </c>
      <c r="E8" s="2" t="s">
        <v>31</v>
      </c>
      <c r="F8" s="11">
        <f t="shared" si="0"/>
        <v>48923.540000000008</v>
      </c>
      <c r="G8" s="11">
        <f t="shared" si="1"/>
        <v>53319</v>
      </c>
      <c r="H8" s="11" t="str">
        <f t="shared" si="2"/>
        <v/>
      </c>
      <c r="J8" s="2" t="s">
        <v>31</v>
      </c>
      <c r="K8" s="15">
        <f t="shared" si="3"/>
        <v>-8.2437029951799398E-2</v>
      </c>
      <c r="AL8" s="2" t="s">
        <v>1</v>
      </c>
      <c r="AM8" s="3">
        <v>547475.30000000005</v>
      </c>
      <c r="AN8" s="35"/>
    </row>
    <row r="9" spans="1:42" x14ac:dyDescent="0.35">
      <c r="A9" s="2" t="s">
        <v>23</v>
      </c>
      <c r="B9" s="11">
        <v>41951.799999999988</v>
      </c>
      <c r="C9" s="11">
        <v>65382</v>
      </c>
      <c r="E9" s="2" t="s">
        <v>23</v>
      </c>
      <c r="F9" s="11">
        <f t="shared" si="0"/>
        <v>41951.799999999988</v>
      </c>
      <c r="G9" s="11">
        <f t="shared" si="1"/>
        <v>65382</v>
      </c>
      <c r="H9" t="str">
        <f t="shared" si="2"/>
        <v/>
      </c>
      <c r="J9" s="2" t="s">
        <v>23</v>
      </c>
      <c r="K9" s="15">
        <f t="shared" si="3"/>
        <v>-0.35835856963690332</v>
      </c>
    </row>
    <row r="10" spans="1:42" x14ac:dyDescent="0.35">
      <c r="A10" s="2" t="s">
        <v>29</v>
      </c>
      <c r="B10" s="11">
        <v>44768.409999999982</v>
      </c>
      <c r="C10" s="11">
        <v>59880</v>
      </c>
      <c r="E10" s="2" t="s">
        <v>29</v>
      </c>
      <c r="F10" s="11">
        <f t="shared" si="0"/>
        <v>44768.409999999982</v>
      </c>
      <c r="G10" s="11">
        <f t="shared" si="1"/>
        <v>59880</v>
      </c>
      <c r="H10" t="str">
        <f t="shared" si="2"/>
        <v/>
      </c>
      <c r="J10" s="2" t="s">
        <v>29</v>
      </c>
      <c r="K10" s="15">
        <f t="shared" si="3"/>
        <v>-0.25236456245825012</v>
      </c>
    </row>
    <row r="11" spans="1:42" x14ac:dyDescent="0.35">
      <c r="A11" s="2" t="s">
        <v>25</v>
      </c>
      <c r="B11" s="11">
        <v>51449.09</v>
      </c>
      <c r="C11" s="11">
        <v>53945</v>
      </c>
      <c r="E11" s="2" t="s">
        <v>25</v>
      </c>
      <c r="F11" s="11">
        <f t="shared" si="0"/>
        <v>51449.09</v>
      </c>
      <c r="G11" s="11">
        <f t="shared" si="1"/>
        <v>53945</v>
      </c>
      <c r="H11" s="11">
        <f t="shared" si="2"/>
        <v>51449.09</v>
      </c>
      <c r="J11" s="2" t="s">
        <v>25</v>
      </c>
      <c r="K11" s="15">
        <f t="shared" si="3"/>
        <v>-4.626768004448982E-2</v>
      </c>
      <c r="AL11" s="2" t="s">
        <v>58</v>
      </c>
      <c r="AM11" t="s">
        <v>40</v>
      </c>
      <c r="AN11" t="s">
        <v>43</v>
      </c>
      <c r="AO11" t="s">
        <v>59</v>
      </c>
    </row>
    <row r="12" spans="1:42" x14ac:dyDescent="0.35">
      <c r="A12" s="2" t="s">
        <v>34</v>
      </c>
      <c r="B12" s="11">
        <v>54290.479999999996</v>
      </c>
      <c r="C12" s="11">
        <v>54604</v>
      </c>
      <c r="E12" s="2" t="s">
        <v>34</v>
      </c>
      <c r="F12" s="11">
        <f t="shared" si="0"/>
        <v>54290.479999999996</v>
      </c>
      <c r="G12" s="11">
        <f t="shared" si="1"/>
        <v>54604</v>
      </c>
      <c r="H12">
        <f t="shared" si="2"/>
        <v>54604</v>
      </c>
      <c r="J12" s="2" t="s">
        <v>34</v>
      </c>
      <c r="K12" s="15">
        <f t="shared" si="3"/>
        <v>-5.7417039044759368E-3</v>
      </c>
      <c r="AL12" s="2" t="s">
        <v>53</v>
      </c>
      <c r="AM12" s="36">
        <f>GETPIVOTDATA("[__Xl2].[Measures].[Total revenue]",$AL$3,"[Date].[Quarter]","[Date].[Quarter].&amp;[Q-1]")</f>
        <v>133314.45000000007</v>
      </c>
      <c r="AN12" t="str">
        <f>IF(AM12&gt;$AO$15,AM12,"")</f>
        <v/>
      </c>
      <c r="AO12" s="36">
        <f>AVERAGE($AM$12:$AM$15)</f>
        <v>136868.82500000001</v>
      </c>
    </row>
    <row r="13" spans="1:42" x14ac:dyDescent="0.35">
      <c r="A13" s="2" t="s">
        <v>33</v>
      </c>
      <c r="B13" s="11">
        <v>41606.340000000033</v>
      </c>
      <c r="C13" s="11">
        <v>31823</v>
      </c>
      <c r="E13" s="2" t="s">
        <v>33</v>
      </c>
      <c r="F13" s="11">
        <f t="shared" si="0"/>
        <v>41606.340000000033</v>
      </c>
      <c r="G13" s="11">
        <f t="shared" si="1"/>
        <v>31823</v>
      </c>
      <c r="H13" t="str">
        <f t="shared" si="2"/>
        <v/>
      </c>
      <c r="J13" s="2" t="s">
        <v>33</v>
      </c>
      <c r="K13" s="15">
        <f t="shared" si="3"/>
        <v>0.30742984633755566</v>
      </c>
      <c r="AL13" s="2" t="s">
        <v>54</v>
      </c>
      <c r="AM13" s="36">
        <f>GETPIVOTDATA("[__Xl2].[Measures].[Total revenue]",$AL$3,"[Date].[Quarter]","[Date].[Quarter].&amp;[Q-2]")</f>
        <v>134824.14999999997</v>
      </c>
      <c r="AN13" t="str">
        <f t="shared" ref="AN13:AN15" si="4">IF(AM13&gt;$AO$15,AM13,"")</f>
        <v/>
      </c>
      <c r="AO13" s="36">
        <f t="shared" ref="AO13:AO15" si="5">AVERAGE($AM$12:$AM$15)</f>
        <v>136868.82500000001</v>
      </c>
    </row>
    <row r="14" spans="1:42" x14ac:dyDescent="0.35">
      <c r="A14" s="2" t="s">
        <v>32</v>
      </c>
      <c r="B14" s="11">
        <v>40990.89999999998</v>
      </c>
      <c r="C14" s="11">
        <v>33281</v>
      </c>
      <c r="E14" s="2" t="s">
        <v>32</v>
      </c>
      <c r="F14" s="11">
        <f t="shared" si="0"/>
        <v>40990.89999999998</v>
      </c>
      <c r="G14" s="11">
        <f t="shared" si="1"/>
        <v>33281</v>
      </c>
      <c r="H14" t="str">
        <f t="shared" si="2"/>
        <v/>
      </c>
      <c r="J14" s="2" t="s">
        <v>32</v>
      </c>
      <c r="K14" s="15">
        <f t="shared" si="3"/>
        <v>0.23166070731047683</v>
      </c>
      <c r="AL14" s="2" t="s">
        <v>55</v>
      </c>
      <c r="AM14" s="36">
        <f>GETPIVOTDATA("[__Xl2].[Measures].[Total revenue]",$AL$3,"[Date].[Quarter]","[Date].[Quarter].&amp;[Q-3]")</f>
        <v>150507.98000000016</v>
      </c>
      <c r="AN14">
        <f t="shared" si="4"/>
        <v>150507.98000000016</v>
      </c>
      <c r="AO14" s="36">
        <f t="shared" si="5"/>
        <v>136868.82500000001</v>
      </c>
    </row>
    <row r="15" spans="1:42" x14ac:dyDescent="0.35">
      <c r="A15" s="2" t="s">
        <v>26</v>
      </c>
      <c r="B15" s="11">
        <v>46231.48</v>
      </c>
      <c r="C15" s="11">
        <v>39379</v>
      </c>
      <c r="E15" s="2" t="s">
        <v>26</v>
      </c>
      <c r="F15" s="11">
        <f t="shared" si="0"/>
        <v>46231.48</v>
      </c>
      <c r="G15" s="11">
        <f t="shared" si="1"/>
        <v>39379</v>
      </c>
      <c r="H15" t="str">
        <f t="shared" si="2"/>
        <v/>
      </c>
      <c r="J15" s="2" t="s">
        <v>26</v>
      </c>
      <c r="K15" s="15">
        <f t="shared" si="3"/>
        <v>0.17401356052718461</v>
      </c>
      <c r="AL15" s="2" t="s">
        <v>56</v>
      </c>
      <c r="AM15" s="36">
        <f>GETPIVOTDATA("[__Xl2].[Measures].[Total revenue]",$AL$3,"[Date].[Quarter]","[Date].[Quarter].&amp;[Q-4]")</f>
        <v>128828.7199999999</v>
      </c>
      <c r="AN15" t="str">
        <f t="shared" si="4"/>
        <v/>
      </c>
      <c r="AO15" s="36">
        <f t="shared" si="5"/>
        <v>136868.82500000001</v>
      </c>
    </row>
    <row r="16" spans="1:42" x14ac:dyDescent="0.35">
      <c r="A16" s="2" t="s">
        <v>1</v>
      </c>
      <c r="B16" s="3">
        <v>547475.30000000005</v>
      </c>
      <c r="C16" s="3">
        <v>646080</v>
      </c>
      <c r="J16" s="2"/>
    </row>
    <row r="17" spans="6:40" x14ac:dyDescent="0.35">
      <c r="AM17" t="s">
        <v>60</v>
      </c>
      <c r="AN17" t="str">
        <f>_xlfn.TEXTJOIN(" ",,"The Line in the chart indicates",TEXT(AO12,"$#,#"),"Average Revenue")</f>
        <v>The Line in the chart indicates $136,869 Average Revenue</v>
      </c>
    </row>
    <row r="18" spans="6:40" x14ac:dyDescent="0.35">
      <c r="F18" t="s">
        <v>44</v>
      </c>
      <c r="G18" s="11">
        <f>LARGE($F$4:$F$15,1)</f>
        <v>54290.479999999996</v>
      </c>
    </row>
    <row r="19" spans="6:40" x14ac:dyDescent="0.35">
      <c r="F19" t="s">
        <v>45</v>
      </c>
      <c r="G19" s="11">
        <f>LARGE($F$4:$F$15,2)</f>
        <v>51449.09</v>
      </c>
    </row>
    <row r="24" spans="6:40" x14ac:dyDescent="0.35">
      <c r="W24" s="18" t="s">
        <v>51</v>
      </c>
      <c r="X24" s="19"/>
      <c r="Y24" s="19"/>
      <c r="Z24" s="19"/>
      <c r="AA24" s="19"/>
      <c r="AB24" s="19"/>
      <c r="AC24" s="19"/>
      <c r="AD24" s="19"/>
      <c r="AE24" s="19"/>
      <c r="AF24" s="19"/>
      <c r="AG24" s="19"/>
      <c r="AH24" s="19"/>
      <c r="AI24" s="20"/>
    </row>
    <row r="25" spans="6:40" ht="5.5" customHeight="1" thickBot="1" x14ac:dyDescent="0.4">
      <c r="W25" s="21"/>
      <c r="Y25" s="26">
        <f t="shared" ref="Y25:AH32" si="6">Y26+10</f>
        <v>91</v>
      </c>
      <c r="Z25" s="27">
        <f t="shared" si="6"/>
        <v>92</v>
      </c>
      <c r="AA25" s="27">
        <f t="shared" si="6"/>
        <v>93</v>
      </c>
      <c r="AB25" s="27">
        <f t="shared" si="6"/>
        <v>94</v>
      </c>
      <c r="AC25" s="27">
        <f t="shared" si="6"/>
        <v>95</v>
      </c>
      <c r="AD25" s="27">
        <f t="shared" si="6"/>
        <v>96</v>
      </c>
      <c r="AE25" s="27">
        <f t="shared" si="6"/>
        <v>97</v>
      </c>
      <c r="AF25" s="27">
        <f t="shared" si="6"/>
        <v>98</v>
      </c>
      <c r="AG25" s="27">
        <f t="shared" si="6"/>
        <v>99</v>
      </c>
      <c r="AH25" s="28">
        <f t="shared" si="6"/>
        <v>100</v>
      </c>
      <c r="AI25" s="22"/>
    </row>
    <row r="26" spans="6:40" ht="5.5" customHeight="1" thickTop="1" thickBot="1" x14ac:dyDescent="0.4">
      <c r="W26" s="21"/>
      <c r="Y26" s="29">
        <f t="shared" si="6"/>
        <v>81</v>
      </c>
      <c r="Z26" s="30">
        <f t="shared" si="6"/>
        <v>82</v>
      </c>
      <c r="AA26" s="30">
        <f t="shared" si="6"/>
        <v>83</v>
      </c>
      <c r="AB26" s="30">
        <f t="shared" si="6"/>
        <v>84</v>
      </c>
      <c r="AC26" s="30">
        <f t="shared" si="6"/>
        <v>85</v>
      </c>
      <c r="AD26" s="30">
        <f t="shared" si="6"/>
        <v>86</v>
      </c>
      <c r="AE26" s="30">
        <f t="shared" si="6"/>
        <v>87</v>
      </c>
      <c r="AF26" s="30">
        <f t="shared" si="6"/>
        <v>88</v>
      </c>
      <c r="AG26" s="30">
        <f t="shared" si="6"/>
        <v>89</v>
      </c>
      <c r="AH26" s="31">
        <f t="shared" si="6"/>
        <v>90</v>
      </c>
      <c r="AI26" s="22"/>
    </row>
    <row r="27" spans="6:40" ht="5.5" customHeight="1" thickTop="1" thickBot="1" x14ac:dyDescent="0.4">
      <c r="W27" s="21"/>
      <c r="Y27" s="29">
        <f t="shared" si="6"/>
        <v>71</v>
      </c>
      <c r="Z27" s="30">
        <f t="shared" si="6"/>
        <v>72</v>
      </c>
      <c r="AA27" s="30">
        <f t="shared" si="6"/>
        <v>73</v>
      </c>
      <c r="AB27" s="30">
        <f t="shared" si="6"/>
        <v>74</v>
      </c>
      <c r="AC27" s="30">
        <f t="shared" si="6"/>
        <v>75</v>
      </c>
      <c r="AD27" s="30">
        <f t="shared" si="6"/>
        <v>76</v>
      </c>
      <c r="AE27" s="30">
        <f t="shared" si="6"/>
        <v>77</v>
      </c>
      <c r="AF27" s="30">
        <f t="shared" si="6"/>
        <v>78</v>
      </c>
      <c r="AG27" s="30">
        <f t="shared" si="6"/>
        <v>79</v>
      </c>
      <c r="AH27" s="31">
        <f t="shared" si="6"/>
        <v>80</v>
      </c>
      <c r="AI27" s="22"/>
    </row>
    <row r="28" spans="6:40" ht="5.5" customHeight="1" thickTop="1" thickBot="1" x14ac:dyDescent="0.4">
      <c r="W28" s="21"/>
      <c r="Y28" s="29">
        <f t="shared" si="6"/>
        <v>61</v>
      </c>
      <c r="Z28" s="30">
        <f t="shared" si="6"/>
        <v>62</v>
      </c>
      <c r="AA28" s="30">
        <f t="shared" si="6"/>
        <v>63</v>
      </c>
      <c r="AB28" s="30">
        <f t="shared" si="6"/>
        <v>64</v>
      </c>
      <c r="AC28" s="30">
        <f t="shared" si="6"/>
        <v>65</v>
      </c>
      <c r="AD28" s="30">
        <f t="shared" si="6"/>
        <v>66</v>
      </c>
      <c r="AE28" s="30">
        <f t="shared" si="6"/>
        <v>67</v>
      </c>
      <c r="AF28" s="30">
        <f t="shared" si="6"/>
        <v>68</v>
      </c>
      <c r="AG28" s="30">
        <f t="shared" si="6"/>
        <v>69</v>
      </c>
      <c r="AH28" s="31">
        <f t="shared" si="6"/>
        <v>70</v>
      </c>
      <c r="AI28" s="22"/>
    </row>
    <row r="29" spans="6:40" ht="5.5" customHeight="1" thickTop="1" thickBot="1" x14ac:dyDescent="0.4">
      <c r="W29" s="21"/>
      <c r="Y29" s="29">
        <f t="shared" si="6"/>
        <v>51</v>
      </c>
      <c r="Z29" s="30">
        <f t="shared" si="6"/>
        <v>52</v>
      </c>
      <c r="AA29" s="30">
        <f t="shared" si="6"/>
        <v>53</v>
      </c>
      <c r="AB29" s="30">
        <f t="shared" si="6"/>
        <v>54</v>
      </c>
      <c r="AC29" s="30">
        <f t="shared" si="6"/>
        <v>55</v>
      </c>
      <c r="AD29" s="30">
        <f t="shared" si="6"/>
        <v>56</v>
      </c>
      <c r="AE29" s="30">
        <f t="shared" si="6"/>
        <v>57</v>
      </c>
      <c r="AF29" s="30">
        <f t="shared" si="6"/>
        <v>58</v>
      </c>
      <c r="AG29" s="30">
        <f t="shared" si="6"/>
        <v>59</v>
      </c>
      <c r="AH29" s="31">
        <f t="shared" si="6"/>
        <v>60</v>
      </c>
      <c r="AI29" s="22"/>
    </row>
    <row r="30" spans="6:40" ht="5.5" customHeight="1" thickTop="1" thickBot="1" x14ac:dyDescent="0.4">
      <c r="W30" s="21"/>
      <c r="Y30" s="29">
        <f t="shared" si="6"/>
        <v>41</v>
      </c>
      <c r="Z30" s="30">
        <f t="shared" si="6"/>
        <v>42</v>
      </c>
      <c r="AA30" s="30">
        <f t="shared" si="6"/>
        <v>43</v>
      </c>
      <c r="AB30" s="30">
        <f t="shared" si="6"/>
        <v>44</v>
      </c>
      <c r="AC30" s="30">
        <f t="shared" si="6"/>
        <v>45</v>
      </c>
      <c r="AD30" s="30">
        <f t="shared" si="6"/>
        <v>46</v>
      </c>
      <c r="AE30" s="30">
        <f t="shared" si="6"/>
        <v>47</v>
      </c>
      <c r="AF30" s="30">
        <f t="shared" si="6"/>
        <v>48</v>
      </c>
      <c r="AG30" s="30">
        <f t="shared" si="6"/>
        <v>49</v>
      </c>
      <c r="AH30" s="31">
        <f t="shared" si="6"/>
        <v>50</v>
      </c>
      <c r="AI30" s="22"/>
    </row>
    <row r="31" spans="6:40" ht="5.5" customHeight="1" thickTop="1" thickBot="1" x14ac:dyDescent="0.4">
      <c r="W31" s="21"/>
      <c r="Y31" s="29">
        <f t="shared" si="6"/>
        <v>31</v>
      </c>
      <c r="Z31" s="30">
        <f t="shared" si="6"/>
        <v>32</v>
      </c>
      <c r="AA31" s="30">
        <f t="shared" si="6"/>
        <v>33</v>
      </c>
      <c r="AB31" s="30">
        <f t="shared" si="6"/>
        <v>34</v>
      </c>
      <c r="AC31" s="30">
        <f t="shared" si="6"/>
        <v>35</v>
      </c>
      <c r="AD31" s="30">
        <f t="shared" si="6"/>
        <v>36</v>
      </c>
      <c r="AE31" s="30">
        <f t="shared" si="6"/>
        <v>37</v>
      </c>
      <c r="AF31" s="30">
        <f t="shared" si="6"/>
        <v>38</v>
      </c>
      <c r="AG31" s="30">
        <f t="shared" si="6"/>
        <v>39</v>
      </c>
      <c r="AH31" s="31">
        <f t="shared" si="6"/>
        <v>40</v>
      </c>
      <c r="AI31" s="22"/>
    </row>
    <row r="32" spans="6:40" ht="5.5" customHeight="1" thickTop="1" thickBot="1" x14ac:dyDescent="0.4">
      <c r="W32" s="21"/>
      <c r="Y32" s="29">
        <f t="shared" si="6"/>
        <v>21</v>
      </c>
      <c r="Z32" s="30">
        <f t="shared" si="6"/>
        <v>22</v>
      </c>
      <c r="AA32" s="30">
        <f t="shared" si="6"/>
        <v>23</v>
      </c>
      <c r="AB32" s="30">
        <f t="shared" si="6"/>
        <v>24</v>
      </c>
      <c r="AC32" s="30">
        <f t="shared" si="6"/>
        <v>25</v>
      </c>
      <c r="AD32" s="30">
        <f t="shared" si="6"/>
        <v>26</v>
      </c>
      <c r="AE32" s="30">
        <f t="shared" si="6"/>
        <v>27</v>
      </c>
      <c r="AF32" s="30">
        <f t="shared" si="6"/>
        <v>28</v>
      </c>
      <c r="AG32" s="30">
        <f t="shared" si="6"/>
        <v>29</v>
      </c>
      <c r="AH32" s="31">
        <f t="shared" si="6"/>
        <v>30</v>
      </c>
      <c r="AI32" s="22"/>
    </row>
    <row r="33" spans="23:35" ht="5.5" customHeight="1" thickTop="1" thickBot="1" x14ac:dyDescent="0.4">
      <c r="W33" s="21"/>
      <c r="Y33" s="29">
        <f>Y34+10</f>
        <v>11</v>
      </c>
      <c r="Z33" s="30">
        <f t="shared" ref="Z33:AH33" si="7">Z34+10</f>
        <v>12</v>
      </c>
      <c r="AA33" s="30">
        <f t="shared" si="7"/>
        <v>13</v>
      </c>
      <c r="AB33" s="30">
        <f t="shared" si="7"/>
        <v>14</v>
      </c>
      <c r="AC33" s="30">
        <f t="shared" si="7"/>
        <v>15</v>
      </c>
      <c r="AD33" s="30">
        <f t="shared" si="7"/>
        <v>16</v>
      </c>
      <c r="AE33" s="30">
        <f t="shared" si="7"/>
        <v>17</v>
      </c>
      <c r="AF33" s="30">
        <f t="shared" si="7"/>
        <v>18</v>
      </c>
      <c r="AG33" s="30">
        <f t="shared" si="7"/>
        <v>19</v>
      </c>
      <c r="AH33" s="31">
        <f t="shared" si="7"/>
        <v>20</v>
      </c>
      <c r="AI33" s="22"/>
    </row>
    <row r="34" spans="23:35" ht="5.5" customHeight="1" thickTop="1" x14ac:dyDescent="0.35">
      <c r="W34" s="21"/>
      <c r="Y34" s="32">
        <v>1</v>
      </c>
      <c r="Z34" s="33">
        <f>Y34+1</f>
        <v>2</v>
      </c>
      <c r="AA34" s="33">
        <f t="shared" ref="AA34:AH34" si="8">Z34+1</f>
        <v>3</v>
      </c>
      <c r="AB34" s="33">
        <f t="shared" si="8"/>
        <v>4</v>
      </c>
      <c r="AC34" s="33">
        <f t="shared" si="8"/>
        <v>5</v>
      </c>
      <c r="AD34" s="33">
        <f t="shared" si="8"/>
        <v>6</v>
      </c>
      <c r="AE34" s="33">
        <f t="shared" si="8"/>
        <v>7</v>
      </c>
      <c r="AF34" s="33">
        <f t="shared" si="8"/>
        <v>8</v>
      </c>
      <c r="AG34" s="33">
        <f>AF34+1</f>
        <v>9</v>
      </c>
      <c r="AH34" s="34">
        <f t="shared" si="8"/>
        <v>10</v>
      </c>
      <c r="AI34" s="22"/>
    </row>
    <row r="35" spans="23:35" x14ac:dyDescent="0.35">
      <c r="W35" s="21"/>
      <c r="AI35" s="22"/>
    </row>
    <row r="36" spans="23:35" x14ac:dyDescent="0.35">
      <c r="W36" s="21"/>
      <c r="AI36" s="22"/>
    </row>
    <row r="37" spans="23:35" x14ac:dyDescent="0.35">
      <c r="W37" s="21" t="s">
        <v>52</v>
      </c>
      <c r="AI37" s="22"/>
    </row>
    <row r="38" spans="23:35" ht="5.5" customHeight="1" thickBot="1" x14ac:dyDescent="0.4">
      <c r="W38" s="21"/>
      <c r="Y38" s="26">
        <f t="shared" ref="Y38:AH38" si="9">Y39+10</f>
        <v>100</v>
      </c>
      <c r="Z38" s="27">
        <f t="shared" si="9"/>
        <v>101</v>
      </c>
      <c r="AA38" s="27">
        <f t="shared" si="9"/>
        <v>102</v>
      </c>
      <c r="AB38" s="27">
        <f t="shared" si="9"/>
        <v>103</v>
      </c>
      <c r="AC38" s="27">
        <f t="shared" si="9"/>
        <v>104</v>
      </c>
      <c r="AD38" s="27">
        <f t="shared" si="9"/>
        <v>105</v>
      </c>
      <c r="AE38" s="27">
        <f t="shared" si="9"/>
        <v>106</v>
      </c>
      <c r="AF38" s="27">
        <f t="shared" si="9"/>
        <v>107</v>
      </c>
      <c r="AG38" s="27">
        <f t="shared" si="9"/>
        <v>108</v>
      </c>
      <c r="AH38" s="28">
        <f t="shared" si="9"/>
        <v>109</v>
      </c>
      <c r="AI38" s="22"/>
    </row>
    <row r="39" spans="23:35" ht="5.5" customHeight="1" thickTop="1" thickBot="1" x14ac:dyDescent="0.4">
      <c r="W39" s="21"/>
      <c r="Y39" s="29">
        <f t="shared" ref="Y39:Y47" si="10">Y40+10</f>
        <v>90</v>
      </c>
      <c r="Z39" s="30">
        <f t="shared" ref="Z39:AH45" si="11">Z40+10</f>
        <v>91</v>
      </c>
      <c r="AA39" s="30">
        <f t="shared" si="11"/>
        <v>92</v>
      </c>
      <c r="AB39" s="30">
        <f t="shared" si="11"/>
        <v>93</v>
      </c>
      <c r="AC39" s="30">
        <f t="shared" si="11"/>
        <v>94</v>
      </c>
      <c r="AD39" s="30">
        <f t="shared" si="11"/>
        <v>95</v>
      </c>
      <c r="AE39" s="30">
        <f t="shared" si="11"/>
        <v>96</v>
      </c>
      <c r="AF39" s="30">
        <f t="shared" si="11"/>
        <v>97</v>
      </c>
      <c r="AG39" s="30">
        <f t="shared" si="11"/>
        <v>98</v>
      </c>
      <c r="AH39" s="31">
        <f t="shared" si="11"/>
        <v>99</v>
      </c>
      <c r="AI39" s="22"/>
    </row>
    <row r="40" spans="23:35" ht="5.5" customHeight="1" thickTop="1" thickBot="1" x14ac:dyDescent="0.4">
      <c r="W40" s="21"/>
      <c r="Y40" s="29">
        <f t="shared" si="10"/>
        <v>80</v>
      </c>
      <c r="Z40" s="30">
        <f t="shared" si="11"/>
        <v>81</v>
      </c>
      <c r="AA40" s="30">
        <f t="shared" si="11"/>
        <v>82</v>
      </c>
      <c r="AB40" s="30">
        <f t="shared" si="11"/>
        <v>83</v>
      </c>
      <c r="AC40" s="30">
        <f t="shared" si="11"/>
        <v>84</v>
      </c>
      <c r="AD40" s="30">
        <f t="shared" si="11"/>
        <v>85</v>
      </c>
      <c r="AE40" s="30">
        <f t="shared" si="11"/>
        <v>86</v>
      </c>
      <c r="AF40" s="30">
        <f t="shared" si="11"/>
        <v>87</v>
      </c>
      <c r="AG40" s="30">
        <f t="shared" si="11"/>
        <v>88</v>
      </c>
      <c r="AH40" s="31">
        <f t="shared" si="11"/>
        <v>89</v>
      </c>
      <c r="AI40" s="22"/>
    </row>
    <row r="41" spans="23:35" ht="5.5" customHeight="1" thickTop="1" thickBot="1" x14ac:dyDescent="0.4">
      <c r="W41" s="21"/>
      <c r="Y41" s="29">
        <f t="shared" si="10"/>
        <v>70</v>
      </c>
      <c r="Z41" s="30">
        <f t="shared" si="11"/>
        <v>71</v>
      </c>
      <c r="AA41" s="30">
        <f t="shared" si="11"/>
        <v>72</v>
      </c>
      <c r="AB41" s="30">
        <f t="shared" si="11"/>
        <v>73</v>
      </c>
      <c r="AC41" s="30">
        <f t="shared" si="11"/>
        <v>74</v>
      </c>
      <c r="AD41" s="30">
        <f t="shared" si="11"/>
        <v>75</v>
      </c>
      <c r="AE41" s="30">
        <f t="shared" si="11"/>
        <v>76</v>
      </c>
      <c r="AF41" s="30">
        <f t="shared" si="11"/>
        <v>77</v>
      </c>
      <c r="AG41" s="30">
        <f t="shared" si="11"/>
        <v>78</v>
      </c>
      <c r="AH41" s="31">
        <f t="shared" si="11"/>
        <v>79</v>
      </c>
      <c r="AI41" s="22"/>
    </row>
    <row r="42" spans="23:35" ht="5.5" customHeight="1" thickTop="1" thickBot="1" x14ac:dyDescent="0.4">
      <c r="W42" s="21"/>
      <c r="Y42" s="29">
        <f t="shared" si="10"/>
        <v>60</v>
      </c>
      <c r="Z42" s="30">
        <f t="shared" si="11"/>
        <v>61</v>
      </c>
      <c r="AA42" s="30">
        <f t="shared" si="11"/>
        <v>62</v>
      </c>
      <c r="AB42" s="30">
        <f t="shared" si="11"/>
        <v>63</v>
      </c>
      <c r="AC42" s="30">
        <f t="shared" si="11"/>
        <v>64</v>
      </c>
      <c r="AD42" s="30">
        <f t="shared" si="11"/>
        <v>65</v>
      </c>
      <c r="AE42" s="30">
        <f t="shared" si="11"/>
        <v>66</v>
      </c>
      <c r="AF42" s="30">
        <f t="shared" si="11"/>
        <v>67</v>
      </c>
      <c r="AG42" s="30">
        <f t="shared" si="11"/>
        <v>68</v>
      </c>
      <c r="AH42" s="31">
        <f t="shared" si="11"/>
        <v>69</v>
      </c>
      <c r="AI42" s="22"/>
    </row>
    <row r="43" spans="23:35" ht="5.5" customHeight="1" thickTop="1" thickBot="1" x14ac:dyDescent="0.4">
      <c r="W43" s="21"/>
      <c r="Y43" s="29">
        <f t="shared" si="10"/>
        <v>50</v>
      </c>
      <c r="Z43" s="30">
        <f t="shared" si="11"/>
        <v>51</v>
      </c>
      <c r="AA43" s="30">
        <f t="shared" si="11"/>
        <v>52</v>
      </c>
      <c r="AB43" s="30">
        <f t="shared" si="11"/>
        <v>53</v>
      </c>
      <c r="AC43" s="30">
        <f t="shared" si="11"/>
        <v>54</v>
      </c>
      <c r="AD43" s="30">
        <f t="shared" si="11"/>
        <v>55</v>
      </c>
      <c r="AE43" s="30">
        <f t="shared" si="11"/>
        <v>56</v>
      </c>
      <c r="AF43" s="30">
        <f t="shared" si="11"/>
        <v>57</v>
      </c>
      <c r="AG43" s="30">
        <f t="shared" si="11"/>
        <v>58</v>
      </c>
      <c r="AH43" s="31">
        <f t="shared" si="11"/>
        <v>59</v>
      </c>
      <c r="AI43" s="22"/>
    </row>
    <row r="44" spans="23:35" ht="5.5" customHeight="1" thickTop="1" thickBot="1" x14ac:dyDescent="0.4">
      <c r="W44" s="21"/>
      <c r="Y44" s="29">
        <f t="shared" si="10"/>
        <v>40</v>
      </c>
      <c r="Z44" s="30">
        <f t="shared" si="11"/>
        <v>41</v>
      </c>
      <c r="AA44" s="30">
        <f t="shared" si="11"/>
        <v>42</v>
      </c>
      <c r="AB44" s="30">
        <f t="shared" si="11"/>
        <v>43</v>
      </c>
      <c r="AC44" s="30">
        <f t="shared" si="11"/>
        <v>44</v>
      </c>
      <c r="AD44" s="30">
        <f t="shared" si="11"/>
        <v>45</v>
      </c>
      <c r="AE44" s="30">
        <f t="shared" si="11"/>
        <v>46</v>
      </c>
      <c r="AF44" s="30">
        <f t="shared" si="11"/>
        <v>47</v>
      </c>
      <c r="AG44" s="30">
        <f t="shared" si="11"/>
        <v>48</v>
      </c>
      <c r="AH44" s="31">
        <f t="shared" si="11"/>
        <v>49</v>
      </c>
      <c r="AI44" s="22"/>
    </row>
    <row r="45" spans="23:35" ht="5.5" customHeight="1" thickTop="1" thickBot="1" x14ac:dyDescent="0.4">
      <c r="W45" s="21"/>
      <c r="Y45" s="29">
        <f t="shared" si="10"/>
        <v>30</v>
      </c>
      <c r="Z45" s="30">
        <f t="shared" si="11"/>
        <v>31</v>
      </c>
      <c r="AA45" s="30">
        <f t="shared" si="11"/>
        <v>32</v>
      </c>
      <c r="AB45" s="30">
        <f t="shared" si="11"/>
        <v>33</v>
      </c>
      <c r="AC45" s="30">
        <f t="shared" si="11"/>
        <v>34</v>
      </c>
      <c r="AD45" s="30">
        <f t="shared" si="11"/>
        <v>35</v>
      </c>
      <c r="AE45" s="30">
        <f t="shared" si="11"/>
        <v>36</v>
      </c>
      <c r="AF45" s="30">
        <f t="shared" si="11"/>
        <v>37</v>
      </c>
      <c r="AG45" s="30">
        <f t="shared" si="11"/>
        <v>38</v>
      </c>
      <c r="AH45" s="31">
        <f t="shared" si="11"/>
        <v>39</v>
      </c>
      <c r="AI45" s="22"/>
    </row>
    <row r="46" spans="23:35" ht="5.5" customHeight="1" thickTop="1" thickBot="1" x14ac:dyDescent="0.4">
      <c r="W46" s="21"/>
      <c r="Y46" s="29">
        <f t="shared" si="10"/>
        <v>20</v>
      </c>
      <c r="Z46" s="30">
        <f t="shared" ref="Z46" si="12">Z47+10</f>
        <v>21</v>
      </c>
      <c r="AA46" s="30">
        <f t="shared" ref="AA46" si="13">AA47+10</f>
        <v>22</v>
      </c>
      <c r="AB46" s="30">
        <f t="shared" ref="AB46" si="14">AB47+10</f>
        <v>23</v>
      </c>
      <c r="AC46" s="30">
        <f t="shared" ref="AC46" si="15">AC47+10</f>
        <v>24</v>
      </c>
      <c r="AD46" s="30">
        <f t="shared" ref="AD46" si="16">AD47+10</f>
        <v>25</v>
      </c>
      <c r="AE46" s="30">
        <f t="shared" ref="AE46" si="17">AE47+10</f>
        <v>26</v>
      </c>
      <c r="AF46" s="30">
        <f t="shared" ref="AF46" si="18">AF47+10</f>
        <v>27</v>
      </c>
      <c r="AG46" s="30">
        <f t="shared" ref="AG46" si="19">AG47+10</f>
        <v>28</v>
      </c>
      <c r="AH46" s="31">
        <f t="shared" ref="AH46" si="20">AH47+10</f>
        <v>29</v>
      </c>
      <c r="AI46" s="22"/>
    </row>
    <row r="47" spans="23:35" ht="5.5" customHeight="1" thickTop="1" x14ac:dyDescent="0.35">
      <c r="W47" s="21"/>
      <c r="Y47" s="32">
        <f t="shared" si="10"/>
        <v>10</v>
      </c>
      <c r="Z47" s="33">
        <f>Y47+1</f>
        <v>11</v>
      </c>
      <c r="AA47" s="33">
        <f t="shared" ref="AA47:AF47" si="21">Z47+1</f>
        <v>12</v>
      </c>
      <c r="AB47" s="33">
        <f t="shared" si="21"/>
        <v>13</v>
      </c>
      <c r="AC47" s="33">
        <f t="shared" si="21"/>
        <v>14</v>
      </c>
      <c r="AD47" s="33">
        <f t="shared" si="21"/>
        <v>15</v>
      </c>
      <c r="AE47" s="33">
        <f t="shared" si="21"/>
        <v>16</v>
      </c>
      <c r="AF47" s="33">
        <f t="shared" si="21"/>
        <v>17</v>
      </c>
      <c r="AG47" s="33">
        <f>AF47+1</f>
        <v>18</v>
      </c>
      <c r="AH47" s="34">
        <f t="shared" ref="AH47" si="22">AG47+1</f>
        <v>19</v>
      </c>
      <c r="AI47" s="22"/>
    </row>
    <row r="48" spans="23:35" x14ac:dyDescent="0.35">
      <c r="W48" s="23"/>
      <c r="X48" s="24"/>
      <c r="Y48" s="24"/>
      <c r="Z48" s="24"/>
      <c r="AA48" s="24"/>
      <c r="AB48" s="24"/>
      <c r="AC48" s="24"/>
      <c r="AD48" s="24"/>
      <c r="AE48" s="24"/>
      <c r="AF48" s="24"/>
      <c r="AG48" s="24"/>
      <c r="AH48" s="24"/>
      <c r="AI48" s="25"/>
    </row>
    <row r="68" spans="1:9" x14ac:dyDescent="0.35">
      <c r="C68" s="11"/>
      <c r="D68" s="2"/>
      <c r="E68" s="8"/>
    </row>
    <row r="69" spans="1:9" x14ac:dyDescent="0.35">
      <c r="C69" s="11"/>
      <c r="D69" s="2"/>
      <c r="E69" s="8"/>
    </row>
    <row r="72" spans="1:9" x14ac:dyDescent="0.35">
      <c r="D72" t="s">
        <v>141</v>
      </c>
    </row>
    <row r="74" spans="1:9" x14ac:dyDescent="0.35">
      <c r="A74" t="s">
        <v>2</v>
      </c>
      <c r="B74" t="s">
        <v>3</v>
      </c>
      <c r="C74" t="s">
        <v>4</v>
      </c>
      <c r="D74" t="s">
        <v>5</v>
      </c>
      <c r="E74" t="s">
        <v>9</v>
      </c>
      <c r="F74" t="s">
        <v>10</v>
      </c>
      <c r="G74" t="s">
        <v>11</v>
      </c>
      <c r="H74" t="s">
        <v>12</v>
      </c>
      <c r="I74"/>
    </row>
    <row r="75" spans="1:9" x14ac:dyDescent="0.35">
      <c r="A75" s="11">
        <v>547475.30000000005</v>
      </c>
      <c r="B75" s="11">
        <v>315189.84999999998</v>
      </c>
      <c r="C75" s="11">
        <v>232285.45000000007</v>
      </c>
      <c r="D75" s="4">
        <v>0.42428480335094576</v>
      </c>
      <c r="E75" s="5">
        <v>100</v>
      </c>
      <c r="F75" s="5">
        <v>61126</v>
      </c>
      <c r="G75" s="5">
        <v>4913</v>
      </c>
      <c r="H75" s="11">
        <v>646080</v>
      </c>
      <c r="I75"/>
    </row>
    <row r="79" spans="1:9" x14ac:dyDescent="0.35">
      <c r="C79" s="12" t="s">
        <v>40</v>
      </c>
      <c r="D79" s="12" t="s">
        <v>39</v>
      </c>
      <c r="E79" s="12" t="s">
        <v>41</v>
      </c>
      <c r="F79" s="8">
        <f>-(D80-C80)/D80</f>
        <v>-0.15261995418524016</v>
      </c>
    </row>
    <row r="80" spans="1:9" ht="28" x14ac:dyDescent="0.8">
      <c r="C80" s="11">
        <f>GETPIVOTDATA("[Measures].[Total revenue]",$A$74)</f>
        <v>547475.30000000005</v>
      </c>
      <c r="D80" s="11">
        <f>GETPIVOTDATA("[Measures].[Total target]",$A$74)</f>
        <v>646080</v>
      </c>
      <c r="E80" s="42" t="str">
        <f>IF((D80-C80)/D80&gt;0,"▼","▲")&amp;TEXT(F79,"+0.0%;-0.0%")</f>
        <v>▼-15.3%</v>
      </c>
    </row>
  </sheetData>
  <mergeCells count="1">
    <mergeCell ref="J1:Q2"/>
  </mergeCells>
  <phoneticPr fontId="6" type="noConversion"/>
  <conditionalFormatting sqref="E80">
    <cfRule type="expression" dxfId="8" priority="5">
      <formula>$E$80&lt;0</formula>
    </cfRule>
    <cfRule type="expression" dxfId="9" priority="6">
      <formula>$E$80&gt;0</formula>
    </cfRule>
    <cfRule type="expression" dxfId="10" priority="2">
      <formula>$E$80&gt;0</formula>
    </cfRule>
    <cfRule type="expression" dxfId="7" priority="1">
      <formula>$E$80&lt;0</formula>
    </cfRule>
  </conditionalFormatting>
  <conditionalFormatting sqref="Y25:AH34">
    <cfRule type="cellIs" dxfId="14" priority="8" operator="lessThanOrEqual">
      <formula>$W$4*100</formula>
    </cfRule>
  </conditionalFormatting>
  <conditionalFormatting sqref="Y38:AH47">
    <cfRule type="cellIs" dxfId="13" priority="7" operator="lessThanOrEqual">
      <formula>$W$5*100</formula>
    </cfRule>
  </conditionalFormatting>
  <conditionalFormatting sqref="F79">
    <cfRule type="expression" dxfId="12" priority="4">
      <formula>$F$79&gt;0</formula>
    </cfRule>
    <cfRule type="expression" dxfId="11" priority="3">
      <formula>$F$79&lt;0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AA1C96BA-DFF3-4924-8FA5-972B801F5779}">
  <ds:schemaRefs/>
</ds:datastoreItem>
</file>

<file path=customXml/itemProps2.xml><?xml version="1.0" encoding="utf-8"?>
<ds:datastoreItem xmlns:ds="http://schemas.openxmlformats.org/officeDocument/2006/customXml" ds:itemID="{2CEE4AEE-D8DB-4247-B7C4-FACC085F73A4}">
  <ds:schemaRefs/>
</ds:datastoreItem>
</file>

<file path=customXml/itemProps3.xml><?xml version="1.0" encoding="utf-8"?>
<ds:datastoreItem xmlns:ds="http://schemas.openxmlformats.org/officeDocument/2006/customXml" ds:itemID="{612B833C-0DFE-4EDE-ABAF-EF396200E790}">
  <ds:schemaRefs/>
</ds:datastoreItem>
</file>

<file path=customXml/itemProps4.xml><?xml version="1.0" encoding="utf-8"?>
<ds:datastoreItem xmlns:ds="http://schemas.openxmlformats.org/officeDocument/2006/customXml" ds:itemID="{4207C0AA-D2BC-4C9E-853A-8766A15BA35F}">
  <ds:schemaRefs/>
</ds:datastoreItem>
</file>

<file path=customXml/itemProps5.xml><?xml version="1.0" encoding="utf-8"?>
<ds:datastoreItem xmlns:ds="http://schemas.openxmlformats.org/officeDocument/2006/customXml" ds:itemID="{F73C82BC-4B27-47D9-B762-5CC06D1C69E1}">
  <ds:schemaRefs/>
</ds:datastoreItem>
</file>

<file path=customXml/itemProps6.xml><?xml version="1.0" encoding="utf-8"?>
<ds:datastoreItem xmlns:ds="http://schemas.openxmlformats.org/officeDocument/2006/customXml" ds:itemID="{B58D14D2-C70C-4BFC-A4C9-00132A1E79BC}">
  <ds:schemaRefs/>
</ds:datastoreItem>
</file>

<file path=customXml/itemProps7.xml><?xml version="1.0" encoding="utf-8"?>
<ds:datastoreItem xmlns:ds="http://schemas.openxmlformats.org/officeDocument/2006/customXml" ds:itemID="{687D6952-10C5-429F-B895-AC26D9A6C2F9}">
  <ds:schemaRefs/>
</ds:datastoreItem>
</file>

<file path=customXml/itemProps8.xml><?xml version="1.0" encoding="utf-8"?>
<ds:datastoreItem xmlns:ds="http://schemas.openxmlformats.org/officeDocument/2006/customXml" ds:itemID="{7C4A750F-E4FC-453B-8284-C325C1B96E07}">
  <ds:schemaRefs/>
</ds:datastoreItem>
</file>

<file path=customXml/itemProps9.xml><?xml version="1.0" encoding="utf-8"?>
<ds:datastoreItem xmlns:ds="http://schemas.openxmlformats.org/officeDocument/2006/customXml" ds:itemID="{7FE92F90-5F72-4C3B-8FFC-90305A831DF7}">
  <ds:schemaRefs/>
</ds:datastoreItem>
</file>

<file path=customXml/itemProps10.xml><?xml version="1.0" encoding="utf-8"?>
<ds:datastoreItem xmlns:ds="http://schemas.openxmlformats.org/officeDocument/2006/customXml" ds:itemID="{A6770C41-F7E0-4A54-9208-40BA33FFB495}">
  <ds:schemaRefs/>
</ds:datastoreItem>
</file>

<file path=customXml/itemProps11.xml><?xml version="1.0" encoding="utf-8"?>
<ds:datastoreItem xmlns:ds="http://schemas.openxmlformats.org/officeDocument/2006/customXml" ds:itemID="{ECF0CAAF-A054-45D6-9B62-3E94CDB97DF6}">
  <ds:schemaRefs/>
</ds:datastoreItem>
</file>

<file path=customXml/itemProps12.xml><?xml version="1.0" encoding="utf-8"?>
<ds:datastoreItem xmlns:ds="http://schemas.openxmlformats.org/officeDocument/2006/customXml" ds:itemID="{D6A6B3C4-C6D6-4B46-8A96-B0F36B47F980}">
  <ds:schemaRefs/>
</ds:datastoreItem>
</file>

<file path=customXml/itemProps13.xml><?xml version="1.0" encoding="utf-8"?>
<ds:datastoreItem xmlns:ds="http://schemas.openxmlformats.org/officeDocument/2006/customXml" ds:itemID="{54F46FEB-F58D-42F5-99C4-E34459EF8121}">
  <ds:schemaRefs/>
</ds:datastoreItem>
</file>

<file path=customXml/itemProps14.xml><?xml version="1.0" encoding="utf-8"?>
<ds:datastoreItem xmlns:ds="http://schemas.openxmlformats.org/officeDocument/2006/customXml" ds:itemID="{FC12232D-87D8-4A8F-8C71-CFA19C880EEC}">
  <ds:schemaRefs>
    <ds:schemaRef ds:uri="http://schemas.microsoft.com/DataMashup"/>
  </ds:schemaRefs>
</ds:datastoreItem>
</file>

<file path=customXml/itemProps15.xml><?xml version="1.0" encoding="utf-8"?>
<ds:datastoreItem xmlns:ds="http://schemas.openxmlformats.org/officeDocument/2006/customXml" ds:itemID="{75E2FD3A-D7C9-495F-AFED-9C4F9976B8CB}">
  <ds:schemaRefs/>
</ds:datastoreItem>
</file>

<file path=customXml/itemProps16.xml><?xml version="1.0" encoding="utf-8"?>
<ds:datastoreItem xmlns:ds="http://schemas.openxmlformats.org/officeDocument/2006/customXml" ds:itemID="{64A6BBEC-B7DF-476B-9819-807F44A9BA90}">
  <ds:schemaRefs/>
</ds:datastoreItem>
</file>

<file path=customXml/itemProps17.xml><?xml version="1.0" encoding="utf-8"?>
<ds:datastoreItem xmlns:ds="http://schemas.openxmlformats.org/officeDocument/2006/customXml" ds:itemID="{09F7D967-5339-4A7E-A145-5AFAFF850904}">
  <ds:schemaRefs/>
</ds:datastoreItem>
</file>

<file path=customXml/itemProps18.xml><?xml version="1.0" encoding="utf-8"?>
<ds:datastoreItem xmlns:ds="http://schemas.openxmlformats.org/officeDocument/2006/customXml" ds:itemID="{F0ED8AB3-8DF4-4870-9D3E-27E1A9AB80D5}">
  <ds:schemaRefs/>
</ds:datastoreItem>
</file>

<file path=customXml/itemProps19.xml><?xml version="1.0" encoding="utf-8"?>
<ds:datastoreItem xmlns:ds="http://schemas.openxmlformats.org/officeDocument/2006/customXml" ds:itemID="{8CDA0BAF-5A2D-4A5D-83EA-B02163D0D38A}">
  <ds:schemaRefs/>
</ds:datastoreItem>
</file>

<file path=customXml/itemProps20.xml><?xml version="1.0" encoding="utf-8"?>
<ds:datastoreItem xmlns:ds="http://schemas.openxmlformats.org/officeDocument/2006/customXml" ds:itemID="{E760DE95-BD41-4C43-AB91-2B0694082090}">
  <ds:schemaRefs/>
</ds:datastoreItem>
</file>

<file path=customXml/itemProps21.xml><?xml version="1.0" encoding="utf-8"?>
<ds:datastoreItem xmlns:ds="http://schemas.openxmlformats.org/officeDocument/2006/customXml" ds:itemID="{D8FA1B22-E8F6-4AE1-BE27-A87E5E4FD27C}">
  <ds:schemaRefs/>
</ds:datastoreItem>
</file>

<file path=customXml/itemProps22.xml><?xml version="1.0" encoding="utf-8"?>
<ds:datastoreItem xmlns:ds="http://schemas.openxmlformats.org/officeDocument/2006/customXml" ds:itemID="{45B22620-7C42-4594-813F-FCE98CA6261D}">
  <ds:schemaRefs/>
</ds:datastoreItem>
</file>

<file path=customXml/itemProps23.xml><?xml version="1.0" encoding="utf-8"?>
<ds:datastoreItem xmlns:ds="http://schemas.openxmlformats.org/officeDocument/2006/customXml" ds:itemID="{7F15C8E8-7132-4FF8-BF8F-1AD615328BBB}">
  <ds:schemaRefs/>
</ds:datastoreItem>
</file>

<file path=customXml/itemProps24.xml><?xml version="1.0" encoding="utf-8"?>
<ds:datastoreItem xmlns:ds="http://schemas.openxmlformats.org/officeDocument/2006/customXml" ds:itemID="{CED8CEBE-AA24-49FE-935F-F36236AB38C3}">
  <ds:schemaRefs/>
</ds:datastoreItem>
</file>

<file path=customXml/itemProps25.xml><?xml version="1.0" encoding="utf-8"?>
<ds:datastoreItem xmlns:ds="http://schemas.openxmlformats.org/officeDocument/2006/customXml" ds:itemID="{AD1439C1-2D63-4973-88AD-1420CDBF07D3}">
  <ds:schemaRefs/>
</ds:datastoreItem>
</file>

<file path=customXml/itemProps26.xml><?xml version="1.0" encoding="utf-8"?>
<ds:datastoreItem xmlns:ds="http://schemas.openxmlformats.org/officeDocument/2006/customXml" ds:itemID="{CFB682D5-1E4D-41FA-BB1A-28AAEFF6D70C}">
  <ds:schemaRefs/>
</ds:datastoreItem>
</file>

<file path=customXml/itemProps27.xml><?xml version="1.0" encoding="utf-8"?>
<ds:datastoreItem xmlns:ds="http://schemas.openxmlformats.org/officeDocument/2006/customXml" ds:itemID="{0EEDAD30-5F40-414A-B97D-9025A667720E}">
  <ds:schemaRefs/>
</ds:datastoreItem>
</file>

<file path=customXml/itemProps28.xml><?xml version="1.0" encoding="utf-8"?>
<ds:datastoreItem xmlns:ds="http://schemas.openxmlformats.org/officeDocument/2006/customXml" ds:itemID="{96E24317-7A38-41A9-A6CF-3CA6F347DE62}">
  <ds:schemaRefs/>
</ds:datastoreItem>
</file>

<file path=customXml/itemProps29.xml><?xml version="1.0" encoding="utf-8"?>
<ds:datastoreItem xmlns:ds="http://schemas.openxmlformats.org/officeDocument/2006/customXml" ds:itemID="{353C2035-B490-42E2-9312-127A01157B90}">
  <ds:schemaRefs/>
</ds:datastoreItem>
</file>

<file path=customXml/itemProps30.xml><?xml version="1.0" encoding="utf-8"?>
<ds:datastoreItem xmlns:ds="http://schemas.openxmlformats.org/officeDocument/2006/customXml" ds:itemID="{C68CEEF3-2F9C-4ECC-A1E4-6EAD448B89D1}">
  <ds:schemaRefs/>
</ds:datastoreItem>
</file>

<file path=customXml/itemProps31.xml><?xml version="1.0" encoding="utf-8"?>
<ds:datastoreItem xmlns:ds="http://schemas.openxmlformats.org/officeDocument/2006/customXml" ds:itemID="{ADA9D527-0BA7-4B50-9178-DE041FFD5244}">
  <ds:schemaRefs/>
</ds:datastoreItem>
</file>

<file path=customXml/itemProps32.xml><?xml version="1.0" encoding="utf-8"?>
<ds:datastoreItem xmlns:ds="http://schemas.openxmlformats.org/officeDocument/2006/customXml" ds:itemID="{77A172CC-E7AE-47A9-9D2E-720C9930C517}">
  <ds:schemaRefs/>
</ds:datastoreItem>
</file>

<file path=customXml/itemProps33.xml><?xml version="1.0" encoding="utf-8"?>
<ds:datastoreItem xmlns:ds="http://schemas.openxmlformats.org/officeDocument/2006/customXml" ds:itemID="{1D3E1BC4-D989-4E55-AA1C-85087A721209}">
  <ds:schemaRefs/>
</ds:datastoreItem>
</file>

<file path=customXml/itemProps34.xml><?xml version="1.0" encoding="utf-8"?>
<ds:datastoreItem xmlns:ds="http://schemas.openxmlformats.org/officeDocument/2006/customXml" ds:itemID="{241165EE-E479-4C0D-9008-683BD8CF3290}">
  <ds:schemaRefs/>
</ds:datastoreItem>
</file>

<file path=customXml/itemProps35.xml><?xml version="1.0" encoding="utf-8"?>
<ds:datastoreItem xmlns:ds="http://schemas.openxmlformats.org/officeDocument/2006/customXml" ds:itemID="{4C79123C-5B7E-4CDA-B69A-356627677FFF}">
  <ds:schemaRefs/>
</ds:datastoreItem>
</file>

<file path=customXml/itemProps36.xml><?xml version="1.0" encoding="utf-8"?>
<ds:datastoreItem xmlns:ds="http://schemas.openxmlformats.org/officeDocument/2006/customXml" ds:itemID="{E0E5FB01-32EC-4DD5-9BDE-A5E3D98509A3}">
  <ds:schemaRefs/>
</ds:datastoreItem>
</file>

<file path=customXml/itemProps37.xml><?xml version="1.0" encoding="utf-8"?>
<ds:datastoreItem xmlns:ds="http://schemas.openxmlformats.org/officeDocument/2006/customXml" ds:itemID="{B902A859-A7A8-414E-B4EA-17AB43A6046E}">
  <ds:schemaRefs/>
</ds:datastoreItem>
</file>

<file path=customXml/itemProps38.xml><?xml version="1.0" encoding="utf-8"?>
<ds:datastoreItem xmlns:ds="http://schemas.openxmlformats.org/officeDocument/2006/customXml" ds:itemID="{F5144E29-1BE8-4585-BD8C-7BDD06614803}">
  <ds:schemaRefs/>
</ds:datastoreItem>
</file>

<file path=customXml/itemProps39.xml><?xml version="1.0" encoding="utf-8"?>
<ds:datastoreItem xmlns:ds="http://schemas.openxmlformats.org/officeDocument/2006/customXml" ds:itemID="{C76D711D-533A-401A-8F88-A859B205CB7C}">
  <ds:schemaRefs/>
</ds:datastoreItem>
</file>

<file path=customXml/itemProps40.xml><?xml version="1.0" encoding="utf-8"?>
<ds:datastoreItem xmlns:ds="http://schemas.openxmlformats.org/officeDocument/2006/customXml" ds:itemID="{B6F1A037-7840-4017-AC56-1C278F912690}">
  <ds:schemaRefs/>
</ds:datastoreItem>
</file>

<file path=customXml/itemProps41.xml><?xml version="1.0" encoding="utf-8"?>
<ds:datastoreItem xmlns:ds="http://schemas.openxmlformats.org/officeDocument/2006/customXml" ds:itemID="{F47A3E9C-47B1-44FB-B2E7-0BDF1384290E}">
  <ds:schemaRefs/>
</ds:datastoreItem>
</file>

<file path=customXml/itemProps42.xml><?xml version="1.0" encoding="utf-8"?>
<ds:datastoreItem xmlns:ds="http://schemas.openxmlformats.org/officeDocument/2006/customXml" ds:itemID="{85B45434-9D9F-4689-BCF2-E26C44059B4D}">
  <ds:schemaRefs/>
</ds:datastoreItem>
</file>

<file path=customXml/itemProps43.xml><?xml version="1.0" encoding="utf-8"?>
<ds:datastoreItem xmlns:ds="http://schemas.openxmlformats.org/officeDocument/2006/customXml" ds:itemID="{8BBB987C-2B02-4B11-AA34-5288F930312C}">
  <ds:schemaRefs/>
</ds:datastoreItem>
</file>

<file path=customXml/itemProps44.xml><?xml version="1.0" encoding="utf-8"?>
<ds:datastoreItem xmlns:ds="http://schemas.openxmlformats.org/officeDocument/2006/customXml" ds:itemID="{9F7BE172-F94A-4D56-8936-05215503A957}">
  <ds:schemaRefs/>
</ds:datastoreItem>
</file>

<file path=customXml/itemProps45.xml><?xml version="1.0" encoding="utf-8"?>
<ds:datastoreItem xmlns:ds="http://schemas.openxmlformats.org/officeDocument/2006/customXml" ds:itemID="{9F2EC994-D3CD-4619-B4E2-A95B51BE71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PROFIT VIEW</vt:lpstr>
      <vt:lpstr>STORE</vt:lpstr>
      <vt:lpstr>storeanalysis</vt:lpstr>
      <vt:lpstr>TIMEFRAM</vt:lpstr>
      <vt:lpstr>profitanalysis</vt:lpstr>
      <vt:lpstr>time analysis</vt:lpstr>
      <vt:lpstr>LARGE_1</vt:lpstr>
      <vt:lpstr>LARGE_2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AKSHAY KUMAR</cp:lastModifiedBy>
  <dcterms:created xsi:type="dcterms:W3CDTF">2025-05-27T05:19:04Z</dcterms:created>
  <dcterms:modified xsi:type="dcterms:W3CDTF">2025-09-06T14:12:54Z</dcterms:modified>
</cp:coreProperties>
</file>