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2.xml" ContentType="application/vnd.openxmlformats-officedocument.spreadsheetml.comment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omments3.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updateLinks="never" codeName="ThisWorkbook" hidePivotFieldList="1" autoCompressPictures="0" defaultThemeVersion="124226"/>
  <mc:AlternateContent xmlns:mc="http://schemas.openxmlformats.org/markup-compatibility/2006">
    <mc:Choice Requires="x15">
      <x15ac:absPath xmlns:x15ac="http://schemas.microsoft.com/office/spreadsheetml/2010/11/ac" url="https://energyae2.sharepoint.com/Files/Internal Projects/Programming/Calculators/Commercial Calculator/"/>
    </mc:Choice>
  </mc:AlternateContent>
  <xr:revisionPtr revIDLastSave="7" documentId="13_ncr:1_{D7551879-A4C5-452B-93E2-BF9A7EEBB258}" xr6:coauthVersionLast="47" xr6:coauthVersionMax="47" xr10:uidLastSave="{EFEDD82B-50A4-4856-9076-FACCF923466F}"/>
  <bookViews>
    <workbookView xWindow="-90" yWindow="-90" windowWidth="19380" windowHeight="11460" tabRatio="877" firstSheet="1" activeTab="2" xr2:uid="{00000000-000D-0000-FFFF-FFFF00000000}"/>
  </bookViews>
  <sheets>
    <sheet name="About" sheetId="189" state="hidden" r:id="rId1"/>
    <sheet name="HP Residential Calculator" sheetId="191" r:id="rId2"/>
    <sheet name="HP Commercial Calculator" sheetId="192" r:id="rId3"/>
    <sheet name="Lighting" sheetId="188" state="hidden" r:id="rId4"/>
    <sheet name="Lighting Product Summary" sheetId="181" state="hidden" r:id="rId5"/>
    <sheet name="AC Calculator" sheetId="196" state="hidden" r:id="rId6"/>
    <sheet name="Commercial" sheetId="176" state="hidden" r:id="rId7"/>
    <sheet name="VEU-1D" sheetId="179" state="hidden" r:id="rId8"/>
    <sheet name="VEU-3C" sheetId="153" state="hidden" r:id="rId9"/>
    <sheet name="ESS NEW" sheetId="194" state="hidden" r:id="rId10"/>
    <sheet name="ESS OLD" sheetId="120" state="hidden" r:id="rId11"/>
    <sheet name="SRES" sheetId="190" state="hidden" r:id="rId12"/>
    <sheet name="E1" sheetId="180" state="hidden" r:id="rId13"/>
    <sheet name="E3" sheetId="182" state="hidden" r:id="rId14"/>
    <sheet name="E5" sheetId="184" state="hidden" r:id="rId15"/>
    <sheet name="E11" sheetId="187" state="hidden" r:id="rId16"/>
    <sheet name="VEU-6" sheetId="195" state="hidden" r:id="rId17"/>
    <sheet name="Resources" sheetId="158" state="hidden" r:id="rId18"/>
    <sheet name="Factors" sheetId="119" r:id="rId19"/>
  </sheets>
  <externalReferences>
    <externalReference r:id="rId20"/>
  </externalReferences>
  <definedNames>
    <definedName name="_xlnm._FilterDatabase" localSheetId="6" hidden="1">Commercial!$BA$7:$BC$7</definedName>
    <definedName name="_xlnm._FilterDatabase" localSheetId="12" hidden="1">'E1'!$B$5:$D$11</definedName>
    <definedName name="_xlnm._FilterDatabase" localSheetId="15" hidden="1">'E11'!$B$5:$D$7</definedName>
    <definedName name="_xlnm._FilterDatabase" localSheetId="13" hidden="1">'E3'!$B$5:$D$6</definedName>
    <definedName name="_xlnm._FilterDatabase" localSheetId="14" hidden="1">'E5'!$B$5:$D$8</definedName>
    <definedName name="_xlnm._FilterDatabase" localSheetId="9" hidden="1">'ESS NEW'!$I$5:$AD$5</definedName>
    <definedName name="_xlnm._FilterDatabase" localSheetId="10" hidden="1">'ESS OLD'!$I$5:$X$5</definedName>
    <definedName name="_xlnm._FilterDatabase" localSheetId="18" hidden="1">Factors!$Y$2:$AE$4756</definedName>
    <definedName name="_xlnm._FilterDatabase" localSheetId="4" hidden="1">'Lighting Product Summary'!$A$1:$C$13</definedName>
    <definedName name="_xlnm._FilterDatabase" localSheetId="11" hidden="1">SRES!$B$4:$H$4</definedName>
    <definedName name="_xlnm._FilterDatabase" localSheetId="7" hidden="1">'VEU-1D'!$B$5:$R$35</definedName>
    <definedName name="_xlnm._FilterDatabase" localSheetId="8" hidden="1">'VEU-3C'!$B$5:$R$737</definedName>
    <definedName name="a_D17">Factors!$N$4</definedName>
    <definedName name="a_D19">Factors!$N$6</definedName>
    <definedName name="AC_Scenario">'AC Calculator'!$D$29</definedName>
    <definedName name="ACCompressorModels">'VEU-6'!$A$6:$A$11</definedName>
    <definedName name="ACInstallationDate">'AC Calculator'!$D$9</definedName>
    <definedName name="b_D17">Factors!$O$4</definedName>
    <definedName name="BPAF">Factors!$S$32</definedName>
    <definedName name="BTLcool_Business_Metro_Cold">Factors!$BG$62</definedName>
    <definedName name="BTLCool_Business_Metro_Mild">Factors!$BG$61</definedName>
    <definedName name="BTLcool_Business_Regional_Cold">Factors!$BG$64</definedName>
    <definedName name="BTLcool_Business_Regional_Hot">Factors!$BG$65</definedName>
    <definedName name="BTLcool_Business_Regional_Mild">Factors!$BG$63</definedName>
    <definedName name="BTLcool_Metro_Cold">Factors!$BE$62</definedName>
    <definedName name="BTLcool_Metro_Mild">Factors!$BE$61</definedName>
    <definedName name="BTLcool_Regional_Cold">Factors!$BE$64</definedName>
    <definedName name="BTLcool_Regional_Hot">Factors!$BE$65</definedName>
    <definedName name="BTLcool_Regional_Mild">Factors!$BE$63</definedName>
    <definedName name="BTLHeat_Business_Metro_Cold">Factors!$BF$62</definedName>
    <definedName name="BTLHeat_Business_Metro_Mild">Factors!$BF$61</definedName>
    <definedName name="BTLHeat_Business_Regional_Cold">Factors!$BF$64</definedName>
    <definedName name="BTLHeat_Business_Regional_Hot">Factors!$BF$65</definedName>
    <definedName name="BTLHeat_Business_Regional_Mild">Factors!$BF$63</definedName>
    <definedName name="BTLHeat_Residential_Metro_Cold">Factors!$BD$62</definedName>
    <definedName name="BTLHeat_Residential_Metro_Mild">Factors!$BD$61</definedName>
    <definedName name="BTLHeat_Residential_Regional_Cold">Factors!$BD$64</definedName>
    <definedName name="BTLHeat_Residential_Regional_Hot">Factors!$BD$65</definedName>
    <definedName name="BTLHeat_Residential_Regional_Mild">Factors!$BD$63</definedName>
    <definedName name="Climate_Zone" localSheetId="2">'HP Commercial Calculator'!$D$9</definedName>
    <definedName name="Climate_Zone" localSheetId="3">Lighting!$F$4</definedName>
    <definedName name="Commercial_certificates">Commercial!$AP$8:$BC$26</definedName>
    <definedName name="Commercial_HPs">SRES!$C$28:$C$46</definedName>
    <definedName name="Commercial_Product" localSheetId="2">'HP Commercial Calculator'!$D$15</definedName>
    <definedName name="Commercial_STCs">SRES!$D$28:$H$46</definedName>
    <definedName name="Commercial_Year" localSheetId="2">'HP Commercial Calculator'!$D$12</definedName>
    <definedName name="CommercialHP_Installation_Date">'HP Commercial Calculator'!$D$12</definedName>
    <definedName name="CommercialProductTankVolume">'HP Commercial Calculator'!$D$16</definedName>
    <definedName name="Compressor_Cooling_Capacity">'AC Calculator'!$D$17</definedName>
    <definedName name="CompressorHeatingCapacity">'AC Calculator'!$D$18</definedName>
    <definedName name="Decommissioned_Product_Residential" localSheetId="1">'HP Residential Calculator'!$I$40:$I$46</definedName>
    <definedName name="Decommissioned_Residential_Product" localSheetId="1">'HP Residential Calculator'!$D$16</definedName>
    <definedName name="Decommissioned_Residential_Product">'HP Commercial Calculator'!$D$15</definedName>
    <definedName name="E1_Certificates">'E1'!$N$6:$O$11</definedName>
    <definedName name="E1_models">'E1'!$C$6:$C$11</definedName>
    <definedName name="E11_Certificates">'E11'!$M$6:$N$7</definedName>
    <definedName name="E11_models">'E11'!$C$6:$C$7</definedName>
    <definedName name="E3_certificates">'E3'!$O$6:$P$6</definedName>
    <definedName name="E3_models">'E3'!$C$6</definedName>
    <definedName name="E5_Certificates">'E5'!$N$6:$O$8</definedName>
    <definedName name="E5_models">'E5'!$C$6:$C$8</definedName>
    <definedName name="ECCF">Factors!$S$6</definedName>
    <definedName name="EEF">Factors!$S$19</definedName>
    <definedName name="EEF_AC">'AC Calculator'!$D$10</definedName>
    <definedName name="EEF_commercial">Factors!$T$19</definedName>
    <definedName name="EEF_Lighting">Factors!$T$20</definedName>
    <definedName name="EEF_Year">Factors!$S$18</definedName>
    <definedName name="EEFm">Factors!$S$20</definedName>
    <definedName name="EEFm_AC">'AC Calculator'!$D$11</definedName>
    <definedName name="EEFm_Commercial">Factors!$T$20</definedName>
    <definedName name="EFelec">Factors!$S$29</definedName>
    <definedName name="EFgas">Factors!$S$26</definedName>
    <definedName name="ESCprice">About!$C$27</definedName>
    <definedName name="ESS_Climate_Zone_Residential" localSheetId="1">'HP Residential Calculator'!$D$9</definedName>
    <definedName name="Existing_Capacity" localSheetId="2">'HP Commercial Calculator'!$D$18</definedName>
    <definedName name="Existing_Lamp_Parameter" localSheetId="3">Lighting!$D$11</definedName>
    <definedName name="familyRng" localSheetId="7">'VEU-1D'!$B$3</definedName>
    <definedName name="familyRng" localSheetId="8">'VEU-3C'!$B$3</definedName>
    <definedName name="FF">Factors!$S$33</definedName>
    <definedName name="GCCF">Factors!$S$7</definedName>
    <definedName name="GEF">Factors!$S$45</definedName>
    <definedName name="GEMS_2019_Climate_Zone_hspf">Factors!$BD$4:$BE$4</definedName>
    <definedName name="GEMS_2019_Climate_Zone_TCSPF">Factors!$BI$4:$BJ$4</definedName>
    <definedName name="HP_residential_installation_date">'HP Residential Calculator'!$D$12</definedName>
    <definedName name="IndoorACUnit">'AC Calculator'!$D$21</definedName>
    <definedName name="IndoorUnitModels">'VEU-6'!$O$6:$O$11</definedName>
    <definedName name="LF">Factors!$BH$56</definedName>
    <definedName name="Life_ESS">Factors!$W$5</definedName>
    <definedName name="Life_PRC">Factors!$S$29</definedName>
    <definedName name="Lifetime_COM">Factors!$S$27</definedName>
    <definedName name="Lifetime_D17">Factors!$P$4</definedName>
    <definedName name="Lighting_Activity" localSheetId="3">Lighting!$D$7</definedName>
    <definedName name="Lighting_Activity">Lighting!$D$7</definedName>
    <definedName name="Lighting_Region">Lighting!$E$4</definedName>
    <definedName name="Max_LCP_E3">Factors!$AL$14:$AO$14</definedName>
    <definedName name="Max_LCP_E5">Factors!$AM$22:$AY$22</definedName>
    <definedName name="max_NLCP">Factors!$AK$3:$AM$3</definedName>
    <definedName name="MetroESS">Factors!$W$3</definedName>
    <definedName name="MetroVEU">Factors!$S$43</definedName>
    <definedName name="Min_E3_LCP">Factors!$AL$13:$AO$13</definedName>
    <definedName name="Min_LCP_E5">Factors!$AM$21:$AY$21</definedName>
    <definedName name="minimum_NLCP">Factors!$AK$2:$AM$2</definedName>
    <definedName name="Model">'AC Calculator'!$B$1</definedName>
    <definedName name="Model_List" localSheetId="11">SRES!$C$5:$C$45</definedName>
    <definedName name="Models" localSheetId="5">'VEU-6'!$A$6:$A$11</definedName>
    <definedName name="Models">'VEU-6'!$A$6:$A$11</definedName>
    <definedName name="NewEff">Factors!$W$7</definedName>
    <definedName name="NSW_Postcode">Factors!$Y$37:$Y$893</definedName>
    <definedName name="Number_of_Existing_Lamps">Lighting!$D$13</definedName>
    <definedName name="Number_of_Replacement_Lamps">Lighting!$D$18</definedName>
    <definedName name="NumberofIndoorACUnits">'AC Calculator'!$D$25</definedName>
    <definedName name="PAF">Factors!$S$31</definedName>
    <definedName name="Postcode_Headings">Factors!$Z$2:$AE$2</definedName>
    <definedName name="Postcodes">Factors!$Y$3:$Y$4756</definedName>
    <definedName name="PRCprice">About!$C$28</definedName>
    <definedName name="Region" localSheetId="2">'HP Commercial Calculator'!$D$6</definedName>
    <definedName name="Region" localSheetId="1">'HP Residential Calculator'!$D$6</definedName>
    <definedName name="Region" localSheetId="3">Lighting!$E$4</definedName>
    <definedName name="RegionalESS">Factors!$W$4</definedName>
    <definedName name="RegionalPostCodes">Factors!$AH$3:$AH$393</definedName>
    <definedName name="RegionalVEU">Factors!$S$44</definedName>
    <definedName name="RepEff">Factors!$W$6</definedName>
    <definedName name="Replacement_Lamp_Equipment_Class">Lighting!$D$10</definedName>
    <definedName name="Replacement_Lamp_Model" localSheetId="3">Lighting!$D$16</definedName>
    <definedName name="Residential_HPs">SRES!$C$5:$C$37</definedName>
    <definedName name="Residential_Product" localSheetId="1">'HP Residential Calculator'!$D$15</definedName>
    <definedName name="Residential_STCs">SRES!$D$5:$H$37</definedName>
    <definedName name="RFE">Factors!$S$46</definedName>
    <definedName name="rootPath" localSheetId="7">'VEU-1D'!$B$4</definedName>
    <definedName name="rootPath" localSheetId="8">'VEU-3C'!$B$4</definedName>
    <definedName name="Scenario">Factors!$BB$6:$BB$16</definedName>
    <definedName name="SEFgas">Factors!$S$26</definedName>
    <definedName name="SPDRD">Factors!$S$30</definedName>
    <definedName name="SRES_10yr" localSheetId="11">SRES!$C$5:$H$45</definedName>
    <definedName name="SRESyears">Factors!$J$12:$J$20</definedName>
    <definedName name="STCprice">About!$C$25</definedName>
    <definedName name="Tank_replacement">'HP Commercial Calculator'!$D$19</definedName>
    <definedName name="topcolumn" localSheetId="6">Commercial!$C$6</definedName>
    <definedName name="topcolumn" localSheetId="9">'ESS NEW'!$C$4</definedName>
    <definedName name="topcolumn">'ESS OLD'!$C$4</definedName>
    <definedName name="VEECprice">About!$C$26</definedName>
    <definedName name="VEU_1D_Data">'VEU-1D'!$C$5:$R$72</definedName>
    <definedName name="VEU_3C_Data">'VEU-3C'!$C$5:$R$53</definedName>
    <definedName name="VEU_residential_products">'VEU-3C'!$C$6:$C$33</definedName>
    <definedName name="VIC_Postcodes">Factors!$Y$3056:$Y$3990</definedName>
    <definedName name="VRF_Indoor_Models">Factors!#REF!</definedName>
  </definedNames>
  <calcPr calcId="191028"/>
  <extLst>
    <ext xmlns:x15="http://schemas.microsoft.com/office/spreadsheetml/2010/11/main" uri="{FCE2AD5D-F65C-4FA6-A056-5C36A1767C68}">
      <x15:dataModel>
        <x15:modelTables>
          <x15:modelTable id="Page137  2_c9c7399d-bacd-432f-86c2-c2bed6be6592" name="Page137  2" connection="Query - Page137 (2)"/>
          <x15:modelTable id="Page138_21c2c7cc-b64a-4b6a-a665-b8136024a79e" name="Page138" connection="Query - Page138"/>
          <x15:modelTable id="Page139_223cc521-7a0e-4526-bc16-c31baf4aa7d4" name="Page139" connection="Query - Page139"/>
          <x15:modelTable id="Page140_cdca4bd1-539a-4789-bd78-199bc3a5519e" name="Page140" connection="Query - Page140"/>
          <x15:modelTable id="Page141_7cc76bfb-c112-425f-ae9b-a74eba1f7338" name="Page141" connection="Query - Page141"/>
          <x15:modelTable id="Page142_1efa90e8-982c-49e0-8f01-a28782da9c81" name="Page142" connection="Query - Page142"/>
          <x15:modelTable id="Page143_af84d144-3314-4e63-84ce-18d81567e56e" name="Page143" connection="Query - Page143"/>
          <x15:modelTable id="Page144_4ae69567-4bd4-48bf-8cec-b318814b4d9d" name="Page144" connection="Query - Page144"/>
          <x15:modelTable id="Page145_27edb2fa-250a-477a-9746-b392232d6fd7" name="Page145" connection="Query - Page145"/>
          <x15:modelTable id="Page146_c50aebfd-b1bf-4999-8396-26652d06f926" name="Page146" connection="Query - Page146"/>
          <x15:modelTable id="Page147_924e59bc-ceed-40b5-b0dc-bd5eb966281e" name="Page147" connection="Query - Page147"/>
          <x15:modelTable id="Page149_7d1c06bc-26cf-42e2-ad15-18f073a0f62e" name="Page149" connection="Query - Page149"/>
          <x15:modelTable id="Page148_8c8adc46-132f-4f1d-8d8e-18434b7b992e" name="Page148" connection="Query - Page148"/>
          <x15:modelTable id="Page150_1b64b2dd-6c15-4eb8-92bf-b918419f665f" name="Page150" connection="Query - Page150"/>
          <x15:modelTable id="Page151_38351cca-f82d-467d-a96b-54dbc189d1d9" name="Page151" connection="Query - Page151"/>
          <x15:modelTable id="Page152_59e8a258-60c6-436c-a613-c4aa4fe84ffe" name="Page152" connection="Query - Page152"/>
          <x15:modelTable id="Page153_d9128bab-1963-4512-b439-114cdb7039eb" name="Page153" connection="Query - Page153"/>
          <x15:modelTable id="Page154_91ff9f15-a24e-4c04-b29b-fa558457ade5" name="Page154" connection="Query - Page154"/>
          <x15:modelTable id="Page155_28687e06-07ac-4376-8e26-29a4a0858ce2" name="Page155" connection="Query - Page155"/>
          <x15:modelTable id="Page156_38cb8854-1dcc-4dbf-b49c-a03bc1579247" name="Page156" connection="Query - Page156"/>
          <x15:modelTable id="Page157_f3e52e1b-6f9f-4ef9-ba42-63ea6aa2ca15" name="Page157" connection="Query - Page157"/>
          <x15:modelTable id="Page029  2_95de678e-12ee-489d-b059-4fe31cb658e5" name="Page029  2" connection="Query - Page029 (2)"/>
          <x15:modelTable id="Page030_eb1cabc3-cee5-44c9-b3e2-6e18bf860b88" name="Page030" connection="Query - Page030"/>
          <x15:modelTable id="Page031_d9b8c6c4-ba7b-484c-80da-ed709e6eec3d" name="Page031" connection="Query - Page03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0" i="196" l="1" a="1"/>
  <c r="D10" i="196" s="1"/>
  <c r="T18" i="119"/>
  <c r="Q15" i="119"/>
  <c r="Q14" i="119"/>
  <c r="Q13" i="119"/>
  <c r="D11" i="196" s="1" a="1"/>
  <c r="D11" i="196" s="1"/>
  <c r="Q12" i="119"/>
  <c r="S18" i="119"/>
  <c r="S20" i="119" s="1" a="1"/>
  <c r="S20" i="119" s="1"/>
  <c r="T19" i="119" l="1" a="1"/>
  <c r="T19" i="119" s="1"/>
  <c r="S19" i="119" a="1"/>
  <c r="S19" i="119" s="1"/>
  <c r="T20" i="119" a="1"/>
  <c r="T20" i="119" s="1"/>
  <c r="BG29" i="119"/>
  <c r="BF29" i="119"/>
  <c r="BG16" i="119"/>
  <c r="BF16" i="119"/>
  <c r="BL16" i="119"/>
  <c r="BL14" i="119"/>
  <c r="BL12" i="119"/>
  <c r="BL8" i="119"/>
  <c r="BL6" i="119"/>
  <c r="BK16" i="119"/>
  <c r="BK14" i="119"/>
  <c r="BK12" i="119"/>
  <c r="BK6" i="119"/>
  <c r="BK8" i="119"/>
  <c r="BC16" i="119" l="1"/>
  <c r="BC11" i="119"/>
  <c r="BC10" i="119"/>
  <c r="BC9" i="119"/>
  <c r="BC8" i="119"/>
  <c r="BC7" i="119"/>
  <c r="BC6" i="119"/>
  <c r="CM4" i="195" a="1"/>
  <c r="CM4" i="195" s="1"/>
  <c r="CF4" i="195" a="1"/>
  <c r="CF4" i="195" s="1"/>
  <c r="BY4" i="195" a="1"/>
  <c r="BY4" i="195" s="1"/>
  <c r="BR4" i="195" a="1"/>
  <c r="BR4" i="195" s="1"/>
  <c r="BK4" i="195" a="1"/>
  <c r="BK4" i="195" s="1"/>
  <c r="AB4" i="195" a="1"/>
  <c r="AB4" i="195" s="1"/>
  <c r="D29" i="196" l="1"/>
  <c r="W7" i="195" s="1"/>
  <c r="CB7" i="195" l="1"/>
  <c r="CI7" i="195"/>
  <c r="BN7" i="195"/>
  <c r="CP7" i="195"/>
  <c r="BU7" i="195"/>
  <c r="CM7" i="195"/>
  <c r="CF7" i="195"/>
  <c r="BY7" i="195"/>
  <c r="BR7" i="195"/>
  <c r="BK7" i="195"/>
  <c r="W6" i="195"/>
  <c r="W11" i="195"/>
  <c r="W10" i="195"/>
  <c r="W9" i="195"/>
  <c r="W8" i="195"/>
  <c r="BE16" i="119"/>
  <c r="BD16" i="119"/>
  <c r="BI16" i="119"/>
  <c r="BI14" i="119"/>
  <c r="BI12" i="119"/>
  <c r="BI8" i="119"/>
  <c r="BJ16" i="119"/>
  <c r="BJ14" i="119"/>
  <c r="BJ12" i="119"/>
  <c r="BJ8" i="119"/>
  <c r="BJ6" i="119"/>
  <c r="BI6" i="119"/>
  <c r="P6" i="195"/>
  <c r="P7" i="195"/>
  <c r="P8" i="195"/>
  <c r="P9" i="195"/>
  <c r="P10" i="195"/>
  <c r="P11" i="195"/>
  <c r="D23" i="196"/>
  <c r="D22" i="196"/>
  <c r="BE29" i="119"/>
  <c r="D7" i="196"/>
  <c r="BG7" i="195" l="1"/>
  <c r="AL8" i="195"/>
  <c r="AL9" i="195"/>
  <c r="AL10" i="195"/>
  <c r="AS7" i="195"/>
  <c r="CM6" i="195"/>
  <c r="AE7" i="195"/>
  <c r="AL7" i="195"/>
  <c r="AL11" i="195"/>
  <c r="AL6" i="195"/>
  <c r="AS6" i="195"/>
  <c r="AE8" i="195"/>
  <c r="AS8" i="195"/>
  <c r="BG8" i="195"/>
  <c r="AE9" i="195"/>
  <c r="AS9" i="195"/>
  <c r="BG9" i="195"/>
  <c r="AE6" i="195"/>
  <c r="BG6" i="195"/>
  <c r="AE10" i="195"/>
  <c r="AS10" i="195"/>
  <c r="BG10" i="195"/>
  <c r="AE11" i="195"/>
  <c r="AS11" i="195"/>
  <c r="BG11" i="195"/>
  <c r="BN10" i="195"/>
  <c r="CB10" i="195"/>
  <c r="CP10" i="195"/>
  <c r="BU10" i="195"/>
  <c r="CI10" i="195"/>
  <c r="CB8" i="195"/>
  <c r="CI8" i="195"/>
  <c r="BN8" i="195"/>
  <c r="CP8" i="195"/>
  <c r="BU8" i="195"/>
  <c r="BK6" i="195"/>
  <c r="CP6" i="195"/>
  <c r="BN6" i="195"/>
  <c r="CB6" i="195"/>
  <c r="BU6" i="195"/>
  <c r="CI6" i="195"/>
  <c r="BN9" i="195"/>
  <c r="CB9" i="195"/>
  <c r="BU9" i="195"/>
  <c r="CI9" i="195"/>
  <c r="CP9" i="195"/>
  <c r="BN11" i="195"/>
  <c r="CB11" i="195"/>
  <c r="BU11" i="195"/>
  <c r="CP11" i="195"/>
  <c r="CI11" i="195"/>
  <c r="BR9" i="195"/>
  <c r="CF9" i="195"/>
  <c r="CM9" i="195"/>
  <c r="BK9" i="195"/>
  <c r="BY9" i="195"/>
  <c r="CF6" i="195"/>
  <c r="BY6" i="195"/>
  <c r="BR6" i="195"/>
  <c r="BR8" i="195"/>
  <c r="CM8" i="195"/>
  <c r="CF8" i="195"/>
  <c r="BK8" i="195"/>
  <c r="BY8" i="195"/>
  <c r="BR10" i="195"/>
  <c r="CM10" i="195"/>
  <c r="BK10" i="195"/>
  <c r="CF10" i="195"/>
  <c r="BY10" i="195"/>
  <c r="CF11" i="195"/>
  <c r="BY11" i="195"/>
  <c r="BR11" i="195"/>
  <c r="CM11" i="195"/>
  <c r="BK11" i="195"/>
  <c r="D18" i="196"/>
  <c r="D17" i="196"/>
  <c r="D6" i="196"/>
  <c r="D5" i="196"/>
  <c r="AA7" i="195"/>
  <c r="AA8" i="195"/>
  <c r="AA9" i="195"/>
  <c r="AA10" i="195"/>
  <c r="AA11" i="195"/>
  <c r="BD29" i="119"/>
  <c r="AA6" i="195"/>
  <c r="BD4" i="195" a="1"/>
  <c r="BD4" i="195" s="1"/>
  <c r="AW4" i="195" a="1"/>
  <c r="AW4" i="195" s="1"/>
  <c r="AW10" i="195" s="1" a="1"/>
  <c r="AW10" i="195" s="1"/>
  <c r="AP4" i="195" a="1"/>
  <c r="AP4" i="195" s="1"/>
  <c r="AI4" i="195" a="1"/>
  <c r="AI4" i="195" s="1"/>
  <c r="AB9" i="195" a="1"/>
  <c r="AB9" i="195" s="1"/>
  <c r="BN11" i="119" l="1"/>
  <c r="BN12" i="119"/>
  <c r="BN13" i="119"/>
  <c r="BN14" i="119"/>
  <c r="BN15" i="119"/>
  <c r="BN16" i="119"/>
  <c r="BN10" i="119"/>
  <c r="BO12" i="119"/>
  <c r="BO14" i="119"/>
  <c r="BO15" i="119"/>
  <c r="BO16" i="119"/>
  <c r="S6" i="195" s="1"/>
  <c r="T6" i="195" s="1"/>
  <c r="BO10" i="119"/>
  <c r="BO13" i="119"/>
  <c r="BO11" i="119"/>
  <c r="AB8" i="195" a="1"/>
  <c r="AB8" i="195" s="1"/>
  <c r="AP11" i="195" a="1"/>
  <c r="AP11" i="195" s="1"/>
  <c r="AP10" i="195" a="1"/>
  <c r="AP10" i="195" s="1"/>
  <c r="AW11" i="195" a="1"/>
  <c r="AW11" i="195" s="1"/>
  <c r="AW9" i="195" a="1"/>
  <c r="AW9" i="195" s="1"/>
  <c r="AW8" i="195" a="1"/>
  <c r="AW8" i="195" s="1"/>
  <c r="AW7" i="195" a="1"/>
  <c r="AW7" i="195" s="1"/>
  <c r="AZ7" i="195" a="1"/>
  <c r="AZ7" i="195" s="1"/>
  <c r="AZ10" i="195" a="1"/>
  <c r="AZ10" i="195" s="1"/>
  <c r="AZ11" i="195" a="1"/>
  <c r="AZ11" i="195" s="1"/>
  <c r="AZ8" i="195" a="1"/>
  <c r="AZ8" i="195" s="1"/>
  <c r="AP9" i="195" a="1"/>
  <c r="AP9" i="195" s="1"/>
  <c r="BD11" i="195" a="1"/>
  <c r="BD11" i="195" s="1"/>
  <c r="AZ9" i="195" a="1"/>
  <c r="AZ9" i="195" s="1"/>
  <c r="AP8" i="195" a="1"/>
  <c r="AP8" i="195" s="1"/>
  <c r="BD10" i="195" a="1"/>
  <c r="BD10" i="195" s="1"/>
  <c r="BD9" i="195" a="1"/>
  <c r="BD9" i="195" s="1"/>
  <c r="AP7" i="195" a="1"/>
  <c r="AP7" i="195" s="1"/>
  <c r="AI11" i="195" a="1"/>
  <c r="AI11" i="195" s="1"/>
  <c r="BD8" i="195" a="1"/>
  <c r="BD8" i="195" s="1"/>
  <c r="AI10" i="195" a="1"/>
  <c r="AI10" i="195" s="1"/>
  <c r="BD7" i="195" a="1"/>
  <c r="BD7" i="195" s="1"/>
  <c r="AI9" i="195" a="1"/>
  <c r="AI9" i="195" s="1"/>
  <c r="AB7" i="195" a="1"/>
  <c r="AB7" i="195" s="1"/>
  <c r="AI8" i="195" a="1"/>
  <c r="AI8" i="195" s="1"/>
  <c r="AB11" i="195" a="1"/>
  <c r="AB11" i="195" s="1"/>
  <c r="AI7" i="195" a="1"/>
  <c r="AI7" i="195" s="1"/>
  <c r="AB10" i="195" a="1"/>
  <c r="AB10" i="195" s="1"/>
  <c r="AW6" i="195" a="1"/>
  <c r="AW6" i="195" s="1"/>
  <c r="AZ6" i="195" a="1"/>
  <c r="AZ6" i="195" s="1"/>
  <c r="BD6" i="195" a="1"/>
  <c r="BD6" i="195" s="1"/>
  <c r="AB6" i="195" a="1"/>
  <c r="AB6" i="195" s="1"/>
  <c r="AI6" i="195" a="1"/>
  <c r="AI6" i="195" s="1"/>
  <c r="AP6" i="195" a="1"/>
  <c r="AP6" i="195" s="1"/>
  <c r="S9" i="195" l="1"/>
  <c r="T9" i="195" s="1"/>
  <c r="S10" i="195"/>
  <c r="T10" i="195" s="1"/>
  <c r="S11" i="195"/>
  <c r="T11" i="195" s="1"/>
  <c r="S7" i="195"/>
  <c r="T7" i="195" s="1"/>
  <c r="S8" i="195"/>
  <c r="T8" i="195" s="1"/>
  <c r="U6" i="195"/>
  <c r="V6" i="195" s="1"/>
  <c r="U7" i="195"/>
  <c r="V7" i="195" s="1"/>
  <c r="U8" i="195"/>
  <c r="V8" i="195" s="1"/>
  <c r="U9" i="195"/>
  <c r="V9" i="195" s="1"/>
  <c r="U10" i="195"/>
  <c r="V10" i="195" s="1"/>
  <c r="U11" i="195"/>
  <c r="V11" i="195" s="1"/>
  <c r="C34" i="196"/>
  <c r="I22" i="179" a="1"/>
  <c r="I22" i="179" s="1"/>
  <c r="J22" i="179" a="1"/>
  <c r="J22" i="179" s="1"/>
  <c r="K22" i="179" a="1"/>
  <c r="K22" i="179" s="1"/>
  <c r="N22" i="179" a="1"/>
  <c r="N22" i="179" s="1"/>
  <c r="O22" i="179" a="1"/>
  <c r="O22" i="179" s="1"/>
  <c r="P22" i="179" a="1"/>
  <c r="P22" i="179" s="1"/>
  <c r="I23" i="179" a="1"/>
  <c r="I23" i="179" s="1"/>
  <c r="J23" i="179" a="1"/>
  <c r="J23" i="179" s="1"/>
  <c r="K23" i="179" a="1"/>
  <c r="K23" i="179" s="1"/>
  <c r="N23" i="179" a="1"/>
  <c r="N23" i="179" s="1"/>
  <c r="O23" i="179" a="1"/>
  <c r="O23" i="179" s="1"/>
  <c r="P23" i="179" a="1"/>
  <c r="P23" i="179" s="1"/>
  <c r="I22" i="153" a="1"/>
  <c r="I22" i="153" s="1"/>
  <c r="J22" i="153" a="1"/>
  <c r="J22" i="153" s="1"/>
  <c r="K22" i="153" a="1"/>
  <c r="K22" i="153" s="1"/>
  <c r="N22" i="153" a="1"/>
  <c r="N22" i="153" s="1"/>
  <c r="O22" i="153" a="1"/>
  <c r="O22" i="153" s="1"/>
  <c r="P22" i="153" a="1"/>
  <c r="P22" i="153" s="1"/>
  <c r="I23" i="153" a="1"/>
  <c r="I23" i="153" s="1"/>
  <c r="J23" i="153" a="1"/>
  <c r="J23" i="153" s="1"/>
  <c r="K23" i="153" a="1"/>
  <c r="K23" i="153" s="1"/>
  <c r="N23" i="153" a="1"/>
  <c r="N23" i="153" s="1"/>
  <c r="O23" i="153" a="1"/>
  <c r="O23" i="153" s="1"/>
  <c r="P23" i="153" a="1"/>
  <c r="P23" i="153" s="1"/>
  <c r="I7" i="120"/>
  <c r="N7" i="120" s="1"/>
  <c r="J7" i="120"/>
  <c r="O7" i="120"/>
  <c r="R7" i="120" s="1"/>
  <c r="P7" i="120"/>
  <c r="S7" i="120" s="1"/>
  <c r="I8" i="120"/>
  <c r="K8" i="120" s="1"/>
  <c r="J8" i="120"/>
  <c r="O8" i="120"/>
  <c r="Q8" i="120" s="1"/>
  <c r="P8" i="120"/>
  <c r="S8" i="120" s="1"/>
  <c r="I9" i="120"/>
  <c r="L9" i="120" s="1"/>
  <c r="J9" i="120"/>
  <c r="O9" i="120"/>
  <c r="Q9" i="120" s="1"/>
  <c r="P9" i="120"/>
  <c r="S9" i="120" s="1"/>
  <c r="I10" i="120"/>
  <c r="K10" i="120" s="1"/>
  <c r="J10" i="120"/>
  <c r="O10" i="120"/>
  <c r="R10" i="120" s="1"/>
  <c r="P10" i="120"/>
  <c r="S10" i="120" s="1"/>
  <c r="I11" i="120"/>
  <c r="K11" i="120" s="1"/>
  <c r="J11" i="120"/>
  <c r="O11" i="120"/>
  <c r="R11" i="120" s="1"/>
  <c r="P11" i="120"/>
  <c r="S11" i="120" s="1"/>
  <c r="I12" i="120"/>
  <c r="K12" i="120" s="1"/>
  <c r="J12" i="120"/>
  <c r="O12" i="120"/>
  <c r="R12" i="120" s="1"/>
  <c r="P12" i="120"/>
  <c r="S12" i="120" s="1"/>
  <c r="I13" i="120"/>
  <c r="N13" i="120" s="1"/>
  <c r="J13" i="120"/>
  <c r="O13" i="120"/>
  <c r="R13" i="120" s="1"/>
  <c r="P13" i="120"/>
  <c r="S13" i="120" s="1"/>
  <c r="I14" i="120"/>
  <c r="K14" i="120" s="1"/>
  <c r="J14" i="120"/>
  <c r="O14" i="120"/>
  <c r="Q14" i="120" s="1"/>
  <c r="P14" i="120"/>
  <c r="T14" i="120" s="1"/>
  <c r="I15" i="120"/>
  <c r="K15" i="120" s="1"/>
  <c r="J15" i="120"/>
  <c r="O15" i="120"/>
  <c r="Q15" i="120" s="1"/>
  <c r="P15" i="120"/>
  <c r="S15" i="120" s="1"/>
  <c r="I16" i="120"/>
  <c r="L16" i="120" s="1"/>
  <c r="J16" i="120"/>
  <c r="O16" i="120"/>
  <c r="Q16" i="120" s="1"/>
  <c r="P16" i="120"/>
  <c r="T16" i="120" s="1"/>
  <c r="I17" i="120"/>
  <c r="K17" i="120" s="1"/>
  <c r="J17" i="120"/>
  <c r="O17" i="120"/>
  <c r="Q17" i="120" s="1"/>
  <c r="P17" i="120"/>
  <c r="S17" i="120" s="1"/>
  <c r="I18" i="120"/>
  <c r="N18" i="120" s="1"/>
  <c r="J18" i="120"/>
  <c r="O18" i="120"/>
  <c r="Q18" i="120" s="1"/>
  <c r="P18" i="120"/>
  <c r="T18" i="120" s="1"/>
  <c r="I19" i="120"/>
  <c r="K19" i="120" s="1"/>
  <c r="J19" i="120"/>
  <c r="O19" i="120"/>
  <c r="Q19" i="120" s="1"/>
  <c r="P19" i="120"/>
  <c r="S19" i="120" s="1"/>
  <c r="I20" i="120"/>
  <c r="K20" i="120" s="1"/>
  <c r="J20" i="120"/>
  <c r="O20" i="120"/>
  <c r="R20" i="120" s="1"/>
  <c r="P20" i="120"/>
  <c r="T20" i="120" s="1"/>
  <c r="I21" i="120"/>
  <c r="K21" i="120" s="1"/>
  <c r="J21" i="120"/>
  <c r="O21" i="120"/>
  <c r="Q21" i="120" s="1"/>
  <c r="P21" i="120"/>
  <c r="S21" i="120" s="1"/>
  <c r="I22" i="120"/>
  <c r="K22" i="120" s="1"/>
  <c r="J22" i="120"/>
  <c r="O22" i="120"/>
  <c r="R22" i="120" s="1"/>
  <c r="P22" i="120"/>
  <c r="S22" i="120" s="1"/>
  <c r="I23" i="120"/>
  <c r="J23" i="120"/>
  <c r="O23" i="120"/>
  <c r="R23" i="120" s="1"/>
  <c r="P23" i="120"/>
  <c r="T23" i="120" s="1"/>
  <c r="S7" i="194" a="1"/>
  <c r="S7" i="194" s="1"/>
  <c r="U7" i="194" s="1"/>
  <c r="X7" i="194" a="1"/>
  <c r="X7" i="194" s="1"/>
  <c r="Y7" i="194" a="1"/>
  <c r="Y7" i="194" s="1"/>
  <c r="Z7" i="194" a="1"/>
  <c r="Z7" i="194" s="1"/>
  <c r="AB7" i="194" s="1"/>
  <c r="S8" i="194" a="1"/>
  <c r="S8" i="194" s="1"/>
  <c r="U8" i="194" s="1"/>
  <c r="X8" i="194" a="1"/>
  <c r="X8" i="194" s="1"/>
  <c r="Y8" i="194" a="1"/>
  <c r="Y8" i="194" s="1"/>
  <c r="Z8" i="194" a="1"/>
  <c r="Z8" i="194" s="1"/>
  <c r="AB8" i="194" s="1"/>
  <c r="S9" i="194" a="1"/>
  <c r="S9" i="194" s="1"/>
  <c r="U9" i="194" s="1"/>
  <c r="X9" i="194" a="1"/>
  <c r="X9" i="194" s="1"/>
  <c r="Y9" i="194" a="1"/>
  <c r="Y9" i="194" s="1"/>
  <c r="Z9" i="194" a="1"/>
  <c r="Z9" i="194" s="1"/>
  <c r="AB9" i="194" s="1"/>
  <c r="S10" i="194" a="1"/>
  <c r="S10" i="194" s="1"/>
  <c r="U10" i="194" s="1"/>
  <c r="X10" i="194" a="1"/>
  <c r="X10" i="194" s="1"/>
  <c r="Y10" i="194" a="1"/>
  <c r="Y10" i="194" s="1"/>
  <c r="Z10" i="194" a="1"/>
  <c r="Z10" i="194" s="1"/>
  <c r="AB10" i="194" s="1"/>
  <c r="S11" i="194" a="1"/>
  <c r="S11" i="194" s="1"/>
  <c r="U11" i="194" s="1"/>
  <c r="X11" i="194" a="1"/>
  <c r="X11" i="194" s="1"/>
  <c r="Y11" i="194" a="1"/>
  <c r="Y11" i="194" s="1"/>
  <c r="Z11" i="194" a="1"/>
  <c r="Z11" i="194" s="1"/>
  <c r="AB11" i="194" s="1"/>
  <c r="S12" i="194" a="1"/>
  <c r="S12" i="194" s="1"/>
  <c r="U12" i="194" s="1"/>
  <c r="X12" i="194" a="1"/>
  <c r="X12" i="194" s="1"/>
  <c r="Y12" i="194" a="1"/>
  <c r="Y12" i="194" s="1"/>
  <c r="Z12" i="194" a="1"/>
  <c r="Z12" i="194" s="1"/>
  <c r="AB12" i="194" s="1"/>
  <c r="S13" i="194" a="1"/>
  <c r="S13" i="194" s="1"/>
  <c r="U13" i="194" s="1"/>
  <c r="X13" i="194" a="1"/>
  <c r="X13" i="194" s="1"/>
  <c r="Y13" i="194" a="1"/>
  <c r="Y13" i="194" s="1"/>
  <c r="Z13" i="194" a="1"/>
  <c r="Z13" i="194" s="1"/>
  <c r="AB13" i="194" s="1"/>
  <c r="S14" i="194" a="1"/>
  <c r="S14" i="194" s="1"/>
  <c r="U14" i="194" s="1"/>
  <c r="X14" i="194" a="1"/>
  <c r="X14" i="194" s="1"/>
  <c r="Y14" i="194" a="1"/>
  <c r="Y14" i="194" s="1"/>
  <c r="Z14" i="194" a="1"/>
  <c r="Z14" i="194" s="1"/>
  <c r="AB14" i="194" s="1"/>
  <c r="S15" i="194" a="1"/>
  <c r="S15" i="194" s="1"/>
  <c r="U15" i="194" s="1"/>
  <c r="X15" i="194" a="1"/>
  <c r="X15" i="194" s="1"/>
  <c r="Y15" i="194" a="1"/>
  <c r="Y15" i="194" s="1"/>
  <c r="Z15" i="194" a="1"/>
  <c r="Z15" i="194" s="1"/>
  <c r="AB15" i="194" s="1"/>
  <c r="S16" i="194" a="1"/>
  <c r="S16" i="194" s="1"/>
  <c r="U16" i="194" s="1"/>
  <c r="X16" i="194" a="1"/>
  <c r="X16" i="194" s="1"/>
  <c r="Y16" i="194" a="1"/>
  <c r="Y16" i="194" s="1"/>
  <c r="Z16" i="194" a="1"/>
  <c r="Z16" i="194" s="1"/>
  <c r="AB16" i="194" s="1"/>
  <c r="S17" i="194" a="1"/>
  <c r="S17" i="194" s="1"/>
  <c r="U17" i="194" s="1"/>
  <c r="X17" i="194" a="1"/>
  <c r="X17" i="194" s="1"/>
  <c r="Y17" i="194" a="1"/>
  <c r="Y17" i="194" s="1"/>
  <c r="Z17" i="194" a="1"/>
  <c r="Z17" i="194" s="1"/>
  <c r="AB17" i="194" s="1"/>
  <c r="S18" i="194" a="1"/>
  <c r="S18" i="194" s="1"/>
  <c r="U18" i="194" s="1"/>
  <c r="X18" i="194" a="1"/>
  <c r="X18" i="194" s="1"/>
  <c r="Y18" i="194" a="1"/>
  <c r="Y18" i="194" s="1"/>
  <c r="Z18" i="194" a="1"/>
  <c r="Z18" i="194" s="1"/>
  <c r="AB18" i="194" s="1"/>
  <c r="S19" i="194" a="1"/>
  <c r="S19" i="194" s="1"/>
  <c r="U19" i="194" s="1"/>
  <c r="X19" i="194" a="1"/>
  <c r="X19" i="194" s="1"/>
  <c r="Y19" i="194" a="1"/>
  <c r="Y19" i="194" s="1"/>
  <c r="Z19" i="194" a="1"/>
  <c r="Z19" i="194" s="1"/>
  <c r="AB19" i="194" s="1"/>
  <c r="S20" i="194" a="1"/>
  <c r="S20" i="194" s="1"/>
  <c r="U20" i="194" s="1"/>
  <c r="X20" i="194" a="1"/>
  <c r="X20" i="194" s="1"/>
  <c r="Y20" i="194" a="1"/>
  <c r="Y20" i="194" s="1"/>
  <c r="Z20" i="194" a="1"/>
  <c r="Z20" i="194" s="1"/>
  <c r="AB20" i="194" s="1"/>
  <c r="S21" i="194" a="1"/>
  <c r="S21" i="194" s="1"/>
  <c r="U21" i="194" s="1"/>
  <c r="X21" i="194" a="1"/>
  <c r="X21" i="194" s="1"/>
  <c r="Y21" i="194" a="1"/>
  <c r="Y21" i="194" s="1"/>
  <c r="Z21" i="194" a="1"/>
  <c r="Z21" i="194" s="1"/>
  <c r="AB21" i="194" s="1"/>
  <c r="S22" i="194" a="1"/>
  <c r="S22" i="194" s="1"/>
  <c r="U22" i="194" s="1"/>
  <c r="X22" i="194" a="1"/>
  <c r="X22" i="194" s="1"/>
  <c r="Y22" i="194" a="1"/>
  <c r="Y22" i="194" s="1"/>
  <c r="Z22" i="194" a="1"/>
  <c r="Z22" i="194" s="1"/>
  <c r="AB22" i="194" s="1"/>
  <c r="S23" i="194" a="1"/>
  <c r="S23" i="194" s="1"/>
  <c r="U23" i="194" s="1"/>
  <c r="X23" i="194" a="1"/>
  <c r="X23" i="194" s="1"/>
  <c r="Y23" i="194" a="1"/>
  <c r="Y23" i="194" s="1"/>
  <c r="Z23" i="194" a="1"/>
  <c r="Z23" i="194" s="1"/>
  <c r="AB23" i="194" s="1"/>
  <c r="S24" i="194" a="1"/>
  <c r="S24" i="194" s="1"/>
  <c r="U24" i="194" s="1"/>
  <c r="X24" i="194" a="1"/>
  <c r="X24" i="194" s="1"/>
  <c r="Y24" i="194" a="1"/>
  <c r="Y24" i="194" s="1"/>
  <c r="Z24" i="194" a="1"/>
  <c r="Z24" i="194" s="1"/>
  <c r="AB24" i="194" s="1"/>
  <c r="S25" i="194" a="1"/>
  <c r="S25" i="194" s="1"/>
  <c r="U25" i="194" s="1"/>
  <c r="X25" i="194" a="1"/>
  <c r="X25" i="194" s="1"/>
  <c r="Y25" i="194" a="1"/>
  <c r="Y25" i="194" s="1"/>
  <c r="Z25" i="194" a="1"/>
  <c r="Z25" i="194" s="1"/>
  <c r="AB25" i="194" s="1"/>
  <c r="S26" i="194" a="1"/>
  <c r="S26" i="194" s="1"/>
  <c r="U26" i="194" s="1"/>
  <c r="X26" i="194" a="1"/>
  <c r="X26" i="194" s="1"/>
  <c r="Y26" i="194" a="1"/>
  <c r="Y26" i="194" s="1"/>
  <c r="Z26" i="194" a="1"/>
  <c r="Z26" i="194" s="1"/>
  <c r="AB26" i="194" s="1"/>
  <c r="S27" i="194" a="1"/>
  <c r="S27" i="194" s="1"/>
  <c r="U27" i="194" s="1"/>
  <c r="X27" i="194" a="1"/>
  <c r="X27" i="194" s="1"/>
  <c r="Y27" i="194" a="1"/>
  <c r="Y27" i="194" s="1"/>
  <c r="Z27" i="194" a="1"/>
  <c r="Z27" i="194" s="1"/>
  <c r="AB27" i="194" s="1"/>
  <c r="S28" i="194" a="1"/>
  <c r="S28" i="194" s="1"/>
  <c r="U28" i="194" s="1"/>
  <c r="X28" i="194" a="1"/>
  <c r="X28" i="194" s="1"/>
  <c r="Y28" i="194" a="1"/>
  <c r="Y28" i="194" s="1"/>
  <c r="Z28" i="194" a="1"/>
  <c r="Z28" i="194" s="1"/>
  <c r="AB28" i="194" s="1"/>
  <c r="S29" i="194" a="1"/>
  <c r="S29" i="194" s="1"/>
  <c r="U29" i="194" s="1"/>
  <c r="X29" i="194" a="1"/>
  <c r="X29" i="194" s="1"/>
  <c r="Y29" i="194" a="1"/>
  <c r="Y29" i="194" s="1"/>
  <c r="Z29" i="194" a="1"/>
  <c r="Z29" i="194" s="1"/>
  <c r="AB29" i="194" s="1"/>
  <c r="S30" i="194" a="1"/>
  <c r="S30" i="194" s="1"/>
  <c r="U30" i="194" s="1"/>
  <c r="X30" i="194" a="1"/>
  <c r="X30" i="194" s="1"/>
  <c r="Y30" i="194" a="1"/>
  <c r="Y30" i="194" s="1"/>
  <c r="Z30" i="194" a="1"/>
  <c r="Z30" i="194" s="1"/>
  <c r="AB30" i="194" s="1"/>
  <c r="S31" i="194" a="1"/>
  <c r="S31" i="194" s="1"/>
  <c r="U31" i="194" s="1"/>
  <c r="X31" i="194" a="1"/>
  <c r="X31" i="194" s="1"/>
  <c r="Y31" i="194" a="1"/>
  <c r="Y31" i="194" s="1"/>
  <c r="Z31" i="194" a="1"/>
  <c r="Z31" i="194" s="1"/>
  <c r="AB31" i="194" s="1"/>
  <c r="S32" i="194" a="1"/>
  <c r="S32" i="194" s="1"/>
  <c r="U32" i="194" s="1"/>
  <c r="X32" i="194" a="1"/>
  <c r="X32" i="194" s="1"/>
  <c r="Y32" i="194" a="1"/>
  <c r="Y32" i="194" s="1"/>
  <c r="Z32" i="194" a="1"/>
  <c r="Z32" i="194" s="1"/>
  <c r="AB32" i="194" s="1"/>
  <c r="S33" i="194" a="1"/>
  <c r="S33" i="194" s="1"/>
  <c r="U33" i="194" s="1"/>
  <c r="X33" i="194" a="1"/>
  <c r="X33" i="194" s="1"/>
  <c r="Y33" i="194" a="1"/>
  <c r="Y33" i="194" s="1"/>
  <c r="Z33" i="194" a="1"/>
  <c r="Z33" i="194" s="1"/>
  <c r="AB33" i="194" s="1"/>
  <c r="S34" i="194" a="1"/>
  <c r="S34" i="194" s="1"/>
  <c r="U34" i="194" s="1"/>
  <c r="X34" i="194" a="1"/>
  <c r="X34" i="194" s="1"/>
  <c r="Y34" i="194" a="1"/>
  <c r="Y34" i="194" s="1"/>
  <c r="Z34" i="194" a="1"/>
  <c r="Z34" i="194" s="1"/>
  <c r="AB34" i="194" s="1"/>
  <c r="S35" i="194" a="1"/>
  <c r="S35" i="194" s="1"/>
  <c r="U35" i="194" s="1"/>
  <c r="X35" i="194" a="1"/>
  <c r="X35" i="194" s="1"/>
  <c r="Y35" i="194" a="1"/>
  <c r="Y35" i="194" s="1"/>
  <c r="Z35" i="194" a="1"/>
  <c r="Z35" i="194" s="1"/>
  <c r="AB35" i="194" s="1"/>
  <c r="S36" i="194" a="1"/>
  <c r="S36" i="194" s="1"/>
  <c r="U36" i="194" s="1"/>
  <c r="X36" i="194" a="1"/>
  <c r="X36" i="194" s="1"/>
  <c r="Y36" i="194" a="1"/>
  <c r="Y36" i="194" s="1"/>
  <c r="Z36" i="194" a="1"/>
  <c r="Z36" i="194" s="1"/>
  <c r="AB36" i="194" s="1"/>
  <c r="S37" i="194" a="1"/>
  <c r="S37" i="194" s="1"/>
  <c r="U37" i="194" s="1"/>
  <c r="X37" i="194" a="1"/>
  <c r="X37" i="194" s="1"/>
  <c r="Y37" i="194" a="1"/>
  <c r="Y37" i="194" s="1"/>
  <c r="Z37" i="194" a="1"/>
  <c r="Z37" i="194" s="1"/>
  <c r="AB37" i="194" s="1"/>
  <c r="R7" i="194" a="1"/>
  <c r="R7" i="194" s="1"/>
  <c r="R8" i="194" a="1"/>
  <c r="R8" i="194" s="1"/>
  <c r="R9" i="194" a="1"/>
  <c r="R9" i="194" s="1"/>
  <c r="R10" i="194" a="1"/>
  <c r="R10" i="194" s="1"/>
  <c r="R11" i="194" a="1"/>
  <c r="R11" i="194" s="1"/>
  <c r="R12" i="194" a="1"/>
  <c r="R12" i="194" s="1"/>
  <c r="R13" i="194" a="1"/>
  <c r="R13" i="194" s="1"/>
  <c r="R14" i="194" a="1"/>
  <c r="R14" i="194" s="1"/>
  <c r="R15" i="194" a="1"/>
  <c r="R15" i="194" s="1"/>
  <c r="R16" i="194" a="1"/>
  <c r="R16" i="194" s="1"/>
  <c r="R17" i="194" a="1"/>
  <c r="R17" i="194" s="1"/>
  <c r="R18" i="194" a="1"/>
  <c r="R18" i="194" s="1"/>
  <c r="R19" i="194" a="1"/>
  <c r="R19" i="194" s="1"/>
  <c r="R20" i="194" a="1"/>
  <c r="R20" i="194" s="1"/>
  <c r="R21" i="194" a="1"/>
  <c r="R21" i="194" s="1"/>
  <c r="R22" i="194" a="1"/>
  <c r="R22" i="194" s="1"/>
  <c r="R23" i="194" a="1"/>
  <c r="R23" i="194" s="1"/>
  <c r="R24" i="194" a="1"/>
  <c r="R24" i="194" s="1"/>
  <c r="R25" i="194" a="1"/>
  <c r="R25" i="194" s="1"/>
  <c r="R26" i="194" a="1"/>
  <c r="R26" i="194" s="1"/>
  <c r="R27" i="194" a="1"/>
  <c r="R27" i="194" s="1"/>
  <c r="R28" i="194" a="1"/>
  <c r="R28" i="194" s="1"/>
  <c r="R29" i="194" a="1"/>
  <c r="R29" i="194" s="1"/>
  <c r="R30" i="194" a="1"/>
  <c r="R30" i="194" s="1"/>
  <c r="R31" i="194" a="1"/>
  <c r="R31" i="194" s="1"/>
  <c r="R32" i="194" a="1"/>
  <c r="R32" i="194" s="1"/>
  <c r="R33" i="194" a="1"/>
  <c r="R33" i="194" s="1"/>
  <c r="R34" i="194" a="1"/>
  <c r="R34" i="194" s="1"/>
  <c r="R35" i="194" a="1"/>
  <c r="R35" i="194" s="1"/>
  <c r="R36" i="194" a="1"/>
  <c r="R36" i="194" s="1"/>
  <c r="R37" i="194" a="1"/>
  <c r="R37" i="194" s="1"/>
  <c r="Q7" i="194" a="1"/>
  <c r="Q7" i="194" s="1"/>
  <c r="Q8" i="194" a="1"/>
  <c r="Q8" i="194" s="1"/>
  <c r="Q9" i="194" a="1"/>
  <c r="Q9" i="194" s="1"/>
  <c r="Q10" i="194" a="1"/>
  <c r="Q10" i="194" s="1"/>
  <c r="Q11" i="194" a="1"/>
  <c r="Q11" i="194" s="1"/>
  <c r="Q12" i="194" a="1"/>
  <c r="Q12" i="194" s="1"/>
  <c r="Q13" i="194" a="1"/>
  <c r="Q13" i="194" s="1"/>
  <c r="Q14" i="194" a="1"/>
  <c r="Q14" i="194" s="1"/>
  <c r="Q15" i="194" a="1"/>
  <c r="Q15" i="194" s="1"/>
  <c r="Q16" i="194" a="1"/>
  <c r="Q16" i="194" s="1"/>
  <c r="Q17" i="194" a="1"/>
  <c r="Q17" i="194" s="1"/>
  <c r="Q18" i="194" a="1"/>
  <c r="Q18" i="194" s="1"/>
  <c r="Q19" i="194" a="1"/>
  <c r="Q19" i="194" s="1"/>
  <c r="Q20" i="194" a="1"/>
  <c r="Q20" i="194" s="1"/>
  <c r="Q21" i="194" a="1"/>
  <c r="Q21" i="194" s="1"/>
  <c r="Q22" i="194" a="1"/>
  <c r="Q22" i="194" s="1"/>
  <c r="Q23" i="194" a="1"/>
  <c r="Q23" i="194" s="1"/>
  <c r="Q24" i="194" a="1"/>
  <c r="Q24" i="194" s="1"/>
  <c r="Q25" i="194" a="1"/>
  <c r="Q25" i="194" s="1"/>
  <c r="Q26" i="194" a="1"/>
  <c r="Q26" i="194" s="1"/>
  <c r="Q27" i="194" a="1"/>
  <c r="Q27" i="194" s="1"/>
  <c r="Q28" i="194" a="1"/>
  <c r="Q28" i="194" s="1"/>
  <c r="Q29" i="194" a="1"/>
  <c r="Q29" i="194" s="1"/>
  <c r="Q30" i="194" a="1"/>
  <c r="Q30" i="194" s="1"/>
  <c r="Q31" i="194" a="1"/>
  <c r="Q31" i="194" s="1"/>
  <c r="Q32" i="194" a="1"/>
  <c r="Q32" i="194" s="1"/>
  <c r="Q33" i="194" a="1"/>
  <c r="Q33" i="194" s="1"/>
  <c r="Q34" i="194" a="1"/>
  <c r="Q34" i="194" s="1"/>
  <c r="Q35" i="194" a="1"/>
  <c r="Q35" i="194" s="1"/>
  <c r="Q36" i="194" a="1"/>
  <c r="Q36" i="194" s="1"/>
  <c r="Q37" i="194" a="1"/>
  <c r="Q37" i="194" s="1"/>
  <c r="Q6" i="194" a="1"/>
  <c r="Q6" i="194" s="1"/>
  <c r="M22" i="194" a="1"/>
  <c r="M22" i="194" s="1"/>
  <c r="N22" i="194" a="1"/>
  <c r="N22" i="194" s="1"/>
  <c r="M23" i="194" a="1"/>
  <c r="M23" i="194" s="1"/>
  <c r="N23" i="194" a="1"/>
  <c r="N23" i="194" s="1"/>
  <c r="N21" i="194" a="1"/>
  <c r="N21" i="194" s="1"/>
  <c r="M21" i="194" a="1"/>
  <c r="M21" i="194" s="1"/>
  <c r="J6" i="194" a="1"/>
  <c r="J6" i="194" s="1"/>
  <c r="J7" i="194" a="1"/>
  <c r="J7" i="194" s="1"/>
  <c r="J8" i="194" a="1"/>
  <c r="J8" i="194" s="1"/>
  <c r="J9" i="194" a="1"/>
  <c r="J9" i="194" s="1"/>
  <c r="J10" i="194" a="1"/>
  <c r="J10" i="194" s="1"/>
  <c r="J11" i="194" a="1"/>
  <c r="J11" i="194" s="1"/>
  <c r="J12" i="194" a="1"/>
  <c r="J12" i="194" s="1"/>
  <c r="J13" i="194" a="1"/>
  <c r="J13" i="194" s="1"/>
  <c r="J14" i="194" a="1"/>
  <c r="J14" i="194" s="1"/>
  <c r="J15" i="194" a="1"/>
  <c r="J15" i="194" s="1"/>
  <c r="J16" i="194" a="1"/>
  <c r="J16" i="194" s="1"/>
  <c r="J17" i="194" a="1"/>
  <c r="J17" i="194" s="1"/>
  <c r="J18" i="194" a="1"/>
  <c r="J18" i="194" s="1"/>
  <c r="J19" i="194" a="1"/>
  <c r="J19" i="194" s="1"/>
  <c r="J20" i="194" a="1"/>
  <c r="J20" i="194" s="1"/>
  <c r="J21" i="194" a="1"/>
  <c r="J21" i="194" s="1"/>
  <c r="J22" i="194" a="1"/>
  <c r="J22" i="194" s="1"/>
  <c r="J23" i="194" a="1"/>
  <c r="J23" i="194" s="1"/>
  <c r="J24" i="194" a="1"/>
  <c r="J24" i="194" s="1"/>
  <c r="J25" i="194" a="1"/>
  <c r="J25" i="194" s="1"/>
  <c r="J26" i="194" a="1"/>
  <c r="J26" i="194" s="1"/>
  <c r="J27" i="194" a="1"/>
  <c r="J27" i="194" s="1"/>
  <c r="J28" i="194" a="1"/>
  <c r="J28" i="194" s="1"/>
  <c r="J29" i="194" a="1"/>
  <c r="J29" i="194" s="1"/>
  <c r="J30" i="194" a="1"/>
  <c r="J30" i="194" s="1"/>
  <c r="J31" i="194" a="1"/>
  <c r="J31" i="194" s="1"/>
  <c r="J32" i="194" a="1"/>
  <c r="J32" i="194" s="1"/>
  <c r="J33" i="194" a="1"/>
  <c r="J33" i="194" s="1"/>
  <c r="J34" i="194" a="1"/>
  <c r="J34" i="194" s="1"/>
  <c r="J35" i="194" a="1"/>
  <c r="J35" i="194" s="1"/>
  <c r="J36" i="194" a="1"/>
  <c r="J36" i="194" s="1"/>
  <c r="J37" i="194" a="1"/>
  <c r="J37" i="194" s="1"/>
  <c r="I23" i="194" a="1"/>
  <c r="I23" i="194" s="1"/>
  <c r="I24" i="194" a="1"/>
  <c r="I24" i="194" s="1"/>
  <c r="I25" i="194" a="1"/>
  <c r="I25" i="194" s="1"/>
  <c r="I26" i="194" a="1"/>
  <c r="I26" i="194" s="1"/>
  <c r="I27" i="194" a="1"/>
  <c r="I27" i="194" s="1"/>
  <c r="I28" i="194" a="1"/>
  <c r="I28" i="194" s="1"/>
  <c r="I29" i="194" a="1"/>
  <c r="I29" i="194" s="1"/>
  <c r="I30" i="194" a="1"/>
  <c r="I30" i="194" s="1"/>
  <c r="I31" i="194" a="1"/>
  <c r="I31" i="194" s="1"/>
  <c r="I32" i="194" a="1"/>
  <c r="I32" i="194" s="1"/>
  <c r="I33" i="194" a="1"/>
  <c r="I33" i="194" s="1"/>
  <c r="I34" i="194" a="1"/>
  <c r="I34" i="194" s="1"/>
  <c r="I35" i="194" a="1"/>
  <c r="I35" i="194" s="1"/>
  <c r="I36" i="194" a="1"/>
  <c r="I36" i="194" s="1"/>
  <c r="I37" i="194" a="1"/>
  <c r="I37" i="194" s="1"/>
  <c r="I6" i="194" a="1"/>
  <c r="I6" i="194" s="1"/>
  <c r="I7" i="194" a="1"/>
  <c r="I7" i="194" s="1"/>
  <c r="I8" i="194" a="1"/>
  <c r="I8" i="194" s="1"/>
  <c r="I9" i="194" a="1"/>
  <c r="I9" i="194" s="1"/>
  <c r="I10" i="194" a="1"/>
  <c r="I10" i="194" s="1"/>
  <c r="I11" i="194" a="1"/>
  <c r="I11" i="194" s="1"/>
  <c r="I12" i="194" a="1"/>
  <c r="I12" i="194" s="1"/>
  <c r="I13" i="194" a="1"/>
  <c r="I13" i="194" s="1"/>
  <c r="I14" i="194" a="1"/>
  <c r="I14" i="194" s="1"/>
  <c r="I15" i="194" a="1"/>
  <c r="I15" i="194" s="1"/>
  <c r="I16" i="194" a="1"/>
  <c r="I16" i="194" s="1"/>
  <c r="I17" i="194" a="1"/>
  <c r="I17" i="194" s="1"/>
  <c r="I18" i="194" a="1"/>
  <c r="I18" i="194" s="1"/>
  <c r="I19" i="194" a="1"/>
  <c r="I19" i="194" s="1"/>
  <c r="I20" i="194" a="1"/>
  <c r="I20" i="194" s="1"/>
  <c r="I21" i="194" a="1"/>
  <c r="I21" i="194" s="1"/>
  <c r="I22" i="194" a="1"/>
  <c r="I22" i="194" s="1"/>
  <c r="AB21" i="176"/>
  <c r="AB22" i="176"/>
  <c r="Y21" i="176"/>
  <c r="Z21" i="176" s="1"/>
  <c r="BC21" i="176" s="1"/>
  <c r="Y22" i="176"/>
  <c r="Z22" i="176" s="1"/>
  <c r="V21" i="176"/>
  <c r="W21" i="176" s="1"/>
  <c r="V22" i="176"/>
  <c r="W22" i="176" s="1"/>
  <c r="U21" i="176"/>
  <c r="X21" i="176" s="1"/>
  <c r="U22" i="176"/>
  <c r="X22" i="176" s="1"/>
  <c r="R21" i="176"/>
  <c r="R22" i="176"/>
  <c r="P22" i="176"/>
  <c r="P21" i="176"/>
  <c r="H22" i="176"/>
  <c r="H21" i="176"/>
  <c r="G9" i="180"/>
  <c r="AT7" i="119"/>
  <c r="AT6" i="119"/>
  <c r="E16" i="188" a="1"/>
  <c r="E16" i="188" s="1"/>
  <c r="C11" i="188"/>
  <c r="H8" i="180"/>
  <c r="I8" i="180"/>
  <c r="H9" i="180"/>
  <c r="I9" i="180"/>
  <c r="C15" i="188"/>
  <c r="C9" i="188"/>
  <c r="B22" i="188"/>
  <c r="B23" i="188"/>
  <c r="F16" i="188"/>
  <c r="AW21" i="176" l="1"/>
  <c r="AS21" i="176"/>
  <c r="AR21" i="176"/>
  <c r="L13" i="120"/>
  <c r="M13" i="120"/>
  <c r="R8" i="120"/>
  <c r="R18" i="120"/>
  <c r="X18" i="120" s="1"/>
  <c r="K23" i="120"/>
  <c r="T15" i="194"/>
  <c r="W15" i="194" s="1"/>
  <c r="M21" i="120"/>
  <c r="T15" i="120"/>
  <c r="Q23" i="120"/>
  <c r="K18" i="120"/>
  <c r="T28" i="194"/>
  <c r="W28" i="194" s="1"/>
  <c r="N21" i="120"/>
  <c r="T35" i="194"/>
  <c r="V35" i="194" s="1"/>
  <c r="AA15" i="194"/>
  <c r="AC15" i="194" s="1"/>
  <c r="S16" i="120"/>
  <c r="U16" i="120" s="1"/>
  <c r="T19" i="120"/>
  <c r="M12" i="120"/>
  <c r="T27" i="194"/>
  <c r="V27" i="194" s="1"/>
  <c r="T32" i="194"/>
  <c r="W32" i="194" s="1"/>
  <c r="K13" i="120"/>
  <c r="Q22" i="120"/>
  <c r="U22" i="120" s="1"/>
  <c r="T26" i="194"/>
  <c r="V26" i="194" s="1"/>
  <c r="N22" i="120"/>
  <c r="M22" i="120"/>
  <c r="S18" i="120"/>
  <c r="U18" i="120" s="1"/>
  <c r="N12" i="120"/>
  <c r="N8" i="120"/>
  <c r="R14" i="120"/>
  <c r="X14" i="120" s="1"/>
  <c r="Q7" i="120"/>
  <c r="U7" i="120" s="1"/>
  <c r="Q11" i="120"/>
  <c r="U11" i="120" s="1"/>
  <c r="AA16" i="194"/>
  <c r="AC16" i="194" s="1"/>
  <c r="M14" i="120"/>
  <c r="N14" i="120"/>
  <c r="Q20" i="120"/>
  <c r="U17" i="120"/>
  <c r="L21" i="120"/>
  <c r="S23" i="120"/>
  <c r="M18" i="120"/>
  <c r="Q12" i="120"/>
  <c r="U12" i="120" s="1"/>
  <c r="T9" i="120"/>
  <c r="L18" i="120"/>
  <c r="R17" i="120"/>
  <c r="L12" i="120"/>
  <c r="AA20" i="194"/>
  <c r="AC20" i="194" s="1"/>
  <c r="M8" i="120"/>
  <c r="L8" i="120"/>
  <c r="T7" i="194"/>
  <c r="V7" i="194" s="1"/>
  <c r="T30" i="194"/>
  <c r="W30" i="194" s="1"/>
  <c r="AA18" i="194"/>
  <c r="AC18" i="194" s="1"/>
  <c r="R16" i="120"/>
  <c r="X16" i="120" s="1"/>
  <c r="N11" i="120"/>
  <c r="M11" i="120"/>
  <c r="AU21" i="176"/>
  <c r="AV21" i="176"/>
  <c r="AT21" i="176"/>
  <c r="BB21" i="176"/>
  <c r="M19" i="120"/>
  <c r="M17" i="120"/>
  <c r="S14" i="120"/>
  <c r="U14" i="120" s="1"/>
  <c r="Q10" i="120"/>
  <c r="U10" i="120" s="1"/>
  <c r="T22" i="194"/>
  <c r="V22" i="194" s="1"/>
  <c r="T10" i="194"/>
  <c r="V10" i="194" s="1"/>
  <c r="X23" i="120"/>
  <c r="T20" i="194"/>
  <c r="V20" i="194" s="1"/>
  <c r="N23" i="120"/>
  <c r="M7" i="120"/>
  <c r="M23" i="120"/>
  <c r="T11" i="120"/>
  <c r="X11" i="120" s="1"/>
  <c r="L7" i="120"/>
  <c r="L23" i="120"/>
  <c r="S20" i="120"/>
  <c r="N16" i="120"/>
  <c r="M9" i="120"/>
  <c r="K7" i="120"/>
  <c r="T29" i="194"/>
  <c r="V29" i="194" s="1"/>
  <c r="T17" i="194"/>
  <c r="W17" i="194" s="1"/>
  <c r="T8" i="194"/>
  <c r="V8" i="194" s="1"/>
  <c r="AA19" i="194"/>
  <c r="AC19" i="194" s="1"/>
  <c r="T12" i="194"/>
  <c r="V12" i="194" s="1"/>
  <c r="M16" i="120"/>
  <c r="Q13" i="120"/>
  <c r="U13" i="120" s="1"/>
  <c r="K9" i="120"/>
  <c r="T36" i="194"/>
  <c r="V36" i="194" s="1"/>
  <c r="T16" i="194"/>
  <c r="V16" i="194" s="1"/>
  <c r="AA7" i="194"/>
  <c r="AC7" i="194" s="1"/>
  <c r="AA26" i="194"/>
  <c r="AD26" i="194" s="1"/>
  <c r="T37" i="194"/>
  <c r="V37" i="194" s="1"/>
  <c r="T10" i="120"/>
  <c r="V10" i="120" s="1"/>
  <c r="AA36" i="194"/>
  <c r="AC36" i="194" s="1"/>
  <c r="AA17" i="194"/>
  <c r="AD17" i="194" s="1"/>
  <c r="W8" i="120"/>
  <c r="AA27" i="194"/>
  <c r="AC27" i="194" s="1"/>
  <c r="AA22" i="194"/>
  <c r="AC22" i="194" s="1"/>
  <c r="N19" i="120"/>
  <c r="N17" i="120"/>
  <c r="AA24" i="194"/>
  <c r="T24" i="194"/>
  <c r="T11" i="194"/>
  <c r="AA11" i="194"/>
  <c r="AA21" i="194"/>
  <c r="T21" i="194"/>
  <c r="T33" i="194"/>
  <c r="V33" i="194" s="1"/>
  <c r="AA33" i="194"/>
  <c r="AC33" i="194" s="1"/>
  <c r="U21" i="120"/>
  <c r="AA9" i="194"/>
  <c r="T23" i="194"/>
  <c r="V23" i="194" s="1"/>
  <c r="AA23" i="194"/>
  <c r="AC23" i="194" s="1"/>
  <c r="BB22" i="176"/>
  <c r="BC22" i="176"/>
  <c r="T34" i="194"/>
  <c r="AA34" i="194"/>
  <c r="T31" i="194"/>
  <c r="AA31" i="194"/>
  <c r="O23" i="194"/>
  <c r="P23" i="194"/>
  <c r="U15" i="120"/>
  <c r="W15" i="120"/>
  <c r="U9" i="120"/>
  <c r="W9" i="120"/>
  <c r="AA14" i="194"/>
  <c r="T14" i="194"/>
  <c r="T25" i="194"/>
  <c r="V25" i="194" s="1"/>
  <c r="AA13" i="194"/>
  <c r="AC13" i="194" s="1"/>
  <c r="T13" i="194"/>
  <c r="V13" i="194" s="1"/>
  <c r="U19" i="120"/>
  <c r="W19" i="120"/>
  <c r="K23" i="194"/>
  <c r="L23" i="194"/>
  <c r="AA30" i="194"/>
  <c r="AC30" i="194" s="1"/>
  <c r="AA37" i="194"/>
  <c r="AC37" i="194" s="1"/>
  <c r="AA25" i="194"/>
  <c r="AC25" i="194" s="1"/>
  <c r="L19" i="120"/>
  <c r="K16" i="120"/>
  <c r="L11" i="120"/>
  <c r="R9" i="120"/>
  <c r="T18" i="194"/>
  <c r="V18" i="194" s="1"/>
  <c r="AA28" i="194"/>
  <c r="AC28" i="194" s="1"/>
  <c r="AA10" i="194"/>
  <c r="AC10" i="194" s="1"/>
  <c r="V20" i="120"/>
  <c r="AA29" i="194"/>
  <c r="L22" i="120"/>
  <c r="L17" i="120"/>
  <c r="L14" i="120"/>
  <c r="N9" i="120"/>
  <c r="R19" i="120"/>
  <c r="AA32" i="194"/>
  <c r="AC32" i="194" s="1"/>
  <c r="T19" i="194"/>
  <c r="T9" i="194"/>
  <c r="AA8" i="194"/>
  <c r="AC8" i="194" s="1"/>
  <c r="T21" i="120"/>
  <c r="R15" i="120"/>
  <c r="T13" i="120"/>
  <c r="X13" i="120" s="1"/>
  <c r="AA12" i="194"/>
  <c r="AD12" i="194" s="1"/>
  <c r="R21" i="120"/>
  <c r="T8" i="120"/>
  <c r="AA35" i="194"/>
  <c r="AC35" i="194" s="1"/>
  <c r="BA22" i="176"/>
  <c r="AQ22" i="176"/>
  <c r="AR22" i="176"/>
  <c r="AZ22" i="176"/>
  <c r="AP22" i="176"/>
  <c r="AU22" i="176"/>
  <c r="AX22" i="176"/>
  <c r="AS22" i="176"/>
  <c r="AT22" i="176"/>
  <c r="AY22" i="176"/>
  <c r="AV22" i="176"/>
  <c r="AW22" i="176"/>
  <c r="AQ21" i="176"/>
  <c r="AP21" i="176"/>
  <c r="V23" i="120"/>
  <c r="X20" i="120"/>
  <c r="G8" i="180"/>
  <c r="J8" i="180" s="1"/>
  <c r="K8" i="180" s="1"/>
  <c r="BA21" i="176"/>
  <c r="AZ21" i="176"/>
  <c r="AY21" i="176"/>
  <c r="W21" i="120"/>
  <c r="U8" i="120"/>
  <c r="AX21" i="176"/>
  <c r="W17" i="120"/>
  <c r="N20" i="120"/>
  <c r="N15" i="120"/>
  <c r="N10" i="120"/>
  <c r="M20" i="120"/>
  <c r="M15" i="120"/>
  <c r="M10" i="120"/>
  <c r="T22" i="120"/>
  <c r="V22" i="120" s="1"/>
  <c r="L20" i="120"/>
  <c r="T17" i="120"/>
  <c r="L15" i="120"/>
  <c r="T12" i="120"/>
  <c r="V12" i="120" s="1"/>
  <c r="L10" i="120"/>
  <c r="T7" i="120"/>
  <c r="V7" i="120" s="1"/>
  <c r="O22" i="194"/>
  <c r="P22" i="194"/>
  <c r="K22" i="194"/>
  <c r="L22" i="194"/>
  <c r="J9" i="180"/>
  <c r="K9" i="180" s="1"/>
  <c r="V28" i="194" l="1"/>
  <c r="V8" i="120"/>
  <c r="X8" i="120"/>
  <c r="V32" i="194"/>
  <c r="W27" i="194"/>
  <c r="V30" i="194"/>
  <c r="V15" i="194"/>
  <c r="V18" i="120"/>
  <c r="AD7" i="194"/>
  <c r="AD20" i="194"/>
  <c r="W7" i="120"/>
  <c r="W12" i="194"/>
  <c r="V16" i="120"/>
  <c r="W18" i="120"/>
  <c r="W23" i="120"/>
  <c r="W16" i="194"/>
  <c r="W26" i="194"/>
  <c r="V14" i="120"/>
  <c r="W16" i="120"/>
  <c r="AD37" i="194"/>
  <c r="W35" i="194"/>
  <c r="W22" i="120"/>
  <c r="AD16" i="194"/>
  <c r="AD15" i="194"/>
  <c r="U20" i="120"/>
  <c r="AD36" i="194"/>
  <c r="AC12" i="194"/>
  <c r="AD28" i="194"/>
  <c r="W25" i="194"/>
  <c r="W11" i="120"/>
  <c r="V11" i="120"/>
  <c r="W10" i="194"/>
  <c r="AD19" i="194"/>
  <c r="U23" i="120"/>
  <c r="W7" i="194"/>
  <c r="AD25" i="194"/>
  <c r="AC17" i="194"/>
  <c r="V17" i="194"/>
  <c r="W14" i="120"/>
  <c r="X10" i="120"/>
  <c r="AD30" i="194"/>
  <c r="AD23" i="194"/>
  <c r="W36" i="194"/>
  <c r="V17" i="120"/>
  <c r="W29" i="194"/>
  <c r="X21" i="120"/>
  <c r="AD18" i="194"/>
  <c r="W20" i="120"/>
  <c r="AD27" i="194"/>
  <c r="W12" i="120"/>
  <c r="W13" i="120"/>
  <c r="W22" i="194"/>
  <c r="AD33" i="194"/>
  <c r="W20" i="194"/>
  <c r="W10" i="120"/>
  <c r="W37" i="194"/>
  <c r="W8" i="194"/>
  <c r="AD35" i="194"/>
  <c r="AD10" i="194"/>
  <c r="AC26" i="194"/>
  <c r="W33" i="194"/>
  <c r="AD22" i="194"/>
  <c r="X12" i="120"/>
  <c r="AD8" i="194"/>
  <c r="AD32" i="194"/>
  <c r="X17" i="120"/>
  <c r="AD13" i="194"/>
  <c r="AC29" i="194"/>
  <c r="AD29" i="194"/>
  <c r="AC9" i="194"/>
  <c r="AD9" i="194"/>
  <c r="V34" i="194"/>
  <c r="W34" i="194"/>
  <c r="X15" i="120"/>
  <c r="V15" i="120"/>
  <c r="V13" i="120"/>
  <c r="AD14" i="194"/>
  <c r="AC14" i="194"/>
  <c r="V9" i="194"/>
  <c r="W9" i="194"/>
  <c r="X9" i="120"/>
  <c r="V9" i="120"/>
  <c r="AC34" i="194"/>
  <c r="AD34" i="194"/>
  <c r="X7" i="120"/>
  <c r="W19" i="194"/>
  <c r="V19" i="194"/>
  <c r="W21" i="194"/>
  <c r="V21" i="194"/>
  <c r="W13" i="194"/>
  <c r="AD21" i="194"/>
  <c r="AC21" i="194"/>
  <c r="AC11" i="194"/>
  <c r="AD11" i="194"/>
  <c r="W18" i="194"/>
  <c r="W23" i="194"/>
  <c r="V19" i="120"/>
  <c r="X19" i="120"/>
  <c r="V11" i="194"/>
  <c r="W11" i="194"/>
  <c r="V21" i="120"/>
  <c r="AD31" i="194"/>
  <c r="AC31" i="194"/>
  <c r="V24" i="194"/>
  <c r="W24" i="194"/>
  <c r="V14" i="194"/>
  <c r="W14" i="194"/>
  <c r="V31" i="194"/>
  <c r="W31" i="194"/>
  <c r="AC24" i="194"/>
  <c r="AD24" i="194"/>
  <c r="X22" i="120"/>
  <c r="F6" i="182"/>
  <c r="G7" i="180" l="1"/>
  <c r="G10" i="180"/>
  <c r="G11" i="180"/>
  <c r="G6" i="180"/>
  <c r="F7" i="184"/>
  <c r="F8" i="184"/>
  <c r="F6" i="184"/>
  <c r="G7" i="187"/>
  <c r="H7" i="187" s="1"/>
  <c r="G6" i="187"/>
  <c r="H6" i="187" s="1"/>
  <c r="E7" i="188"/>
  <c r="AC26" i="176"/>
  <c r="AC25" i="176"/>
  <c r="AC24" i="176"/>
  <c r="AC23" i="176"/>
  <c r="AC20" i="176"/>
  <c r="AC19" i="176"/>
  <c r="AC18" i="176"/>
  <c r="AC15" i="176"/>
  <c r="AC16" i="176"/>
  <c r="AC17" i="176"/>
  <c r="AC14" i="176"/>
  <c r="AC13" i="176"/>
  <c r="AC12" i="176"/>
  <c r="AC11" i="176"/>
  <c r="AC10" i="176"/>
  <c r="AC9" i="176"/>
  <c r="AB26" i="176"/>
  <c r="AB25" i="176"/>
  <c r="AB24" i="176"/>
  <c r="AB19" i="176"/>
  <c r="AB20" i="176"/>
  <c r="AB23" i="176"/>
  <c r="AB12" i="176"/>
  <c r="AB13" i="176"/>
  <c r="AB14" i="176"/>
  <c r="AB15" i="176"/>
  <c r="AB16" i="176"/>
  <c r="AB17" i="176"/>
  <c r="AB18" i="176"/>
  <c r="AB10" i="176"/>
  <c r="AB11" i="176"/>
  <c r="AB9" i="176"/>
  <c r="AC8" i="176"/>
  <c r="AB8" i="176"/>
  <c r="AA26" i="176"/>
  <c r="AA25" i="176"/>
  <c r="AA24" i="176"/>
  <c r="AA23" i="176"/>
  <c r="AA20" i="176"/>
  <c r="AA19" i="176"/>
  <c r="AA18" i="176"/>
  <c r="AA13" i="176"/>
  <c r="AA14" i="176"/>
  <c r="AA15" i="176"/>
  <c r="AA16" i="176"/>
  <c r="AA17" i="176"/>
  <c r="AA12" i="176"/>
  <c r="AA11" i="176"/>
  <c r="AA10" i="176"/>
  <c r="AA9" i="176"/>
  <c r="AA8" i="176"/>
  <c r="D16" i="192"/>
  <c r="D13" i="192"/>
  <c r="U23" i="176"/>
  <c r="X23" i="176" s="1"/>
  <c r="V23" i="176"/>
  <c r="W23" i="176" s="1"/>
  <c r="Y23" i="176"/>
  <c r="Z23" i="176" s="1"/>
  <c r="U24" i="176"/>
  <c r="X24" i="176" s="1"/>
  <c r="AV24" i="176" s="1"/>
  <c r="V24" i="176"/>
  <c r="W24" i="176" s="1"/>
  <c r="Y24" i="176"/>
  <c r="Z24" i="176" s="1"/>
  <c r="U25" i="176"/>
  <c r="X25" i="176" s="1"/>
  <c r="V25" i="176"/>
  <c r="W25" i="176" s="1"/>
  <c r="Y25" i="176"/>
  <c r="Z25" i="176" s="1"/>
  <c r="BB25" i="176" s="1"/>
  <c r="U26" i="176"/>
  <c r="X26" i="176" s="1"/>
  <c r="V26" i="176"/>
  <c r="W26" i="176" s="1"/>
  <c r="Y26" i="176"/>
  <c r="Z26" i="176" s="1"/>
  <c r="BC26" i="176" s="1"/>
  <c r="R23" i="176"/>
  <c r="R24" i="176"/>
  <c r="R25" i="176"/>
  <c r="R26" i="176"/>
  <c r="BA26" i="176" l="1"/>
  <c r="I31" i="192"/>
  <c r="G40" i="192" s="1"/>
  <c r="AR25" i="176"/>
  <c r="AP25" i="176"/>
  <c r="AQ25" i="176"/>
  <c r="BA24" i="176"/>
  <c r="AU24" i="176"/>
  <c r="AR24" i="176"/>
  <c r="AQ24" i="176"/>
  <c r="AT24" i="176"/>
  <c r="AP24" i="176"/>
  <c r="AS24" i="176"/>
  <c r="BC23" i="176"/>
  <c r="BB23" i="176"/>
  <c r="BB24" i="176"/>
  <c r="BC24" i="176"/>
  <c r="AV23" i="176"/>
  <c r="AW23" i="176"/>
  <c r="AZ23" i="176"/>
  <c r="BA23" i="176"/>
  <c r="AS23" i="176"/>
  <c r="AT23" i="176"/>
  <c r="AU23" i="176"/>
  <c r="AP23" i="176"/>
  <c r="AQ23" i="176"/>
  <c r="AR23" i="176"/>
  <c r="AX23" i="176"/>
  <c r="AY23" i="176"/>
  <c r="BB26" i="176"/>
  <c r="AX26" i="176"/>
  <c r="AW26" i="176"/>
  <c r="AT26" i="176"/>
  <c r="AZ25" i="176"/>
  <c r="AS26" i="176"/>
  <c r="AY25" i="176"/>
  <c r="BC25" i="176"/>
  <c r="AV26" i="176"/>
  <c r="AU26" i="176"/>
  <c r="BA25" i="176"/>
  <c r="AR26" i="176"/>
  <c r="AX25" i="176"/>
  <c r="AZ26" i="176"/>
  <c r="AY26" i="176"/>
  <c r="AQ26" i="176"/>
  <c r="AW25" i="176"/>
  <c r="AP26" i="176"/>
  <c r="AV25" i="176"/>
  <c r="AZ24" i="176"/>
  <c r="AU25" i="176"/>
  <c r="AY24" i="176"/>
  <c r="AT25" i="176"/>
  <c r="AX24" i="176"/>
  <c r="AS25" i="176"/>
  <c r="AW24" i="176"/>
  <c r="G42" i="192" l="1"/>
  <c r="G43" i="192"/>
  <c r="G44" i="192"/>
  <c r="G41" i="192"/>
  <c r="I24" i="179" a="1"/>
  <c r="I24" i="179" s="1"/>
  <c r="J24" i="179" a="1"/>
  <c r="J24" i="179" s="1"/>
  <c r="K24" i="179" a="1"/>
  <c r="K24" i="179" s="1"/>
  <c r="N24" i="179" a="1"/>
  <c r="N24" i="179" s="1"/>
  <c r="O24" i="179" a="1"/>
  <c r="O24" i="179" s="1"/>
  <c r="P24" i="179" a="1"/>
  <c r="P24" i="179" s="1"/>
  <c r="I25" i="179" a="1"/>
  <c r="I25" i="179" s="1"/>
  <c r="J25" i="179" a="1"/>
  <c r="J25" i="179" s="1"/>
  <c r="K25" i="179" a="1"/>
  <c r="K25" i="179" s="1"/>
  <c r="N25" i="179" a="1"/>
  <c r="N25" i="179" s="1"/>
  <c r="O25" i="179" a="1"/>
  <c r="O25" i="179" s="1"/>
  <c r="P25" i="179" a="1"/>
  <c r="P25" i="179" s="1"/>
  <c r="I26" i="179" a="1"/>
  <c r="I26" i="179" s="1"/>
  <c r="J26" i="179" a="1"/>
  <c r="J26" i="179" s="1"/>
  <c r="K26" i="179" a="1"/>
  <c r="K26" i="179" s="1"/>
  <c r="N26" i="179" a="1"/>
  <c r="N26" i="179" s="1"/>
  <c r="O26" i="179" a="1"/>
  <c r="O26" i="179" s="1"/>
  <c r="P26" i="179" a="1"/>
  <c r="P26" i="179" s="1"/>
  <c r="I27" i="179" a="1"/>
  <c r="I27" i="179" s="1"/>
  <c r="J27" i="179" a="1"/>
  <c r="J27" i="179" s="1"/>
  <c r="K27" i="179" a="1"/>
  <c r="K27" i="179" s="1"/>
  <c r="N27" i="179" a="1"/>
  <c r="N27" i="179" s="1"/>
  <c r="O27" i="179" a="1"/>
  <c r="O27" i="179" s="1"/>
  <c r="P27" i="179" a="1"/>
  <c r="P27" i="179" s="1"/>
  <c r="I28" i="179" a="1"/>
  <c r="I28" i="179" s="1"/>
  <c r="J28" i="179" a="1"/>
  <c r="J28" i="179" s="1"/>
  <c r="K28" i="179" a="1"/>
  <c r="K28" i="179" s="1"/>
  <c r="N28" i="179" a="1"/>
  <c r="N28" i="179" s="1"/>
  <c r="O28" i="179" a="1"/>
  <c r="O28" i="179" s="1"/>
  <c r="P28" i="179" a="1"/>
  <c r="P28" i="179" s="1"/>
  <c r="I29" i="179" a="1"/>
  <c r="I29" i="179" s="1"/>
  <c r="J29" i="179" a="1"/>
  <c r="J29" i="179" s="1"/>
  <c r="K29" i="179" a="1"/>
  <c r="K29" i="179" s="1"/>
  <c r="N29" i="179" a="1"/>
  <c r="N29" i="179" s="1"/>
  <c r="O29" i="179" a="1"/>
  <c r="O29" i="179" s="1"/>
  <c r="P29" i="179" a="1"/>
  <c r="P29" i="179" s="1"/>
  <c r="I30" i="179" a="1"/>
  <c r="I30" i="179" s="1"/>
  <c r="J30" i="179" a="1"/>
  <c r="J30" i="179" s="1"/>
  <c r="K30" i="179" a="1"/>
  <c r="K30" i="179" s="1"/>
  <c r="N30" i="179" a="1"/>
  <c r="N30" i="179" s="1"/>
  <c r="O30" i="179" a="1"/>
  <c r="O30" i="179" s="1"/>
  <c r="P30" i="179" a="1"/>
  <c r="P30" i="179" s="1"/>
  <c r="I31" i="179" a="1"/>
  <c r="I31" i="179" s="1"/>
  <c r="J31" i="179" a="1"/>
  <c r="J31" i="179" s="1"/>
  <c r="K31" i="179" a="1"/>
  <c r="K31" i="179" s="1"/>
  <c r="N31" i="179" a="1"/>
  <c r="N31" i="179" s="1"/>
  <c r="O31" i="179" a="1"/>
  <c r="O31" i="179" s="1"/>
  <c r="P31" i="179" a="1"/>
  <c r="P31" i="179" s="1"/>
  <c r="I32" i="179" a="1"/>
  <c r="I32" i="179" s="1"/>
  <c r="J32" i="179" a="1"/>
  <c r="J32" i="179" s="1"/>
  <c r="K32" i="179" a="1"/>
  <c r="K32" i="179" s="1"/>
  <c r="N32" i="179" a="1"/>
  <c r="N32" i="179" s="1"/>
  <c r="O32" i="179" a="1"/>
  <c r="O32" i="179" s="1"/>
  <c r="P32" i="179" a="1"/>
  <c r="P32" i="179" s="1"/>
  <c r="I33" i="179" a="1"/>
  <c r="I33" i="179" s="1"/>
  <c r="J33" i="179" a="1"/>
  <c r="J33" i="179" s="1"/>
  <c r="K33" i="179" a="1"/>
  <c r="K33" i="179" s="1"/>
  <c r="N33" i="179" a="1"/>
  <c r="N33" i="179" s="1"/>
  <c r="O33" i="179" a="1"/>
  <c r="O33" i="179" s="1"/>
  <c r="P33" i="179" a="1"/>
  <c r="P33" i="179" s="1"/>
  <c r="I34" i="179" a="1"/>
  <c r="I34" i="179" s="1"/>
  <c r="J34" i="179" a="1"/>
  <c r="J34" i="179" s="1"/>
  <c r="K34" i="179" a="1"/>
  <c r="K34" i="179" s="1"/>
  <c r="N34" i="179" a="1"/>
  <c r="N34" i="179" s="1"/>
  <c r="O34" i="179" a="1"/>
  <c r="O34" i="179" s="1"/>
  <c r="P34" i="179" a="1"/>
  <c r="P34" i="179" s="1"/>
  <c r="I35" i="179" a="1"/>
  <c r="I35" i="179" s="1"/>
  <c r="J35" i="179" a="1"/>
  <c r="J35" i="179" s="1"/>
  <c r="K35" i="179" a="1"/>
  <c r="K35" i="179" s="1"/>
  <c r="N35" i="179" a="1"/>
  <c r="N35" i="179" s="1"/>
  <c r="O35" i="179" a="1"/>
  <c r="O35" i="179" s="1"/>
  <c r="P35" i="179" a="1"/>
  <c r="P35" i="179" s="1"/>
  <c r="I24" i="153" l="1" a="1"/>
  <c r="I24" i="153" s="1"/>
  <c r="J24" i="153" a="1"/>
  <c r="J24" i="153" s="1"/>
  <c r="K24" i="153" a="1"/>
  <c r="K24" i="153" s="1"/>
  <c r="N24" i="153" a="1"/>
  <c r="N24" i="153" s="1"/>
  <c r="O24" i="153" a="1"/>
  <c r="O24" i="153" s="1"/>
  <c r="P24" i="153" a="1"/>
  <c r="P24" i="153" s="1"/>
  <c r="I25" i="153" a="1"/>
  <c r="I25" i="153" s="1"/>
  <c r="J25" i="153" a="1"/>
  <c r="J25" i="153" s="1"/>
  <c r="K25" i="153" a="1"/>
  <c r="K25" i="153" s="1"/>
  <c r="N25" i="153" a="1"/>
  <c r="N25" i="153" s="1"/>
  <c r="O25" i="153" a="1"/>
  <c r="O25" i="153" s="1"/>
  <c r="P25" i="153" a="1"/>
  <c r="P25" i="153" s="1"/>
  <c r="I26" i="153" a="1"/>
  <c r="I26" i="153" s="1"/>
  <c r="J26" i="153" a="1"/>
  <c r="J26" i="153" s="1"/>
  <c r="K26" i="153" a="1"/>
  <c r="K26" i="153" s="1"/>
  <c r="N26" i="153" a="1"/>
  <c r="N26" i="153" s="1"/>
  <c r="O26" i="153" a="1"/>
  <c r="O26" i="153" s="1"/>
  <c r="P26" i="153" a="1"/>
  <c r="P26" i="153" s="1"/>
  <c r="I27" i="153" a="1"/>
  <c r="I27" i="153" s="1"/>
  <c r="J27" i="153" a="1"/>
  <c r="J27" i="153" s="1"/>
  <c r="K27" i="153" a="1"/>
  <c r="K27" i="153" s="1"/>
  <c r="N27" i="153" a="1"/>
  <c r="N27" i="153" s="1"/>
  <c r="O27" i="153" a="1"/>
  <c r="O27" i="153" s="1"/>
  <c r="P27" i="153" a="1"/>
  <c r="P27" i="153" s="1"/>
  <c r="I28" i="153" a="1"/>
  <c r="I28" i="153" s="1"/>
  <c r="J28" i="153" a="1"/>
  <c r="J28" i="153" s="1"/>
  <c r="K28" i="153" a="1"/>
  <c r="K28" i="153" s="1"/>
  <c r="N28" i="153" a="1"/>
  <c r="N28" i="153" s="1"/>
  <c r="O28" i="153" a="1"/>
  <c r="O28" i="153" s="1"/>
  <c r="P28" i="153" a="1"/>
  <c r="P28" i="153" s="1"/>
  <c r="I29" i="153" a="1"/>
  <c r="I29" i="153" s="1"/>
  <c r="J29" i="153" a="1"/>
  <c r="J29" i="153" s="1"/>
  <c r="K29" i="153" a="1"/>
  <c r="K29" i="153" s="1"/>
  <c r="N29" i="153" a="1"/>
  <c r="N29" i="153" s="1"/>
  <c r="O29" i="153" a="1"/>
  <c r="O29" i="153" s="1"/>
  <c r="P29" i="153" a="1"/>
  <c r="P29" i="153" s="1"/>
  <c r="I30" i="153" a="1"/>
  <c r="I30" i="153" s="1"/>
  <c r="J30" i="153" a="1"/>
  <c r="J30" i="153" s="1"/>
  <c r="K30" i="153" a="1"/>
  <c r="K30" i="153" s="1"/>
  <c r="N30" i="153" a="1"/>
  <c r="N30" i="153" s="1"/>
  <c r="O30" i="153" a="1"/>
  <c r="O30" i="153" s="1"/>
  <c r="P30" i="153" a="1"/>
  <c r="P30" i="153" s="1"/>
  <c r="I31" i="153" a="1"/>
  <c r="I31" i="153" s="1"/>
  <c r="J31" i="153" a="1"/>
  <c r="J31" i="153" s="1"/>
  <c r="K31" i="153" a="1"/>
  <c r="K31" i="153" s="1"/>
  <c r="N31" i="153" a="1"/>
  <c r="N31" i="153" s="1"/>
  <c r="O31" i="153" a="1"/>
  <c r="O31" i="153" s="1"/>
  <c r="P31" i="153" a="1"/>
  <c r="P31" i="153" s="1"/>
  <c r="I32" i="153" a="1"/>
  <c r="I32" i="153" s="1"/>
  <c r="J32" i="153" a="1"/>
  <c r="J32" i="153" s="1"/>
  <c r="K32" i="153" a="1"/>
  <c r="K32" i="153" s="1"/>
  <c r="N32" i="153" a="1"/>
  <c r="N32" i="153" s="1"/>
  <c r="O32" i="153" a="1"/>
  <c r="O32" i="153" s="1"/>
  <c r="P32" i="153" a="1"/>
  <c r="P32" i="153" s="1"/>
  <c r="I33" i="153" a="1"/>
  <c r="I33" i="153" s="1"/>
  <c r="J33" i="153" a="1"/>
  <c r="J33" i="153" s="1"/>
  <c r="K33" i="153" a="1"/>
  <c r="K33" i="153" s="1"/>
  <c r="N33" i="153" a="1"/>
  <c r="N33" i="153" s="1"/>
  <c r="O33" i="153" a="1"/>
  <c r="O33" i="153" s="1"/>
  <c r="P33" i="153" a="1"/>
  <c r="P33" i="153" s="1"/>
  <c r="I34" i="153" a="1"/>
  <c r="I34" i="153" s="1"/>
  <c r="J34" i="153" a="1"/>
  <c r="J34" i="153" s="1"/>
  <c r="K34" i="153" a="1"/>
  <c r="K34" i="153" s="1"/>
  <c r="N34" i="153" a="1"/>
  <c r="N34" i="153" s="1"/>
  <c r="O34" i="153" a="1"/>
  <c r="O34" i="153" s="1"/>
  <c r="P34" i="153" a="1"/>
  <c r="P34" i="153" s="1"/>
  <c r="I35" i="153" a="1"/>
  <c r="I35" i="153" s="1"/>
  <c r="J35" i="153" a="1"/>
  <c r="J35" i="153" s="1"/>
  <c r="K35" i="153" a="1"/>
  <c r="K35" i="153" s="1"/>
  <c r="N35" i="153" a="1"/>
  <c r="N35" i="153" s="1"/>
  <c r="O35" i="153" a="1"/>
  <c r="O35" i="153" s="1"/>
  <c r="P35" i="153" a="1"/>
  <c r="P35" i="153" s="1"/>
  <c r="I24" i="120" l="1"/>
  <c r="L24" i="120" s="1"/>
  <c r="J24" i="120"/>
  <c r="O24" i="120"/>
  <c r="Q24" i="120" s="1"/>
  <c r="P24" i="120"/>
  <c r="S24" i="120" s="1"/>
  <c r="I25" i="120"/>
  <c r="N25" i="120" s="1"/>
  <c r="J25" i="120"/>
  <c r="O25" i="120"/>
  <c r="Q25" i="120" s="1"/>
  <c r="P25" i="120"/>
  <c r="S25" i="120" s="1"/>
  <c r="I26" i="120"/>
  <c r="N26" i="120" s="1"/>
  <c r="J26" i="120"/>
  <c r="O26" i="120"/>
  <c r="Q26" i="120" s="1"/>
  <c r="P26" i="120"/>
  <c r="T26" i="120" s="1"/>
  <c r="I27" i="120"/>
  <c r="K27" i="120" s="1"/>
  <c r="J27" i="120"/>
  <c r="O27" i="120"/>
  <c r="Q27" i="120" s="1"/>
  <c r="P27" i="120"/>
  <c r="S27" i="120" s="1"/>
  <c r="I28" i="120"/>
  <c r="L28" i="120" s="1"/>
  <c r="J28" i="120"/>
  <c r="O28" i="120"/>
  <c r="Q28" i="120" s="1"/>
  <c r="P28" i="120"/>
  <c r="S28" i="120" s="1"/>
  <c r="I37" i="120"/>
  <c r="L37" i="120" s="1"/>
  <c r="J37" i="120"/>
  <c r="O37" i="120"/>
  <c r="Q37" i="120" s="1"/>
  <c r="P37" i="120"/>
  <c r="S37" i="120" s="1"/>
  <c r="I29" i="120"/>
  <c r="M29" i="120" s="1"/>
  <c r="J29" i="120"/>
  <c r="O29" i="120"/>
  <c r="Q29" i="120" s="1"/>
  <c r="P29" i="120"/>
  <c r="S29" i="120" s="1"/>
  <c r="I30" i="120"/>
  <c r="K30" i="120" s="1"/>
  <c r="J30" i="120"/>
  <c r="O30" i="120"/>
  <c r="R30" i="120" s="1"/>
  <c r="P30" i="120"/>
  <c r="T30" i="120" s="1"/>
  <c r="I31" i="120"/>
  <c r="K31" i="120" s="1"/>
  <c r="J31" i="120"/>
  <c r="O31" i="120"/>
  <c r="R31" i="120" s="1"/>
  <c r="P31" i="120"/>
  <c r="S31" i="120" s="1"/>
  <c r="Q31" i="120"/>
  <c r="I32" i="120"/>
  <c r="N32" i="120" s="1"/>
  <c r="J32" i="120"/>
  <c r="O32" i="120"/>
  <c r="Q32" i="120" s="1"/>
  <c r="P32" i="120"/>
  <c r="S32" i="120" s="1"/>
  <c r="I33" i="120"/>
  <c r="L33" i="120" s="1"/>
  <c r="J33" i="120"/>
  <c r="O33" i="120"/>
  <c r="R33" i="120" s="1"/>
  <c r="P33" i="120"/>
  <c r="S33" i="120" s="1"/>
  <c r="I34" i="120"/>
  <c r="K34" i="120" s="1"/>
  <c r="J34" i="120"/>
  <c r="O34" i="120"/>
  <c r="Q34" i="120" s="1"/>
  <c r="P34" i="120"/>
  <c r="S34" i="120" s="1"/>
  <c r="I35" i="120"/>
  <c r="L35" i="120" s="1"/>
  <c r="J35" i="120"/>
  <c r="O35" i="120"/>
  <c r="Q35" i="120" s="1"/>
  <c r="P35" i="120"/>
  <c r="T35" i="120" s="1"/>
  <c r="I36" i="120"/>
  <c r="K36" i="120" s="1"/>
  <c r="J36" i="120"/>
  <c r="O36" i="120"/>
  <c r="Q36" i="120" s="1"/>
  <c r="P36" i="120"/>
  <c r="S36" i="120" s="1"/>
  <c r="M24" i="194" a="1"/>
  <c r="M24" i="194" s="1"/>
  <c r="N24" i="194" a="1"/>
  <c r="N24" i="194" s="1"/>
  <c r="M25" i="194" a="1"/>
  <c r="M25" i="194" s="1"/>
  <c r="N25" i="194" a="1"/>
  <c r="N25" i="194" s="1"/>
  <c r="M26" i="194" a="1"/>
  <c r="M26" i="194" s="1"/>
  <c r="N26" i="194" a="1"/>
  <c r="N26" i="194" s="1"/>
  <c r="M27" i="194" a="1"/>
  <c r="M27" i="194" s="1"/>
  <c r="N27" i="194" a="1"/>
  <c r="N27" i="194" s="1"/>
  <c r="M28" i="194" a="1"/>
  <c r="M28" i="194" s="1"/>
  <c r="N28" i="194" a="1"/>
  <c r="N28" i="194" s="1"/>
  <c r="M37" i="194" a="1"/>
  <c r="M37" i="194" s="1"/>
  <c r="N37" i="194" a="1"/>
  <c r="N37" i="194" s="1"/>
  <c r="M29" i="194" a="1"/>
  <c r="M29" i="194" s="1"/>
  <c r="N29" i="194" a="1"/>
  <c r="N29" i="194" s="1"/>
  <c r="M30" i="194" a="1"/>
  <c r="M30" i="194" s="1"/>
  <c r="N30" i="194" a="1"/>
  <c r="N30" i="194" s="1"/>
  <c r="M31" i="194" a="1"/>
  <c r="M31" i="194" s="1"/>
  <c r="N31" i="194" a="1"/>
  <c r="N31" i="194" s="1"/>
  <c r="M32" i="194" a="1"/>
  <c r="M32" i="194" s="1"/>
  <c r="N32" i="194" a="1"/>
  <c r="N32" i="194" s="1"/>
  <c r="M33" i="194" a="1"/>
  <c r="M33" i="194" s="1"/>
  <c r="N33" i="194" a="1"/>
  <c r="N33" i="194" s="1"/>
  <c r="M34" i="194" a="1"/>
  <c r="M34" i="194" s="1"/>
  <c r="N34" i="194" a="1"/>
  <c r="N34" i="194" s="1"/>
  <c r="M35" i="194" a="1"/>
  <c r="M35" i="194" s="1"/>
  <c r="N35" i="194" a="1"/>
  <c r="N35" i="194" s="1"/>
  <c r="M36" i="194" a="1"/>
  <c r="M36" i="194" s="1"/>
  <c r="N36" i="194" a="1"/>
  <c r="N36" i="194" s="1"/>
  <c r="X6" i="194" a="1"/>
  <c r="X6" i="194" s="1"/>
  <c r="Z6" i="194" a="1"/>
  <c r="Z6" i="194" s="1"/>
  <c r="AB6" i="194" s="1"/>
  <c r="Y6" i="194" a="1"/>
  <c r="Y6" i="194" s="1"/>
  <c r="S6" i="194" a="1"/>
  <c r="S6" i="194" s="1"/>
  <c r="U6" i="194" s="1"/>
  <c r="R6" i="194" a="1"/>
  <c r="R6" i="194" s="1"/>
  <c r="M7" i="194" a="1"/>
  <c r="M7" i="194" s="1"/>
  <c r="N7" i="194" a="1"/>
  <c r="N7" i="194" s="1"/>
  <c r="M8" i="194" a="1"/>
  <c r="M8" i="194" s="1"/>
  <c r="N8" i="194" a="1"/>
  <c r="N8" i="194" s="1"/>
  <c r="M9" i="194" a="1"/>
  <c r="M9" i="194" s="1"/>
  <c r="N9" i="194" a="1"/>
  <c r="N9" i="194" s="1"/>
  <c r="M10" i="194" a="1"/>
  <c r="M10" i="194" s="1"/>
  <c r="N10" i="194" a="1"/>
  <c r="N10" i="194" s="1"/>
  <c r="M11" i="194" a="1"/>
  <c r="M11" i="194" s="1"/>
  <c r="N11" i="194" a="1"/>
  <c r="N11" i="194" s="1"/>
  <c r="M12" i="194" a="1"/>
  <c r="M12" i="194" s="1"/>
  <c r="N12" i="194" a="1"/>
  <c r="N12" i="194" s="1"/>
  <c r="M13" i="194" a="1"/>
  <c r="M13" i="194" s="1"/>
  <c r="N13" i="194" a="1"/>
  <c r="N13" i="194" s="1"/>
  <c r="M14" i="194" a="1"/>
  <c r="M14" i="194" s="1"/>
  <c r="N14" i="194" a="1"/>
  <c r="N14" i="194" s="1"/>
  <c r="M15" i="194" a="1"/>
  <c r="M15" i="194" s="1"/>
  <c r="N15" i="194" a="1"/>
  <c r="N15" i="194" s="1"/>
  <c r="M16" i="194" a="1"/>
  <c r="M16" i="194" s="1"/>
  <c r="N16" i="194" a="1"/>
  <c r="N16" i="194" s="1"/>
  <c r="M17" i="194" a="1"/>
  <c r="M17" i="194" s="1"/>
  <c r="N17" i="194" a="1"/>
  <c r="N17" i="194" s="1"/>
  <c r="M18" i="194" a="1"/>
  <c r="M18" i="194" s="1"/>
  <c r="N18" i="194" a="1"/>
  <c r="N18" i="194" s="1"/>
  <c r="M19" i="194" a="1"/>
  <c r="M19" i="194" s="1"/>
  <c r="N19" i="194" a="1"/>
  <c r="N19" i="194" s="1"/>
  <c r="M20" i="194" a="1"/>
  <c r="M20" i="194" s="1"/>
  <c r="N20" i="194" a="1"/>
  <c r="N20" i="194" s="1"/>
  <c r="M6" i="194" a="1"/>
  <c r="M6" i="194" s="1"/>
  <c r="N6" i="194" a="1"/>
  <c r="N6" i="194" s="1"/>
  <c r="D13" i="191"/>
  <c r="G35" i="191" s="1"/>
  <c r="Q33" i="120" l="1"/>
  <c r="U33" i="120" s="1"/>
  <c r="K35" i="120"/>
  <c r="U28" i="120"/>
  <c r="K24" i="120"/>
  <c r="T36" i="120"/>
  <c r="R28" i="120"/>
  <c r="U27" i="120"/>
  <c r="M26" i="120"/>
  <c r="M32" i="120"/>
  <c r="L26" i="120"/>
  <c r="R35" i="120"/>
  <c r="V35" i="120" s="1"/>
  <c r="L32" i="120"/>
  <c r="K26" i="120"/>
  <c r="K32" i="120"/>
  <c r="T27" i="120"/>
  <c r="R27" i="120"/>
  <c r="N30" i="120"/>
  <c r="M25" i="120"/>
  <c r="L25" i="120"/>
  <c r="Q30" i="120"/>
  <c r="K25" i="120"/>
  <c r="R36" i="120"/>
  <c r="O32" i="194"/>
  <c r="L29" i="120"/>
  <c r="V30" i="120"/>
  <c r="S35" i="120"/>
  <c r="W35" i="120" s="1"/>
  <c r="K29" i="120"/>
  <c r="U37" i="120"/>
  <c r="P32" i="194"/>
  <c r="L27" i="194"/>
  <c r="M30" i="120"/>
  <c r="K34" i="194"/>
  <c r="L30" i="120"/>
  <c r="K28" i="120"/>
  <c r="R37" i="120"/>
  <c r="K29" i="194"/>
  <c r="O29" i="194"/>
  <c r="W27" i="120"/>
  <c r="R26" i="120"/>
  <c r="V26" i="120" s="1"/>
  <c r="K25" i="194"/>
  <c r="U32" i="120"/>
  <c r="U24" i="120"/>
  <c r="S30" i="120"/>
  <c r="N35" i="120"/>
  <c r="R32" i="120"/>
  <c r="R24" i="120"/>
  <c r="M35" i="120"/>
  <c r="K37" i="120"/>
  <c r="S26" i="120"/>
  <c r="W26" i="120" s="1"/>
  <c r="U31" i="120"/>
  <c r="N34" i="120"/>
  <c r="M34" i="120"/>
  <c r="U36" i="120"/>
  <c r="L34" i="120"/>
  <c r="T31" i="120"/>
  <c r="V31" i="120" s="1"/>
  <c r="N29" i="120"/>
  <c r="K33" i="120"/>
  <c r="T28" i="120"/>
  <c r="W28" i="120"/>
  <c r="W31" i="120"/>
  <c r="W32" i="120"/>
  <c r="W36" i="120"/>
  <c r="N28" i="120"/>
  <c r="T32" i="120"/>
  <c r="M28" i="120"/>
  <c r="U34" i="120"/>
  <c r="W34" i="120"/>
  <c r="U25" i="120"/>
  <c r="W25" i="120"/>
  <c r="U29" i="120"/>
  <c r="W29" i="120"/>
  <c r="W37" i="120"/>
  <c r="W24" i="120"/>
  <c r="N36" i="120"/>
  <c r="N31" i="120"/>
  <c r="N27" i="120"/>
  <c r="M36" i="120"/>
  <c r="M31" i="120"/>
  <c r="M27" i="120"/>
  <c r="L36" i="120"/>
  <c r="T33" i="120"/>
  <c r="X33" i="120" s="1"/>
  <c r="L31" i="120"/>
  <c r="T37" i="120"/>
  <c r="L27" i="120"/>
  <c r="T24" i="120"/>
  <c r="T34" i="120"/>
  <c r="X30" i="120"/>
  <c r="T29" i="120"/>
  <c r="T25" i="120"/>
  <c r="R34" i="120"/>
  <c r="N33" i="120"/>
  <c r="R29" i="120"/>
  <c r="N37" i="120"/>
  <c r="R25" i="120"/>
  <c r="N24" i="120"/>
  <c r="M33" i="120"/>
  <c r="M37" i="120"/>
  <c r="M24" i="120"/>
  <c r="L34" i="194"/>
  <c r="O34" i="194"/>
  <c r="K27" i="194"/>
  <c r="L29" i="194"/>
  <c r="K36" i="194"/>
  <c r="L25" i="194"/>
  <c r="K31" i="194"/>
  <c r="K30" i="194"/>
  <c r="L30" i="194"/>
  <c r="O31" i="194"/>
  <c r="P31" i="194"/>
  <c r="K26" i="194"/>
  <c r="L26" i="194"/>
  <c r="O33" i="194"/>
  <c r="P33" i="194"/>
  <c r="L32" i="194"/>
  <c r="K32" i="194"/>
  <c r="O36" i="194"/>
  <c r="P36" i="194"/>
  <c r="P26" i="194"/>
  <c r="O26" i="194"/>
  <c r="P28" i="194"/>
  <c r="O28" i="194"/>
  <c r="K33" i="194"/>
  <c r="L33" i="194"/>
  <c r="O37" i="194"/>
  <c r="P37" i="194"/>
  <c r="K37" i="194"/>
  <c r="L37" i="194"/>
  <c r="K28" i="194"/>
  <c r="L28" i="194"/>
  <c r="O35" i="194"/>
  <c r="P35" i="194"/>
  <c r="O24" i="194"/>
  <c r="P24" i="194"/>
  <c r="O25" i="194"/>
  <c r="P30" i="194"/>
  <c r="O30" i="194"/>
  <c r="O27" i="194"/>
  <c r="P27" i="194"/>
  <c r="K35" i="194"/>
  <c r="L35" i="194"/>
  <c r="K24" i="194"/>
  <c r="L24" i="194"/>
  <c r="P34" i="194"/>
  <c r="P29" i="194"/>
  <c r="P25" i="194"/>
  <c r="L36" i="194"/>
  <c r="L31" i="194"/>
  <c r="G36" i="191"/>
  <c r="AA6" i="194"/>
  <c r="AD6" i="194" s="1"/>
  <c r="O10" i="194"/>
  <c r="K17" i="194"/>
  <c r="T6" i="194"/>
  <c r="V6" i="194" s="1"/>
  <c r="P19" i="194"/>
  <c r="P18" i="194"/>
  <c r="O8" i="194"/>
  <c r="P17" i="194"/>
  <c r="O17" i="194"/>
  <c r="O20" i="194"/>
  <c r="P7" i="194"/>
  <c r="P13" i="194"/>
  <c r="P12" i="194"/>
  <c r="L14" i="194"/>
  <c r="P14" i="194"/>
  <c r="L12" i="194"/>
  <c r="O19" i="194"/>
  <c r="O7" i="194"/>
  <c r="K13" i="194"/>
  <c r="K12" i="194"/>
  <c r="O14" i="194"/>
  <c r="O13" i="194"/>
  <c r="O12" i="194"/>
  <c r="P10" i="194"/>
  <c r="O18" i="194"/>
  <c r="O21" i="194"/>
  <c r="P8" i="194"/>
  <c r="O11" i="194"/>
  <c r="P11" i="194"/>
  <c r="P6" i="194"/>
  <c r="O6" i="194"/>
  <c r="P9" i="194"/>
  <c r="O9" i="194"/>
  <c r="K14" i="194"/>
  <c r="O16" i="194"/>
  <c r="P16" i="194"/>
  <c r="O15" i="194"/>
  <c r="P15" i="194"/>
  <c r="P21" i="194"/>
  <c r="P20" i="194"/>
  <c r="L13" i="194"/>
  <c r="K19" i="194"/>
  <c r="L11" i="194"/>
  <c r="K11" i="194"/>
  <c r="K21" i="194"/>
  <c r="L21" i="194"/>
  <c r="L7" i="194"/>
  <c r="K18" i="194"/>
  <c r="L15" i="194"/>
  <c r="K16" i="194"/>
  <c r="K15" i="194"/>
  <c r="L10" i="194"/>
  <c r="K10" i="194"/>
  <c r="K20" i="194"/>
  <c r="L20" i="194"/>
  <c r="L9" i="194"/>
  <c r="K9" i="194"/>
  <c r="L8" i="194"/>
  <c r="K8" i="194"/>
  <c r="K7" i="194"/>
  <c r="L19" i="194"/>
  <c r="L18" i="194"/>
  <c r="L17" i="194"/>
  <c r="L16" i="194"/>
  <c r="K6" i="194"/>
  <c r="L6" i="194"/>
  <c r="Y9" i="176"/>
  <c r="Z9" i="176" s="1"/>
  <c r="Y10" i="176"/>
  <c r="Z10" i="176" s="1"/>
  <c r="Y11" i="176"/>
  <c r="Z11" i="176" s="1"/>
  <c r="Y12" i="176"/>
  <c r="Z12" i="176" s="1"/>
  <c r="Y13" i="176"/>
  <c r="Z13" i="176" s="1"/>
  <c r="Y14" i="176"/>
  <c r="Z14" i="176" s="1"/>
  <c r="Y15" i="176"/>
  <c r="Z15" i="176" s="1"/>
  <c r="Y16" i="176"/>
  <c r="Z16" i="176" s="1"/>
  <c r="Y17" i="176"/>
  <c r="Z17" i="176" s="1"/>
  <c r="Y18" i="176"/>
  <c r="Z18" i="176" s="1"/>
  <c r="Y19" i="176"/>
  <c r="Z19" i="176" s="1"/>
  <c r="Y20" i="176"/>
  <c r="Z20" i="176" s="1"/>
  <c r="Y8" i="176"/>
  <c r="Z8" i="176" s="1"/>
  <c r="BB8" i="176" s="1"/>
  <c r="I6" i="179" a="1"/>
  <c r="I6" i="179" s="1"/>
  <c r="J6" i="179" a="1"/>
  <c r="J6" i="179" s="1"/>
  <c r="K6" i="179" a="1"/>
  <c r="K6" i="179" s="1"/>
  <c r="N6" i="179" a="1"/>
  <c r="N6" i="179" s="1"/>
  <c r="O6" i="179" a="1"/>
  <c r="O6" i="179" s="1"/>
  <c r="P6" i="179" a="1"/>
  <c r="P6" i="179" s="1"/>
  <c r="I7" i="179" a="1"/>
  <c r="I7" i="179" s="1"/>
  <c r="J7" i="179" a="1"/>
  <c r="J7" i="179" s="1"/>
  <c r="K7" i="179" a="1"/>
  <c r="K7" i="179" s="1"/>
  <c r="N7" i="179" a="1"/>
  <c r="N7" i="179" s="1"/>
  <c r="O7" i="179" a="1"/>
  <c r="O7" i="179" s="1"/>
  <c r="P7" i="179" a="1"/>
  <c r="P7" i="179" s="1"/>
  <c r="I8" i="179" a="1"/>
  <c r="I8" i="179" s="1"/>
  <c r="J8" i="179" a="1"/>
  <c r="J8" i="179" s="1"/>
  <c r="K8" i="179" a="1"/>
  <c r="K8" i="179" s="1"/>
  <c r="N8" i="179" a="1"/>
  <c r="N8" i="179" s="1"/>
  <c r="O8" i="179" a="1"/>
  <c r="O8" i="179" s="1"/>
  <c r="P8" i="179" a="1"/>
  <c r="P8" i="179" s="1"/>
  <c r="I9" i="179" a="1"/>
  <c r="I9" i="179" s="1"/>
  <c r="J9" i="179" a="1"/>
  <c r="J9" i="179" s="1"/>
  <c r="K9" i="179" a="1"/>
  <c r="K9" i="179" s="1"/>
  <c r="N9" i="179" a="1"/>
  <c r="N9" i="179" s="1"/>
  <c r="O9" i="179" a="1"/>
  <c r="O9" i="179" s="1"/>
  <c r="P9" i="179" a="1"/>
  <c r="P9" i="179" s="1"/>
  <c r="I10" i="179" a="1"/>
  <c r="I10" i="179" s="1"/>
  <c r="J10" i="179" a="1"/>
  <c r="J10" i="179" s="1"/>
  <c r="K10" i="179" a="1"/>
  <c r="K10" i="179" s="1"/>
  <c r="N10" i="179" a="1"/>
  <c r="N10" i="179" s="1"/>
  <c r="O10" i="179" a="1"/>
  <c r="O10" i="179" s="1"/>
  <c r="P10" i="179" a="1"/>
  <c r="P10" i="179" s="1"/>
  <c r="I11" i="179" a="1"/>
  <c r="I11" i="179" s="1"/>
  <c r="J11" i="179" a="1"/>
  <c r="J11" i="179" s="1"/>
  <c r="K11" i="179" a="1"/>
  <c r="K11" i="179" s="1"/>
  <c r="N11" i="179" a="1"/>
  <c r="N11" i="179" s="1"/>
  <c r="O11" i="179" a="1"/>
  <c r="O11" i="179" s="1"/>
  <c r="P11" i="179" a="1"/>
  <c r="P11" i="179" s="1"/>
  <c r="I12" i="179" a="1"/>
  <c r="I12" i="179" s="1"/>
  <c r="J12" i="179" a="1"/>
  <c r="J12" i="179" s="1"/>
  <c r="K12" i="179" a="1"/>
  <c r="K12" i="179" s="1"/>
  <c r="N12" i="179" a="1"/>
  <c r="N12" i="179" s="1"/>
  <c r="O12" i="179" a="1"/>
  <c r="O12" i="179" s="1"/>
  <c r="P12" i="179" a="1"/>
  <c r="P12" i="179" s="1"/>
  <c r="I13" i="179" a="1"/>
  <c r="I13" i="179" s="1"/>
  <c r="J13" i="179" a="1"/>
  <c r="J13" i="179" s="1"/>
  <c r="K13" i="179" a="1"/>
  <c r="K13" i="179" s="1"/>
  <c r="N13" i="179" a="1"/>
  <c r="N13" i="179" s="1"/>
  <c r="O13" i="179" a="1"/>
  <c r="O13" i="179" s="1"/>
  <c r="P13" i="179" a="1"/>
  <c r="P13" i="179" s="1"/>
  <c r="I14" i="179" a="1"/>
  <c r="I14" i="179" s="1"/>
  <c r="J14" i="179" a="1"/>
  <c r="J14" i="179" s="1"/>
  <c r="K14" i="179" a="1"/>
  <c r="K14" i="179" s="1"/>
  <c r="N14" i="179" a="1"/>
  <c r="N14" i="179" s="1"/>
  <c r="O14" i="179" a="1"/>
  <c r="O14" i="179" s="1"/>
  <c r="P14" i="179" a="1"/>
  <c r="P14" i="179" s="1"/>
  <c r="I15" i="179" a="1"/>
  <c r="I15" i="179" s="1"/>
  <c r="J15" i="179" a="1"/>
  <c r="J15" i="179" s="1"/>
  <c r="K15" i="179" a="1"/>
  <c r="K15" i="179" s="1"/>
  <c r="N15" i="179" a="1"/>
  <c r="N15" i="179" s="1"/>
  <c r="O15" i="179" a="1"/>
  <c r="O15" i="179" s="1"/>
  <c r="P15" i="179" a="1"/>
  <c r="P15" i="179" s="1"/>
  <c r="I16" i="179" a="1"/>
  <c r="I16" i="179" s="1"/>
  <c r="J16" i="179" a="1"/>
  <c r="J16" i="179" s="1"/>
  <c r="K16" i="179" a="1"/>
  <c r="K16" i="179" s="1"/>
  <c r="N16" i="179" a="1"/>
  <c r="N16" i="179" s="1"/>
  <c r="O16" i="179" a="1"/>
  <c r="O16" i="179" s="1"/>
  <c r="P16" i="179" a="1"/>
  <c r="P16" i="179" s="1"/>
  <c r="I17" i="179" a="1"/>
  <c r="I17" i="179" s="1"/>
  <c r="J17" i="179" a="1"/>
  <c r="J17" i="179" s="1"/>
  <c r="K17" i="179" a="1"/>
  <c r="K17" i="179" s="1"/>
  <c r="N17" i="179" a="1"/>
  <c r="N17" i="179" s="1"/>
  <c r="O17" i="179" a="1"/>
  <c r="O17" i="179" s="1"/>
  <c r="P17" i="179" a="1"/>
  <c r="P17" i="179" s="1"/>
  <c r="I6" i="153" a="1"/>
  <c r="I6" i="153" s="1"/>
  <c r="J6" i="153" a="1"/>
  <c r="J6" i="153" s="1"/>
  <c r="K6" i="153" a="1"/>
  <c r="K6" i="153" s="1"/>
  <c r="N6" i="153" a="1"/>
  <c r="N6" i="153" s="1"/>
  <c r="O6" i="153" a="1"/>
  <c r="O6" i="153" s="1"/>
  <c r="P6" i="153" a="1"/>
  <c r="P6" i="153" s="1"/>
  <c r="I7" i="153" a="1"/>
  <c r="I7" i="153" s="1"/>
  <c r="J7" i="153" a="1"/>
  <c r="J7" i="153" s="1"/>
  <c r="K7" i="153" a="1"/>
  <c r="K7" i="153" s="1"/>
  <c r="N7" i="153" a="1"/>
  <c r="N7" i="153" s="1"/>
  <c r="O7" i="153" a="1"/>
  <c r="O7" i="153" s="1"/>
  <c r="P7" i="153" a="1"/>
  <c r="P7" i="153" s="1"/>
  <c r="I8" i="153" a="1"/>
  <c r="I8" i="153" s="1"/>
  <c r="J8" i="153" a="1"/>
  <c r="J8" i="153" s="1"/>
  <c r="K8" i="153" a="1"/>
  <c r="K8" i="153" s="1"/>
  <c r="N8" i="153" a="1"/>
  <c r="N8" i="153" s="1"/>
  <c r="O8" i="153" a="1"/>
  <c r="O8" i="153" s="1"/>
  <c r="P8" i="153" a="1"/>
  <c r="P8" i="153" s="1"/>
  <c r="I9" i="153" a="1"/>
  <c r="I9" i="153" s="1"/>
  <c r="J9" i="153" a="1"/>
  <c r="J9" i="153" s="1"/>
  <c r="K9" i="153" a="1"/>
  <c r="K9" i="153" s="1"/>
  <c r="N9" i="153" a="1"/>
  <c r="N9" i="153" s="1"/>
  <c r="O9" i="153" a="1"/>
  <c r="O9" i="153" s="1"/>
  <c r="P9" i="153" a="1"/>
  <c r="P9" i="153" s="1"/>
  <c r="I10" i="153" a="1"/>
  <c r="I10" i="153" s="1"/>
  <c r="J10" i="153" a="1"/>
  <c r="J10" i="153" s="1"/>
  <c r="K10" i="153" a="1"/>
  <c r="K10" i="153" s="1"/>
  <c r="N10" i="153" a="1"/>
  <c r="N10" i="153" s="1"/>
  <c r="O10" i="153" a="1"/>
  <c r="O10" i="153" s="1"/>
  <c r="P10" i="153" a="1"/>
  <c r="P10" i="153" s="1"/>
  <c r="I11" i="153" a="1"/>
  <c r="I11" i="153" s="1"/>
  <c r="J11" i="153" a="1"/>
  <c r="J11" i="153" s="1"/>
  <c r="K11" i="153" a="1"/>
  <c r="K11" i="153" s="1"/>
  <c r="N11" i="153" a="1"/>
  <c r="N11" i="153" s="1"/>
  <c r="O11" i="153" a="1"/>
  <c r="O11" i="153" s="1"/>
  <c r="P11" i="153" a="1"/>
  <c r="P11" i="153" s="1"/>
  <c r="I12" i="153" a="1"/>
  <c r="I12" i="153" s="1"/>
  <c r="J12" i="153" a="1"/>
  <c r="J12" i="153" s="1"/>
  <c r="K12" i="153" a="1"/>
  <c r="K12" i="153" s="1"/>
  <c r="N12" i="153" a="1"/>
  <c r="N12" i="153" s="1"/>
  <c r="O12" i="153" a="1"/>
  <c r="O12" i="153" s="1"/>
  <c r="P12" i="153" a="1"/>
  <c r="P12" i="153" s="1"/>
  <c r="I13" i="153" a="1"/>
  <c r="I13" i="153" s="1"/>
  <c r="J13" i="153" a="1"/>
  <c r="J13" i="153" s="1"/>
  <c r="K13" i="153" a="1"/>
  <c r="K13" i="153" s="1"/>
  <c r="N13" i="153" a="1"/>
  <c r="N13" i="153" s="1"/>
  <c r="O13" i="153" a="1"/>
  <c r="O13" i="153" s="1"/>
  <c r="P13" i="153" a="1"/>
  <c r="P13" i="153" s="1"/>
  <c r="I14" i="153" a="1"/>
  <c r="I14" i="153" s="1"/>
  <c r="J14" i="153" a="1"/>
  <c r="J14" i="153" s="1"/>
  <c r="K14" i="153" a="1"/>
  <c r="K14" i="153" s="1"/>
  <c r="N14" i="153" a="1"/>
  <c r="N14" i="153" s="1"/>
  <c r="O14" i="153" a="1"/>
  <c r="O14" i="153" s="1"/>
  <c r="P14" i="153" a="1"/>
  <c r="P14" i="153" s="1"/>
  <c r="I15" i="153" a="1"/>
  <c r="I15" i="153" s="1"/>
  <c r="J15" i="153" a="1"/>
  <c r="J15" i="153" s="1"/>
  <c r="K15" i="153" a="1"/>
  <c r="K15" i="153" s="1"/>
  <c r="N15" i="153" a="1"/>
  <c r="N15" i="153" s="1"/>
  <c r="O15" i="153" a="1"/>
  <c r="O15" i="153" s="1"/>
  <c r="P15" i="153" a="1"/>
  <c r="P15" i="153" s="1"/>
  <c r="I16" i="153" a="1"/>
  <c r="I16" i="153" s="1"/>
  <c r="J16" i="153" a="1"/>
  <c r="J16" i="153" s="1"/>
  <c r="K16" i="153" a="1"/>
  <c r="K16" i="153" s="1"/>
  <c r="N16" i="153" a="1"/>
  <c r="N16" i="153" s="1"/>
  <c r="O16" i="153" a="1"/>
  <c r="O16" i="153" s="1"/>
  <c r="P16" i="153" a="1"/>
  <c r="P16" i="153" s="1"/>
  <c r="I17" i="153" a="1"/>
  <c r="I17" i="153" s="1"/>
  <c r="J17" i="153" a="1"/>
  <c r="J17" i="153" s="1"/>
  <c r="K17" i="153" a="1"/>
  <c r="K17" i="153" s="1"/>
  <c r="N17" i="153" a="1"/>
  <c r="N17" i="153" s="1"/>
  <c r="O17" i="153" a="1"/>
  <c r="O17" i="153" s="1"/>
  <c r="P17" i="153" a="1"/>
  <c r="P17" i="153" s="1"/>
  <c r="I6" i="120"/>
  <c r="M6" i="120" s="1"/>
  <c r="J6" i="120"/>
  <c r="O6" i="120"/>
  <c r="Q6" i="120" s="1"/>
  <c r="P6" i="120"/>
  <c r="S6" i="120" s="1"/>
  <c r="V8" i="176"/>
  <c r="W8" i="176" s="1"/>
  <c r="V9" i="176"/>
  <c r="W9" i="176" s="1"/>
  <c r="V10" i="176"/>
  <c r="W10" i="176" s="1"/>
  <c r="V11" i="176"/>
  <c r="W11" i="176" s="1"/>
  <c r="V12" i="176"/>
  <c r="W12" i="176" s="1"/>
  <c r="V13" i="176"/>
  <c r="W13" i="176" s="1"/>
  <c r="V14" i="176"/>
  <c r="W14" i="176" s="1"/>
  <c r="V15" i="176"/>
  <c r="W15" i="176" s="1"/>
  <c r="V16" i="176"/>
  <c r="W16" i="176" s="1"/>
  <c r="V17" i="176"/>
  <c r="W17" i="176" s="1"/>
  <c r="V18" i="176"/>
  <c r="W18" i="176" s="1"/>
  <c r="U8" i="176"/>
  <c r="X8" i="176" s="1"/>
  <c r="AT8" i="176" s="1"/>
  <c r="U9" i="176"/>
  <c r="X9" i="176" s="1"/>
  <c r="U10" i="176"/>
  <c r="X10" i="176" s="1"/>
  <c r="U11" i="176"/>
  <c r="X11" i="176" s="1"/>
  <c r="AR11" i="176" s="1"/>
  <c r="U12" i="176"/>
  <c r="X12" i="176" s="1"/>
  <c r="U13" i="176"/>
  <c r="X13" i="176" s="1"/>
  <c r="U14" i="176"/>
  <c r="X14" i="176" s="1"/>
  <c r="U15" i="176"/>
  <c r="X15" i="176" s="1"/>
  <c r="U16" i="176"/>
  <c r="X16" i="176" s="1"/>
  <c r="U17" i="176"/>
  <c r="X17" i="176" s="1"/>
  <c r="U18" i="176"/>
  <c r="X18" i="176" s="1"/>
  <c r="R8" i="176"/>
  <c r="R9" i="176"/>
  <c r="R10" i="176"/>
  <c r="R11" i="176"/>
  <c r="R12" i="176"/>
  <c r="R13" i="176"/>
  <c r="R14" i="176"/>
  <c r="R15" i="176"/>
  <c r="R16" i="176"/>
  <c r="R17" i="176"/>
  <c r="R18" i="176"/>
  <c r="D26" i="192"/>
  <c r="D23" i="192"/>
  <c r="D10" i="192"/>
  <c r="D33" i="192"/>
  <c r="BM16" i="119" l="1"/>
  <c r="BH16" i="119"/>
  <c r="W33" i="120"/>
  <c r="BH7" i="119"/>
  <c r="BH6" i="119"/>
  <c r="BH9" i="119"/>
  <c r="BM10" i="119"/>
  <c r="BM9" i="119"/>
  <c r="BM7" i="119"/>
  <c r="BH11" i="119"/>
  <c r="BH10" i="119"/>
  <c r="BM11" i="119"/>
  <c r="BH8" i="119"/>
  <c r="BM8" i="119"/>
  <c r="BM6" i="119"/>
  <c r="BH15" i="119"/>
  <c r="BM15" i="119"/>
  <c r="BM12" i="119"/>
  <c r="BH13" i="119"/>
  <c r="BM14" i="119"/>
  <c r="BH12" i="119"/>
  <c r="BM13" i="119"/>
  <c r="BH14" i="119"/>
  <c r="V27" i="120"/>
  <c r="X36" i="120"/>
  <c r="V28" i="120"/>
  <c r="X27" i="120"/>
  <c r="X35" i="120"/>
  <c r="V32" i="120"/>
  <c r="V36" i="120"/>
  <c r="U30" i="120"/>
  <c r="U35" i="120"/>
  <c r="V37" i="120"/>
  <c r="X26" i="120"/>
  <c r="V24" i="120"/>
  <c r="W30" i="120"/>
  <c r="X28" i="120"/>
  <c r="V33" i="120"/>
  <c r="X32" i="120"/>
  <c r="BA8" i="176"/>
  <c r="U26" i="120"/>
  <c r="X31" i="120"/>
  <c r="X24" i="120"/>
  <c r="V29" i="120"/>
  <c r="X29" i="120"/>
  <c r="V34" i="120"/>
  <c r="X34" i="120"/>
  <c r="X37" i="120"/>
  <c r="V25" i="120"/>
  <c r="X25" i="120"/>
  <c r="AC6" i="194"/>
  <c r="BC8" i="176"/>
  <c r="BB20" i="176"/>
  <c r="BC20" i="176"/>
  <c r="BB19" i="176"/>
  <c r="BC19" i="176"/>
  <c r="BC15" i="176"/>
  <c r="BB15" i="176"/>
  <c r="BC13" i="176"/>
  <c r="BB13" i="176"/>
  <c r="BB18" i="176"/>
  <c r="BC18" i="176"/>
  <c r="BC14" i="176"/>
  <c r="BB14" i="176"/>
  <c r="BC12" i="176"/>
  <c r="BB12" i="176"/>
  <c r="BC11" i="176"/>
  <c r="BB11" i="176"/>
  <c r="BB17" i="176"/>
  <c r="BC17" i="176"/>
  <c r="BC10" i="176"/>
  <c r="BB10" i="176"/>
  <c r="BB16" i="176"/>
  <c r="BC16" i="176"/>
  <c r="BC9" i="176"/>
  <c r="BB9" i="176"/>
  <c r="AP16" i="176"/>
  <c r="AQ16" i="176"/>
  <c r="AT16" i="176"/>
  <c r="AR16" i="176"/>
  <c r="AS16" i="176"/>
  <c r="AR15" i="176"/>
  <c r="AP15" i="176"/>
  <c r="AS15" i="176"/>
  <c r="AU15" i="176"/>
  <c r="AQ15" i="176"/>
  <c r="AT15" i="176"/>
  <c r="AV15" i="176"/>
  <c r="AT14" i="176"/>
  <c r="AS14" i="176"/>
  <c r="AU14" i="176"/>
  <c r="AV14" i="176"/>
  <c r="AQ18" i="176"/>
  <c r="AT18" i="176"/>
  <c r="AW18" i="176"/>
  <c r="AZ18" i="176"/>
  <c r="AR18" i="176"/>
  <c r="AS18" i="176"/>
  <c r="AU18" i="176"/>
  <c r="AV18" i="176"/>
  <c r="AX18" i="176"/>
  <c r="AY18" i="176"/>
  <c r="AW17" i="176"/>
  <c r="AX17" i="176"/>
  <c r="AV17" i="176"/>
  <c r="AY17" i="176"/>
  <c r="AU17" i="176"/>
  <c r="AZ17" i="176"/>
  <c r="AZ8" i="176"/>
  <c r="AQ11" i="176"/>
  <c r="AY8" i="176"/>
  <c r="AS13" i="176"/>
  <c r="AT13" i="176"/>
  <c r="AU13" i="176"/>
  <c r="AV13" i="176"/>
  <c r="AW13" i="176"/>
  <c r="AX13" i="176"/>
  <c r="AQ13" i="176"/>
  <c r="AR13" i="176"/>
  <c r="AY13" i="176"/>
  <c r="AZ13" i="176"/>
  <c r="BA13" i="176"/>
  <c r="AP13" i="176"/>
  <c r="AY12" i="176"/>
  <c r="AZ12" i="176"/>
  <c r="BA12" i="176"/>
  <c r="AS12" i="176"/>
  <c r="AT12" i="176"/>
  <c r="AU12" i="176"/>
  <c r="AV12" i="176"/>
  <c r="AW12" i="176"/>
  <c r="AX12" i="176"/>
  <c r="AP12" i="176"/>
  <c r="AQ12" i="176"/>
  <c r="AR12" i="176"/>
  <c r="AP11" i="176"/>
  <c r="AQ10" i="176"/>
  <c r="AR10" i="176"/>
  <c r="AS10" i="176"/>
  <c r="AT10" i="176"/>
  <c r="AU10" i="176"/>
  <c r="AV10" i="176"/>
  <c r="AW9" i="176"/>
  <c r="AX9" i="176"/>
  <c r="AY9" i="176"/>
  <c r="AZ9" i="176"/>
  <c r="BA9" i="176"/>
  <c r="AP18" i="176"/>
  <c r="AX8" i="176"/>
  <c r="AP17" i="176"/>
  <c r="AQ17" i="176"/>
  <c r="AR17" i="176"/>
  <c r="AS17" i="176"/>
  <c r="AT17" i="176"/>
  <c r="BA11" i="176"/>
  <c r="BA10" i="176"/>
  <c r="AV9" i="176"/>
  <c r="AW8" i="176"/>
  <c r="AU16" i="176"/>
  <c r="AV16" i="176"/>
  <c r="AW16" i="176"/>
  <c r="AX16" i="176"/>
  <c r="AY16" i="176"/>
  <c r="AZ16" i="176"/>
  <c r="AZ11" i="176"/>
  <c r="AZ10" i="176"/>
  <c r="AU9" i="176"/>
  <c r="AV8" i="176"/>
  <c r="BA15" i="176"/>
  <c r="AY11" i="176"/>
  <c r="AY10" i="176"/>
  <c r="AT9" i="176"/>
  <c r="AU8" i="176"/>
  <c r="AP14" i="176"/>
  <c r="AQ14" i="176"/>
  <c r="AR14" i="176"/>
  <c r="AX11" i="176"/>
  <c r="AX10" i="176"/>
  <c r="AS9" i="176"/>
  <c r="BA14" i="176"/>
  <c r="AW11" i="176"/>
  <c r="AW10" i="176"/>
  <c r="AR9" i="176"/>
  <c r="AS8" i="176"/>
  <c r="AZ15" i="176"/>
  <c r="AZ14" i="176"/>
  <c r="AV11" i="176"/>
  <c r="AP10" i="176"/>
  <c r="AQ9" i="176"/>
  <c r="AR8" i="176"/>
  <c r="AY15" i="176"/>
  <c r="AY14" i="176"/>
  <c r="AU11" i="176"/>
  <c r="AP9" i="176"/>
  <c r="AQ8" i="176"/>
  <c r="AX15" i="176"/>
  <c r="AX14" i="176"/>
  <c r="AT11" i="176"/>
  <c r="AP8" i="176"/>
  <c r="BA18" i="176"/>
  <c r="BA17" i="176"/>
  <c r="BA16" i="176"/>
  <c r="AW15" i="176"/>
  <c r="AW14" i="176"/>
  <c r="AS11" i="176"/>
  <c r="U6" i="120"/>
  <c r="R6" i="120"/>
  <c r="L6" i="120"/>
  <c r="K6" i="120"/>
  <c r="W6" i="120"/>
  <c r="T6" i="120"/>
  <c r="N6" i="120"/>
  <c r="V20" i="176"/>
  <c r="W20" i="176" s="1"/>
  <c r="V19" i="176"/>
  <c r="W19" i="176" s="1"/>
  <c r="X11" i="195" l="1"/>
  <c r="X7" i="195"/>
  <c r="X8" i="195"/>
  <c r="X9" i="195"/>
  <c r="X10" i="195"/>
  <c r="Z7" i="195"/>
  <c r="Z9" i="195"/>
  <c r="Z11" i="195"/>
  <c r="Z8" i="195"/>
  <c r="Z10" i="195"/>
  <c r="Y7" i="195"/>
  <c r="Y11" i="195"/>
  <c r="Y10" i="195"/>
  <c r="Y9" i="195"/>
  <c r="Y8" i="195"/>
  <c r="W6" i="194"/>
  <c r="V6" i="120"/>
  <c r="X6" i="120"/>
  <c r="D32" i="192"/>
  <c r="D29" i="191"/>
  <c r="D28" i="191"/>
  <c r="D9" i="192"/>
  <c r="D8" i="192"/>
  <c r="D7" i="192"/>
  <c r="D6" i="192"/>
  <c r="D5" i="192"/>
  <c r="D10" i="191"/>
  <c r="D9" i="191"/>
  <c r="D8" i="191"/>
  <c r="D7" i="191"/>
  <c r="BL10" i="195" l="1"/>
  <c r="BM10" i="195" s="1"/>
  <c r="BL9" i="195"/>
  <c r="BM9" i="195" s="1"/>
  <c r="BL8" i="195"/>
  <c r="BM8" i="195" s="1"/>
  <c r="BL7" i="195"/>
  <c r="BM7" i="195" s="1"/>
  <c r="BL11" i="195"/>
  <c r="BM11" i="195" s="1"/>
  <c r="CQ10" i="195"/>
  <c r="CR10" i="195" s="1"/>
  <c r="CC10" i="195"/>
  <c r="CD10" i="195" s="1"/>
  <c r="CQ11" i="195"/>
  <c r="CR11" i="195" s="1"/>
  <c r="CC11" i="195"/>
  <c r="CD11" i="195" s="1"/>
  <c r="CQ7" i="195"/>
  <c r="CR7" i="195" s="1"/>
  <c r="CC7" i="195"/>
  <c r="CD7" i="195" s="1"/>
  <c r="CQ8" i="195"/>
  <c r="CR8" i="195" s="1"/>
  <c r="CC8" i="195"/>
  <c r="CD8" i="195" s="1"/>
  <c r="CQ9" i="195"/>
  <c r="CR9" i="195" s="1"/>
  <c r="CC9" i="195"/>
  <c r="CD9" i="195" s="1"/>
  <c r="BH8" i="195"/>
  <c r="BH10" i="195"/>
  <c r="BH11" i="195"/>
  <c r="BH7" i="195"/>
  <c r="BH9" i="195"/>
  <c r="BE10" i="195"/>
  <c r="BE9" i="195"/>
  <c r="BE8" i="195"/>
  <c r="BA8" i="195"/>
  <c r="BE7" i="195"/>
  <c r="BA11" i="195"/>
  <c r="BE11" i="195"/>
  <c r="BA10" i="195"/>
  <c r="BA9" i="195"/>
  <c r="BA7" i="195"/>
  <c r="AX10" i="195"/>
  <c r="AX9" i="195"/>
  <c r="AX7" i="195"/>
  <c r="AX8" i="195"/>
  <c r="AX11" i="195"/>
  <c r="AT7" i="195"/>
  <c r="AT9" i="195"/>
  <c r="AT11" i="195"/>
  <c r="AT10" i="195"/>
  <c r="AT8" i="195"/>
  <c r="AQ10" i="195"/>
  <c r="AQ9" i="195"/>
  <c r="AQ8" i="195"/>
  <c r="AQ7" i="195"/>
  <c r="AQ11" i="195"/>
  <c r="AM10" i="195"/>
  <c r="AJ8" i="195"/>
  <c r="AJ10" i="195"/>
  <c r="AJ9" i="195"/>
  <c r="AJ7" i="195"/>
  <c r="AJ11" i="195"/>
  <c r="AF8" i="195"/>
  <c r="AM8" i="195"/>
  <c r="AM11" i="195"/>
  <c r="AM9" i="195"/>
  <c r="AM7" i="195"/>
  <c r="AC10" i="195"/>
  <c r="AC8" i="195"/>
  <c r="AF11" i="195"/>
  <c r="AF10" i="195"/>
  <c r="AF7" i="195"/>
  <c r="AF9" i="195"/>
  <c r="AC7" i="195"/>
  <c r="AC11" i="195"/>
  <c r="AC9" i="195"/>
  <c r="CJ8" i="195"/>
  <c r="CK8" i="195" s="1"/>
  <c r="CN9" i="195"/>
  <c r="CO9" i="195" s="1"/>
  <c r="CN8" i="195"/>
  <c r="CO8" i="195" s="1"/>
  <c r="CN7" i="195"/>
  <c r="CO7" i="195" s="1"/>
  <c r="CN10" i="195"/>
  <c r="CO10" i="195" s="1"/>
  <c r="CN11" i="195"/>
  <c r="CO11" i="195" s="1"/>
  <c r="CG8" i="195"/>
  <c r="CH8" i="195" s="1"/>
  <c r="CJ9" i="195"/>
  <c r="CK9" i="195" s="1"/>
  <c r="CJ7" i="195"/>
  <c r="CK7" i="195" s="1"/>
  <c r="CJ10" i="195"/>
  <c r="CK10" i="195" s="1"/>
  <c r="CJ11" i="195"/>
  <c r="CK11" i="195" s="1"/>
  <c r="CG7" i="195"/>
  <c r="CH7" i="195" s="1"/>
  <c r="CG10" i="195"/>
  <c r="CH10" i="195" s="1"/>
  <c r="CG11" i="195"/>
  <c r="CH11" i="195" s="1"/>
  <c r="CG9" i="195"/>
  <c r="CH9" i="195" s="1"/>
  <c r="BZ9" i="195"/>
  <c r="CA9" i="195" s="1"/>
  <c r="BZ10" i="195"/>
  <c r="CA10" i="195" s="1"/>
  <c r="BS8" i="195"/>
  <c r="BT8" i="195" s="1"/>
  <c r="BZ8" i="195"/>
  <c r="CA8" i="195" s="1"/>
  <c r="BZ7" i="195"/>
  <c r="CA7" i="195" s="1"/>
  <c r="BZ11" i="195"/>
  <c r="CA11" i="195" s="1"/>
  <c r="BV7" i="195"/>
  <c r="BW7" i="195" s="1" a="1"/>
  <c r="BW7" i="195" s="1"/>
  <c r="BO10" i="195"/>
  <c r="BP10" i="195" s="1"/>
  <c r="BV10" i="195"/>
  <c r="BW10" i="195" s="1" a="1"/>
  <c r="BW10" i="195" s="1"/>
  <c r="BV9" i="195"/>
  <c r="BW9" i="195" s="1" a="1"/>
  <c r="BW9" i="195" s="1"/>
  <c r="BO8" i="195"/>
  <c r="BP8" i="195" s="1"/>
  <c r="BV8" i="195"/>
  <c r="BW8" i="195" s="1" a="1"/>
  <c r="BW8" i="195" s="1"/>
  <c r="BV11" i="195"/>
  <c r="BW11" i="195" s="1" a="1"/>
  <c r="BW11" i="195" s="1"/>
  <c r="BS9" i="195"/>
  <c r="BT9" i="195" s="1"/>
  <c r="BS7" i="195"/>
  <c r="BT7" i="195" s="1"/>
  <c r="BS11" i="195"/>
  <c r="BT11" i="195" s="1"/>
  <c r="BS10" i="195"/>
  <c r="BT10" i="195" s="1"/>
  <c r="BO7" i="195"/>
  <c r="BP7" i="195" s="1"/>
  <c r="BO9" i="195"/>
  <c r="BP9" i="195" s="1"/>
  <c r="BO11" i="195"/>
  <c r="BP11" i="195" s="1"/>
  <c r="AO21" i="176"/>
  <c r="AM22" i="176"/>
  <c r="AO22" i="176"/>
  <c r="AE21" i="176"/>
  <c r="AI21" i="176"/>
  <c r="AI22" i="176"/>
  <c r="AK22" i="176"/>
  <c r="AL22" i="176"/>
  <c r="AM21" i="176"/>
  <c r="AG21" i="176"/>
  <c r="AG22" i="176"/>
  <c r="AE22" i="176"/>
  <c r="AK21" i="176"/>
  <c r="AN22" i="176"/>
  <c r="AD21" i="176"/>
  <c r="AH22" i="176"/>
  <c r="AN21" i="176"/>
  <c r="AF22" i="176"/>
  <c r="AL21" i="176"/>
  <c r="AD22" i="176"/>
  <c r="AJ21" i="176"/>
  <c r="AF21" i="176"/>
  <c r="AJ22" i="176"/>
  <c r="AH21" i="176"/>
  <c r="AH25" i="176"/>
  <c r="AG24" i="176"/>
  <c r="AG23" i="176"/>
  <c r="AG26" i="176"/>
  <c r="AG25" i="176"/>
  <c r="AG18" i="176"/>
  <c r="AG15" i="176"/>
  <c r="AG12" i="176"/>
  <c r="AG17" i="176"/>
  <c r="AG16" i="176"/>
  <c r="AG14" i="176"/>
  <c r="AG13" i="176"/>
  <c r="AG11" i="176"/>
  <c r="AG10" i="176"/>
  <c r="AG9" i="176"/>
  <c r="AK25" i="176"/>
  <c r="AI25" i="176"/>
  <c r="AO25" i="176"/>
  <c r="AJ26" i="176"/>
  <c r="AM25" i="176"/>
  <c r="AK26" i="176"/>
  <c r="AM26" i="176"/>
  <c r="AI23" i="176"/>
  <c r="AD25" i="176"/>
  <c r="AH26" i="176"/>
  <c r="AD24" i="176"/>
  <c r="AE23" i="176"/>
  <c r="AN24" i="176"/>
  <c r="AF26" i="176"/>
  <c r="AK23" i="176"/>
  <c r="AI26" i="176"/>
  <c r="AL26" i="176"/>
  <c r="AM23" i="176"/>
  <c r="AK24" i="176"/>
  <c r="AD23" i="176"/>
  <c r="AE26" i="176"/>
  <c r="AL23" i="176"/>
  <c r="AJ25" i="176"/>
  <c r="AD26" i="176"/>
  <c r="AJ23" i="176"/>
  <c r="AJ24" i="176"/>
  <c r="AL25" i="176"/>
  <c r="AH24" i="176"/>
  <c r="AF23" i="176"/>
  <c r="AO24" i="176"/>
  <c r="AI24" i="176"/>
  <c r="AN25" i="176"/>
  <c r="AM24" i="176"/>
  <c r="AF24" i="176"/>
  <c r="AE25" i="176"/>
  <c r="AE24" i="176"/>
  <c r="AN26" i="176"/>
  <c r="AO23" i="176"/>
  <c r="AF25" i="176"/>
  <c r="AN23" i="176"/>
  <c r="AH23" i="176"/>
  <c r="AO26" i="176"/>
  <c r="AL24" i="176"/>
  <c r="H20" i="191" a="1"/>
  <c r="H20" i="191" s="1"/>
  <c r="AJ14" i="176"/>
  <c r="AD10" i="176"/>
  <c r="AL18" i="176"/>
  <c r="AO10" i="176"/>
  <c r="AJ16" i="176"/>
  <c r="AD9" i="176"/>
  <c r="AO17" i="176"/>
  <c r="AE18" i="176"/>
  <c r="AN10" i="176"/>
  <c r="AF13" i="176"/>
  <c r="AD12" i="176"/>
  <c r="AL11" i="176"/>
  <c r="AJ17" i="176"/>
  <c r="AK15" i="176"/>
  <c r="AE17" i="176"/>
  <c r="AE8" i="176"/>
  <c r="AL16" i="176"/>
  <c r="AJ13" i="176"/>
  <c r="AL12" i="176"/>
  <c r="AF14" i="176"/>
  <c r="AI17" i="176"/>
  <c r="AJ11" i="176"/>
  <c r="AK13" i="176"/>
  <c r="AM12" i="176"/>
  <c r="AF9" i="176"/>
  <c r="AD16" i="176"/>
  <c r="AO16" i="176"/>
  <c r="AN13" i="176"/>
  <c r="AH16" i="176"/>
  <c r="AF10" i="176"/>
  <c r="AN17" i="176"/>
  <c r="AM13" i="176"/>
  <c r="AN18" i="176"/>
  <c r="AH8" i="176"/>
  <c r="AE11" i="176"/>
  <c r="AD18" i="176"/>
  <c r="AH11" i="176"/>
  <c r="AH9" i="176"/>
  <c r="AH15" i="176"/>
  <c r="AI8" i="176"/>
  <c r="AD17" i="176"/>
  <c r="AJ10" i="176"/>
  <c r="AD8" i="176"/>
  <c r="AI9" i="176"/>
  <c r="AN14" i="176"/>
  <c r="AM15" i="176"/>
  <c r="AM14" i="176"/>
  <c r="AF8" i="176"/>
  <c r="AK9" i="176"/>
  <c r="AO14" i="176"/>
  <c r="AH17" i="176"/>
  <c r="AO12" i="176"/>
  <c r="AL14" i="176"/>
  <c r="AJ8" i="176"/>
  <c r="AO18" i="176"/>
  <c r="AM10" i="176"/>
  <c r="AN12" i="176"/>
  <c r="AD13" i="176"/>
  <c r="AK8" i="176"/>
  <c r="AD14" i="176"/>
  <c r="AN9" i="176"/>
  <c r="AK10" i="176"/>
  <c r="AJ12" i="176"/>
  <c r="AE15" i="176"/>
  <c r="AF18" i="176"/>
  <c r="AL10" i="176"/>
  <c r="AM17" i="176"/>
  <c r="AK14" i="176"/>
  <c r="AN15" i="176"/>
  <c r="AE14" i="176"/>
  <c r="AF17" i="176"/>
  <c r="AH13" i="176"/>
  <c r="AH14" i="176"/>
  <c r="AJ18" i="176"/>
  <c r="AI10" i="176"/>
  <c r="AO11" i="176"/>
  <c r="AD11" i="176"/>
  <c r="AL17" i="176"/>
  <c r="AF11" i="176"/>
  <c r="AM18" i="176"/>
  <c r="AO13" i="176"/>
  <c r="AE13" i="176"/>
  <c r="AK11" i="176"/>
  <c r="AJ15" i="176"/>
  <c r="AN16" i="176"/>
  <c r="AK12" i="176"/>
  <c r="AM11" i="176"/>
  <c r="AE9" i="176"/>
  <c r="AF15" i="176"/>
  <c r="AL15" i="176"/>
  <c r="AH10" i="176"/>
  <c r="AO15" i="176"/>
  <c r="AO9" i="176"/>
  <c r="AG8" i="176"/>
  <c r="AL13" i="176"/>
  <c r="AI14" i="176"/>
  <c r="AI18" i="176"/>
  <c r="AI13" i="176"/>
  <c r="AE16" i="176"/>
  <c r="AI11" i="176"/>
  <c r="AL9" i="176"/>
  <c r="AE12" i="176"/>
  <c r="AE10" i="176"/>
  <c r="AF16" i="176"/>
  <c r="AM9" i="176"/>
  <c r="AI15" i="176"/>
  <c r="AN8" i="176"/>
  <c r="AJ9" i="176"/>
  <c r="AF12" i="176"/>
  <c r="AH18" i="176"/>
  <c r="AK17" i="176"/>
  <c r="AD15" i="176"/>
  <c r="AH12" i="176"/>
  <c r="AI16" i="176"/>
  <c r="AK16" i="176"/>
  <c r="AI12" i="176"/>
  <c r="AL8" i="176"/>
  <c r="AO8" i="176"/>
  <c r="AM16" i="176"/>
  <c r="AM8" i="176"/>
  <c r="AN11" i="176"/>
  <c r="AK18" i="176"/>
  <c r="D5" i="191"/>
  <c r="D6" i="191"/>
  <c r="CL9" i="195" l="1"/>
  <c r="CS10" i="195"/>
  <c r="CS11" i="195"/>
  <c r="CS7" i="195"/>
  <c r="CS8" i="195"/>
  <c r="CS9" i="195"/>
  <c r="CL11" i="195"/>
  <c r="CL8" i="195"/>
  <c r="CL10" i="195"/>
  <c r="CL7" i="195"/>
  <c r="BQ9" i="195"/>
  <c r="BX7" i="195"/>
  <c r="BX8" i="195"/>
  <c r="BX9" i="195"/>
  <c r="CE11" i="195"/>
  <c r="CE8" i="195"/>
  <c r="CE7" i="195"/>
  <c r="BQ7" i="195"/>
  <c r="CE10" i="195"/>
  <c r="CE9" i="195"/>
  <c r="BQ8" i="195"/>
  <c r="BQ10" i="195"/>
  <c r="BX10" i="195"/>
  <c r="BX11" i="195"/>
  <c r="BQ11" i="195"/>
  <c r="BF11" i="195"/>
  <c r="AD7" i="195"/>
  <c r="BF7" i="195"/>
  <c r="AD10" i="195"/>
  <c r="AK11" i="195"/>
  <c r="BF8" i="195"/>
  <c r="AD8" i="195"/>
  <c r="AY7" i="195"/>
  <c r="AR10" i="195"/>
  <c r="AU9" i="195"/>
  <c r="BB10" i="195"/>
  <c r="AR11" i="195"/>
  <c r="BI11" i="195"/>
  <c r="AG10" i="195"/>
  <c r="AR8" i="195"/>
  <c r="BI8" i="195"/>
  <c r="AD9" i="195"/>
  <c r="BI7" i="195"/>
  <c r="BI9" i="195"/>
  <c r="AU10" i="195"/>
  <c r="BI10" i="195"/>
  <c r="BB8" i="195"/>
  <c r="AR9" i="195"/>
  <c r="AK9" i="195"/>
  <c r="BF9" i="195"/>
  <c r="AG7" i="195"/>
  <c r="AN9" i="195"/>
  <c r="AY11" i="195"/>
  <c r="AN8" i="195"/>
  <c r="AU8" i="195"/>
  <c r="AK7" i="195"/>
  <c r="AN10" i="195"/>
  <c r="AK8" i="195"/>
  <c r="AK10" i="195"/>
  <c r="AG9" i="195"/>
  <c r="BB9" i="195"/>
  <c r="AN7" i="195"/>
  <c r="AN11" i="195"/>
  <c r="AD11" i="195"/>
  <c r="AU11" i="195"/>
  <c r="AG11" i="195"/>
  <c r="AG8" i="195"/>
  <c r="AY8" i="195"/>
  <c r="AR7" i="195"/>
  <c r="AY9" i="195"/>
  <c r="BF10" i="195"/>
  <c r="AY10" i="195"/>
  <c r="BB7" i="195"/>
  <c r="AU7" i="195"/>
  <c r="BB11" i="195"/>
  <c r="G44" i="191" a="1"/>
  <c r="G44" i="191" s="1"/>
  <c r="G47" i="191" a="1"/>
  <c r="G47" i="191" s="1"/>
  <c r="G45" i="191" a="1"/>
  <c r="G45" i="191" s="1"/>
  <c r="E28" i="191" s="1"/>
  <c r="F28" i="191" s="1"/>
  <c r="G46" i="191" a="1"/>
  <c r="G46" i="191" s="1"/>
  <c r="E4" i="188"/>
  <c r="D23" i="191"/>
  <c r="D22" i="191"/>
  <c r="D21" i="191"/>
  <c r="D20" i="191"/>
  <c r="BJ7" i="195" l="1"/>
  <c r="AV11" i="195"/>
  <c r="AH7" i="195"/>
  <c r="AO11" i="195"/>
  <c r="AO9" i="195"/>
  <c r="AV7" i="195"/>
  <c r="AO7" i="195"/>
  <c r="BJ11" i="195"/>
  <c r="AO8" i="195"/>
  <c r="BC11" i="195"/>
  <c r="BJ10" i="195"/>
  <c r="AV10" i="195"/>
  <c r="AH10" i="195"/>
  <c r="BC8" i="195"/>
  <c r="BC9" i="195"/>
  <c r="AH11" i="195"/>
  <c r="AV9" i="195"/>
  <c r="BC7" i="195"/>
  <c r="BJ8" i="195"/>
  <c r="BJ9" i="195"/>
  <c r="BC10" i="195"/>
  <c r="AO10" i="195"/>
  <c r="AH9" i="195"/>
  <c r="AH8" i="195"/>
  <c r="AV8" i="195"/>
  <c r="H10" i="180"/>
  <c r="H11" i="180"/>
  <c r="H22" i="191" l="1"/>
  <c r="H24" i="191"/>
  <c r="H21" i="191"/>
  <c r="H23" i="191"/>
  <c r="D27" i="192"/>
  <c r="D25" i="192"/>
  <c r="D24" i="192"/>
  <c r="D22" i="192"/>
  <c r="U20" i="176"/>
  <c r="U19" i="176"/>
  <c r="D31" i="192" l="1"/>
  <c r="D27" i="191"/>
  <c r="M23" i="179" l="1"/>
  <c r="L23" i="179"/>
  <c r="Q23" i="179"/>
  <c r="Q22" i="179"/>
  <c r="R22" i="179"/>
  <c r="L22" i="179"/>
  <c r="M22" i="179"/>
  <c r="R23" i="179"/>
  <c r="Q22" i="153"/>
  <c r="R22" i="153"/>
  <c r="R23" i="153"/>
  <c r="Q23" i="153"/>
  <c r="L23" i="153"/>
  <c r="L22" i="153"/>
  <c r="M22" i="153"/>
  <c r="M23" i="153"/>
  <c r="L31" i="179"/>
  <c r="M31" i="179"/>
  <c r="Q33" i="179"/>
  <c r="R33" i="179"/>
  <c r="M27" i="179"/>
  <c r="R25" i="179"/>
  <c r="R32" i="179"/>
  <c r="L25" i="179"/>
  <c r="L34" i="179"/>
  <c r="M30" i="179"/>
  <c r="L27" i="179"/>
  <c r="M34" i="179"/>
  <c r="R27" i="179"/>
  <c r="L32" i="179"/>
  <c r="Q30" i="179"/>
  <c r="M25" i="179"/>
  <c r="M32" i="179"/>
  <c r="R30" i="179"/>
  <c r="Q29" i="179"/>
  <c r="Q24" i="179"/>
  <c r="Q34" i="179"/>
  <c r="R24" i="179"/>
  <c r="R34" i="179"/>
  <c r="Q28" i="179"/>
  <c r="Q27" i="179"/>
  <c r="R28" i="179"/>
  <c r="L30" i="179"/>
  <c r="L35" i="179"/>
  <c r="R29" i="179"/>
  <c r="M35" i="179"/>
  <c r="Q26" i="179"/>
  <c r="L28" i="179"/>
  <c r="Q31" i="179"/>
  <c r="M28" i="179"/>
  <c r="Q32" i="179"/>
  <c r="L29" i="179"/>
  <c r="M26" i="179"/>
  <c r="Q35" i="179"/>
  <c r="L26" i="179"/>
  <c r="R35" i="179"/>
  <c r="L24" i="179"/>
  <c r="R31" i="179"/>
  <c r="L33" i="179"/>
  <c r="M29" i="179"/>
  <c r="M33" i="179"/>
  <c r="R26" i="179"/>
  <c r="Q25" i="179"/>
  <c r="M24" i="179"/>
  <c r="L7" i="179"/>
  <c r="R33" i="153"/>
  <c r="Q33" i="153"/>
  <c r="Q24" i="153"/>
  <c r="M29" i="153"/>
  <c r="R30" i="153"/>
  <c r="Q35" i="153"/>
  <c r="M31" i="153"/>
  <c r="R28" i="153"/>
  <c r="Q25" i="153"/>
  <c r="R32" i="153"/>
  <c r="L34" i="153"/>
  <c r="M28" i="153"/>
  <c r="M25" i="153"/>
  <c r="L30" i="153"/>
  <c r="M35" i="153"/>
  <c r="Q28" i="153"/>
  <c r="L27" i="153"/>
  <c r="Q30" i="153"/>
  <c r="M32" i="153"/>
  <c r="M33" i="153"/>
  <c r="L32" i="153"/>
  <c r="M34" i="153"/>
  <c r="R25" i="153"/>
  <c r="R24" i="153"/>
  <c r="L31" i="153"/>
  <c r="L24" i="153"/>
  <c r="R29" i="153"/>
  <c r="R35" i="153"/>
  <c r="Q32" i="153"/>
  <c r="Q29" i="153"/>
  <c r="M30" i="153"/>
  <c r="Q27" i="153"/>
  <c r="L35" i="153"/>
  <c r="L25" i="153"/>
  <c r="L33" i="153"/>
  <c r="M24" i="153"/>
  <c r="L29" i="153"/>
  <c r="L26" i="153"/>
  <c r="Q31" i="153"/>
  <c r="M26" i="153"/>
  <c r="R31" i="153"/>
  <c r="Q34" i="153"/>
  <c r="Q26" i="153"/>
  <c r="R34" i="153"/>
  <c r="R26" i="153"/>
  <c r="R27" i="153"/>
  <c r="L28" i="153"/>
  <c r="M27" i="153"/>
  <c r="G38" i="191"/>
  <c r="G37" i="191"/>
  <c r="G39" i="191"/>
  <c r="L11" i="179"/>
  <c r="L17" i="179"/>
  <c r="R16" i="179"/>
  <c r="Q7" i="179"/>
  <c r="R13" i="179"/>
  <c r="M15" i="179"/>
  <c r="Q13" i="179"/>
  <c r="Q8" i="179"/>
  <c r="L8" i="179"/>
  <c r="M10" i="179"/>
  <c r="L6" i="179"/>
  <c r="M8" i="179"/>
  <c r="Q15" i="179"/>
  <c r="M7" i="179"/>
  <c r="L10" i="179"/>
  <c r="R12" i="179"/>
  <c r="R7" i="179"/>
  <c r="L9" i="179"/>
  <c r="Q14" i="179"/>
  <c r="R17" i="179"/>
  <c r="Q9" i="179"/>
  <c r="L15" i="179"/>
  <c r="R9" i="179"/>
  <c r="Q6" i="179"/>
  <c r="Q16" i="179"/>
  <c r="M16" i="179"/>
  <c r="Q11" i="179"/>
  <c r="M6" i="179"/>
  <c r="R11" i="179"/>
  <c r="R8" i="179"/>
  <c r="L13" i="179"/>
  <c r="Q12" i="179"/>
  <c r="Q10" i="179"/>
  <c r="M14" i="179"/>
  <c r="M12" i="179"/>
  <c r="M17" i="179"/>
  <c r="L16" i="179"/>
  <c r="M13" i="179"/>
  <c r="L14" i="179"/>
  <c r="R6" i="179"/>
  <c r="R15" i="179"/>
  <c r="M11" i="179"/>
  <c r="R10" i="179"/>
  <c r="R14" i="179"/>
  <c r="M9" i="179"/>
  <c r="L12" i="179"/>
  <c r="Q17" i="179"/>
  <c r="Q11" i="153"/>
  <c r="R13" i="153"/>
  <c r="Q6" i="153"/>
  <c r="Q17" i="153"/>
  <c r="M17" i="153"/>
  <c r="M8" i="153"/>
  <c r="L10" i="153"/>
  <c r="L11" i="153"/>
  <c r="Q12" i="153"/>
  <c r="Q15" i="153"/>
  <c r="R9" i="153"/>
  <c r="Q8" i="153"/>
  <c r="L8" i="153"/>
  <c r="M11" i="153"/>
  <c r="L13" i="153"/>
  <c r="R10" i="153"/>
  <c r="M13" i="153"/>
  <c r="Q9" i="153"/>
  <c r="L7" i="153"/>
  <c r="Q13" i="153"/>
  <c r="L14" i="153"/>
  <c r="R14" i="153"/>
  <c r="L9" i="153"/>
  <c r="M16" i="153"/>
  <c r="Q14" i="153"/>
  <c r="R15" i="153"/>
  <c r="L16" i="153"/>
  <c r="L17" i="153"/>
  <c r="R11" i="153"/>
  <c r="Q16" i="153"/>
  <c r="R7" i="153"/>
  <c r="Q7" i="153"/>
  <c r="M14" i="153"/>
  <c r="M9" i="153"/>
  <c r="R17" i="153"/>
  <c r="R12" i="153"/>
  <c r="Q10" i="153"/>
  <c r="R8" i="153"/>
  <c r="M12" i="153"/>
  <c r="L6" i="153"/>
  <c r="M15" i="153"/>
  <c r="L12" i="153"/>
  <c r="M6" i="153"/>
  <c r="L15" i="153"/>
  <c r="M10" i="153"/>
  <c r="R16" i="153"/>
  <c r="R6" i="153"/>
  <c r="M7" i="153"/>
  <c r="Y6" i="195" l="1"/>
  <c r="Z6" i="195"/>
  <c r="G40" i="191" a="1"/>
  <c r="G40" i="191" s="1"/>
  <c r="X6" i="195"/>
  <c r="E27" i="191"/>
  <c r="F27" i="191" s="1"/>
  <c r="BL6" i="195" l="1"/>
  <c r="BM6" i="195" s="1"/>
  <c r="BO6" i="195"/>
  <c r="BP6" i="195" s="1"/>
  <c r="CN6" i="195"/>
  <c r="CO6" i="195" s="1"/>
  <c r="CG6" i="195"/>
  <c r="CH6" i="195" s="1"/>
  <c r="BZ6" i="195"/>
  <c r="CA6" i="195" s="1"/>
  <c r="CQ6" i="195"/>
  <c r="CR6" i="195" s="1"/>
  <c r="CJ6" i="195"/>
  <c r="CK6" i="195" s="1"/>
  <c r="CC6" i="195"/>
  <c r="CD6" i="195" s="1"/>
  <c r="BE6" i="195"/>
  <c r="BA6" i="195"/>
  <c r="BH6" i="195"/>
  <c r="AX6" i="195"/>
  <c r="AT6" i="195"/>
  <c r="AJ6" i="195"/>
  <c r="AQ6" i="195"/>
  <c r="AC6" i="195"/>
  <c r="AM6" i="195"/>
  <c r="AF6" i="195"/>
  <c r="BS6" i="195"/>
  <c r="BT6" i="195" s="1"/>
  <c r="BV6" i="195"/>
  <c r="BW6" i="195" s="1" a="1"/>
  <c r="BW6" i="195" s="1"/>
  <c r="I21" i="153" a="1"/>
  <c r="I21" i="153" s="1"/>
  <c r="J21" i="153" a="1"/>
  <c r="J21" i="153" s="1"/>
  <c r="K21" i="153" a="1"/>
  <c r="K21" i="153" s="1"/>
  <c r="N21" i="153" a="1"/>
  <c r="N21" i="153" s="1"/>
  <c r="O21" i="153" a="1"/>
  <c r="O21" i="153" s="1"/>
  <c r="P21" i="153" a="1"/>
  <c r="P21" i="153" s="1"/>
  <c r="I18" i="153" a="1"/>
  <c r="I18" i="153" s="1"/>
  <c r="J18" i="153" a="1"/>
  <c r="J18" i="153" s="1"/>
  <c r="K18" i="153" a="1"/>
  <c r="K18" i="153" s="1"/>
  <c r="N18" i="153" a="1"/>
  <c r="N18" i="153" s="1"/>
  <c r="O18" i="153" a="1"/>
  <c r="O18" i="153" s="1"/>
  <c r="P18" i="153" a="1"/>
  <c r="P18" i="153" s="1"/>
  <c r="I19" i="153" a="1"/>
  <c r="I19" i="153" s="1"/>
  <c r="J19" i="153" a="1"/>
  <c r="J19" i="153" s="1"/>
  <c r="K19" i="153" a="1"/>
  <c r="K19" i="153" s="1"/>
  <c r="N19" i="153" a="1"/>
  <c r="N19" i="153" s="1"/>
  <c r="O19" i="153" a="1"/>
  <c r="O19" i="153" s="1"/>
  <c r="P19" i="153" a="1"/>
  <c r="P19" i="153" s="1"/>
  <c r="P20" i="153" a="1"/>
  <c r="P20" i="153" s="1"/>
  <c r="O20" i="153" a="1"/>
  <c r="O20" i="153" s="1"/>
  <c r="N20" i="153" a="1"/>
  <c r="N20" i="153" s="1"/>
  <c r="K20" i="153" a="1"/>
  <c r="K20" i="153" s="1"/>
  <c r="J20" i="153" a="1"/>
  <c r="J20" i="153" s="1"/>
  <c r="I20" i="153" a="1"/>
  <c r="I20" i="153" s="1"/>
  <c r="I20" i="179" a="1"/>
  <c r="I20" i="179" s="1"/>
  <c r="J20" i="179" a="1"/>
  <c r="J20" i="179" s="1"/>
  <c r="K20" i="179" a="1"/>
  <c r="K20" i="179" s="1"/>
  <c r="N20" i="179" a="1"/>
  <c r="N20" i="179" s="1"/>
  <c r="O20" i="179" a="1"/>
  <c r="O20" i="179" s="1"/>
  <c r="P20" i="179" a="1"/>
  <c r="P20" i="179" s="1"/>
  <c r="I18" i="179" a="1"/>
  <c r="I18" i="179" s="1"/>
  <c r="J18" i="179" a="1"/>
  <c r="J18" i="179" s="1"/>
  <c r="K18" i="179" a="1"/>
  <c r="K18" i="179" s="1"/>
  <c r="N18" i="179" a="1"/>
  <c r="N18" i="179" s="1"/>
  <c r="O18" i="179" a="1"/>
  <c r="O18" i="179" s="1"/>
  <c r="P18" i="179" a="1"/>
  <c r="P18" i="179" s="1"/>
  <c r="I19" i="179" a="1"/>
  <c r="I19" i="179" s="1"/>
  <c r="J19" i="179" a="1"/>
  <c r="J19" i="179" s="1"/>
  <c r="K19" i="179" a="1"/>
  <c r="K19" i="179" s="1"/>
  <c r="N19" i="179" a="1"/>
  <c r="N19" i="179" s="1"/>
  <c r="O19" i="179" a="1"/>
  <c r="O19" i="179" s="1"/>
  <c r="P19" i="179" a="1"/>
  <c r="P19" i="179" s="1"/>
  <c r="P21" i="179" a="1"/>
  <c r="P21" i="179" s="1"/>
  <c r="O21" i="179" a="1"/>
  <c r="O21" i="179" s="1"/>
  <c r="N21" i="179" a="1"/>
  <c r="N21" i="179" s="1"/>
  <c r="K21" i="179" a="1"/>
  <c r="K21" i="179" s="1"/>
  <c r="J21" i="179" a="1"/>
  <c r="J21" i="179" s="1"/>
  <c r="I21" i="179" a="1"/>
  <c r="I21" i="179" s="1"/>
  <c r="BQ6" i="195" l="1"/>
  <c r="CE6" i="195"/>
  <c r="CS6" i="195"/>
  <c r="E48" i="196" s="1"/>
  <c r="E46" i="196"/>
  <c r="CL6" i="195"/>
  <c r="E44" i="196"/>
  <c r="BX6" i="195"/>
  <c r="E45" i="196" s="1"/>
  <c r="AG6" i="195"/>
  <c r="AK6" i="195"/>
  <c r="AY6" i="195"/>
  <c r="BF6" i="195"/>
  <c r="AU6" i="195"/>
  <c r="AD6" i="195"/>
  <c r="AN6" i="195"/>
  <c r="BB6" i="195"/>
  <c r="BI6" i="195"/>
  <c r="AR6" i="195"/>
  <c r="R20" i="176"/>
  <c r="R19" i="176"/>
  <c r="AO6" i="195" l="1"/>
  <c r="E40" i="196" s="1"/>
  <c r="BC6" i="195"/>
  <c r="E42" i="196" s="1"/>
  <c r="AV6" i="195"/>
  <c r="E41" i="196" s="1"/>
  <c r="D34" i="196" s="1" a="1"/>
  <c r="D34" i="196" s="1"/>
  <c r="BJ6" i="195"/>
  <c r="AH6" i="195"/>
  <c r="E39" i="196" s="1"/>
  <c r="AI19" i="176"/>
  <c r="G50" i="192" s="1" a="1"/>
  <c r="G50" i="192" s="1"/>
  <c r="AO19" i="176"/>
  <c r="AH19" i="176"/>
  <c r="G49" i="192" s="1" a="1"/>
  <c r="G49" i="192" s="1"/>
  <c r="AN19" i="176"/>
  <c r="AI20" i="176"/>
  <c r="AO20" i="176"/>
  <c r="AN20" i="176"/>
  <c r="AH20" i="176"/>
  <c r="X19" i="176"/>
  <c r="AG19" i="176" s="1"/>
  <c r="H6" i="184"/>
  <c r="I7" i="187"/>
  <c r="I6" i="187"/>
  <c r="J7" i="187"/>
  <c r="J6" i="187"/>
  <c r="I6" i="182"/>
  <c r="H7" i="184"/>
  <c r="H8" i="184"/>
  <c r="G7" i="184"/>
  <c r="K7" i="184" s="1"/>
  <c r="G8" i="184"/>
  <c r="K8" i="184" s="1"/>
  <c r="G6" i="184"/>
  <c r="K6" i="184" s="1"/>
  <c r="J6" i="182"/>
  <c r="K6" i="182" s="1"/>
  <c r="L6" i="182" s="1"/>
  <c r="I7" i="180"/>
  <c r="J7" i="180" s="1"/>
  <c r="K7" i="180" s="1"/>
  <c r="I10" i="180"/>
  <c r="J10" i="180" s="1"/>
  <c r="K10" i="180" s="1"/>
  <c r="I11" i="180"/>
  <c r="J11" i="180" s="1"/>
  <c r="K11" i="180" s="1"/>
  <c r="I6" i="180"/>
  <c r="J6" i="180" s="1"/>
  <c r="K6" i="180" s="1"/>
  <c r="H7" i="180"/>
  <c r="H6" i="180"/>
  <c r="H6" i="182"/>
  <c r="E34" i="196" l="1"/>
  <c r="E43" i="196"/>
  <c r="E47" i="196"/>
  <c r="M6" i="182" a="1"/>
  <c r="M6" i="182" s="1"/>
  <c r="N6" i="182" s="1"/>
  <c r="P6" i="182" s="1"/>
  <c r="K6" i="187"/>
  <c r="L6" i="187" s="1"/>
  <c r="AQ19" i="176"/>
  <c r="AD19" i="176"/>
  <c r="G45" i="192" s="1" a="1"/>
  <c r="G45" i="192" s="1"/>
  <c r="AP19" i="176"/>
  <c r="AT19" i="176"/>
  <c r="AR19" i="176"/>
  <c r="AE19" i="176"/>
  <c r="G46" i="192" s="1" a="1"/>
  <c r="G46" i="192" s="1"/>
  <c r="AK19" i="176"/>
  <c r="AL19" i="176"/>
  <c r="G48" i="192" a="1"/>
  <c r="G48" i="192" s="1"/>
  <c r="AJ19" i="176"/>
  <c r="AF19" i="176"/>
  <c r="G47" i="192" s="1" a="1"/>
  <c r="G47" i="192" s="1"/>
  <c r="E33" i="192" s="1"/>
  <c r="AM19" i="176"/>
  <c r="BA19" i="176"/>
  <c r="AW19" i="176"/>
  <c r="AU19" i="176"/>
  <c r="AZ19" i="176"/>
  <c r="AY19" i="176"/>
  <c r="AX19" i="176"/>
  <c r="AV19" i="176"/>
  <c r="AS19" i="176"/>
  <c r="K7" i="187"/>
  <c r="L7" i="187" s="1"/>
  <c r="AO21" i="119"/>
  <c r="AP21" i="119"/>
  <c r="AQ21" i="119"/>
  <c r="AR21" i="119"/>
  <c r="AS21" i="119"/>
  <c r="AT21" i="119"/>
  <c r="AU21" i="119"/>
  <c r="AV21" i="119"/>
  <c r="AW21" i="119"/>
  <c r="AX21" i="119"/>
  <c r="AY21" i="119"/>
  <c r="AN21" i="119"/>
  <c r="I8" i="184" s="1" a="1"/>
  <c r="I8" i="184" s="1"/>
  <c r="E31" i="192" l="1"/>
  <c r="F31" i="192" s="1"/>
  <c r="F33" i="192"/>
  <c r="J7" i="184" a="1"/>
  <c r="J7" i="184" s="1"/>
  <c r="I7" i="184" a="1"/>
  <c r="I7" i="184" s="1"/>
  <c r="J8" i="184" a="1"/>
  <c r="J8" i="184" s="1"/>
  <c r="L8" i="184" s="1"/>
  <c r="J6" i="184" a="1"/>
  <c r="J6" i="184" s="1"/>
  <c r="I6" i="184" a="1"/>
  <c r="I6" i="184" s="1"/>
  <c r="L6" i="184" s="1"/>
  <c r="M6" i="184" s="1"/>
  <c r="N6" i="184" s="1"/>
  <c r="O6" i="182"/>
  <c r="D8" i="181" s="1"/>
  <c r="N6" i="187"/>
  <c r="M6" i="187"/>
  <c r="D10" i="181" s="1"/>
  <c r="N7" i="187"/>
  <c r="E9" i="181" s="1"/>
  <c r="M7" i="187"/>
  <c r="D9" i="181" s="1"/>
  <c r="AN13" i="119"/>
  <c r="AO13" i="119"/>
  <c r="AM13" i="119"/>
  <c r="L7" i="184" l="1"/>
  <c r="M7" i="184" s="1"/>
  <c r="N7" i="184" s="1"/>
  <c r="E11" i="188"/>
  <c r="E10" i="181"/>
  <c r="M8" i="184"/>
  <c r="E8" i="181"/>
  <c r="AM10" i="119"/>
  <c r="AL10" i="119"/>
  <c r="AK10" i="119"/>
  <c r="AI9" i="119"/>
  <c r="AI10" i="119" s="1"/>
  <c r="AM7" i="119"/>
  <c r="AL7" i="119"/>
  <c r="AK7" i="119"/>
  <c r="AI6" i="119"/>
  <c r="O7" i="184" l="1"/>
  <c r="E11" i="181" s="1"/>
  <c r="D12" i="181"/>
  <c r="O6" i="184"/>
  <c r="E12" i="181" s="1"/>
  <c r="O8" i="184"/>
  <c r="E13" i="181" s="1"/>
  <c r="N8" i="184"/>
  <c r="D13" i="181" s="1"/>
  <c r="D11" i="181"/>
  <c r="AI7" i="119"/>
  <c r="L10" i="180" s="1" a="1"/>
  <c r="L10" i="180" s="1"/>
  <c r="AP2" i="176"/>
  <c r="AP4" i="176"/>
  <c r="AR2" i="176"/>
  <c r="AR4" i="176"/>
  <c r="AT2" i="176"/>
  <c r="AT4" i="176"/>
  <c r="AV2" i="176"/>
  <c r="AV4" i="176"/>
  <c r="AX2" i="176"/>
  <c r="AX4" i="176"/>
  <c r="AZ2" i="176"/>
  <c r="AZ4" i="176"/>
  <c r="L6" i="180" l="1" a="1"/>
  <c r="L6" i="180" s="1"/>
  <c r="M6" i="180" s="1"/>
  <c r="O6" i="180" s="1"/>
  <c r="L11" i="180" a="1"/>
  <c r="L11" i="180" s="1"/>
  <c r="M11" i="180" s="1"/>
  <c r="N11" i="180" s="1"/>
  <c r="L9" i="180" a="1"/>
  <c r="L9" i="180" s="1"/>
  <c r="M9" i="180" s="1"/>
  <c r="L7" i="180" a="1"/>
  <c r="L7" i="180" s="1"/>
  <c r="M7" i="180" s="1"/>
  <c r="N7" i="180" s="1"/>
  <c r="D7" i="181" s="1"/>
  <c r="L8" i="180" a="1"/>
  <c r="L8" i="180" s="1"/>
  <c r="M8" i="180" s="1"/>
  <c r="G58" i="192" a="1"/>
  <c r="G58" i="192" s="1"/>
  <c r="G57" i="192" a="1"/>
  <c r="G57" i="192" s="1"/>
  <c r="M10" i="180"/>
  <c r="O10" i="180" s="1"/>
  <c r="E2" i="181" s="1"/>
  <c r="L20" i="179"/>
  <c r="X20" i="176"/>
  <c r="AG20" i="176" s="1"/>
  <c r="O11" i="180" l="1"/>
  <c r="E3" i="181" s="1"/>
  <c r="D3" i="181"/>
  <c r="N9" i="180"/>
  <c r="D5" i="181" s="1"/>
  <c r="O9" i="180"/>
  <c r="E5" i="181" s="1"/>
  <c r="N8" i="180"/>
  <c r="D4" i="181" s="1"/>
  <c r="O8" i="180"/>
  <c r="E4" i="181" s="1"/>
  <c r="AL20" i="176"/>
  <c r="AM20" i="176"/>
  <c r="AD20" i="176"/>
  <c r="AF20" i="176"/>
  <c r="AE20" i="176"/>
  <c r="AK20" i="176"/>
  <c r="AJ20" i="176"/>
  <c r="O7" i="180"/>
  <c r="E7" i="181" s="1"/>
  <c r="N10" i="180"/>
  <c r="D2" i="181" s="1"/>
  <c r="E6" i="181"/>
  <c r="D20" i="188" s="1" a="1"/>
  <c r="D20" i="188" s="1"/>
  <c r="N6" i="180"/>
  <c r="D6" i="181" s="1"/>
  <c r="AP20" i="176"/>
  <c r="AQ20" i="176"/>
  <c r="AR20" i="176"/>
  <c r="AS20" i="176"/>
  <c r="AT20" i="176"/>
  <c r="AU20" i="176"/>
  <c r="AV20" i="176"/>
  <c r="AW20" i="176"/>
  <c r="AX20" i="176"/>
  <c r="AY20" i="176"/>
  <c r="AZ20" i="176"/>
  <c r="BA20" i="176"/>
  <c r="Q18" i="153"/>
  <c r="Q21" i="153"/>
  <c r="R18" i="153"/>
  <c r="Q19" i="153"/>
  <c r="L21" i="153"/>
  <c r="M21" i="153"/>
  <c r="R21" i="153"/>
  <c r="L19" i="153"/>
  <c r="M19" i="153"/>
  <c r="R19" i="153"/>
  <c r="L18" i="153"/>
  <c r="M18" i="153"/>
  <c r="L18" i="179"/>
  <c r="R18" i="179"/>
  <c r="Q18" i="179"/>
  <c r="Q20" i="179"/>
  <c r="R20" i="179"/>
  <c r="R19" i="179"/>
  <c r="Q19" i="179"/>
  <c r="L19" i="179"/>
  <c r="M19" i="179"/>
  <c r="M20" i="179"/>
  <c r="M18" i="179"/>
  <c r="B24" i="188" l="1"/>
  <c r="C20" i="188"/>
  <c r="G55" i="192" a="1"/>
  <c r="G55" i="192" s="1"/>
  <c r="G53" i="192" a="1"/>
  <c r="G53" i="192" s="1"/>
  <c r="G52" i="192" a="1"/>
  <c r="G52" i="192" s="1"/>
  <c r="G51" i="192" a="1"/>
  <c r="G51" i="192" s="1"/>
  <c r="G56" i="192" a="1"/>
  <c r="G56" i="192" s="1"/>
  <c r="G54" i="192" a="1"/>
  <c r="G54" i="192" s="1"/>
  <c r="L21" i="179"/>
  <c r="M21" i="179"/>
  <c r="R21" i="179"/>
  <c r="G41" i="191" s="1" a="1"/>
  <c r="G41" i="191" s="1"/>
  <c r="Q21" i="179"/>
  <c r="E32" i="192" l="1"/>
  <c r="Q3" i="176"/>
  <c r="Q4" i="176"/>
  <c r="Q5" i="176"/>
  <c r="F32" i="192" l="1"/>
  <c r="F34" i="192" s="1"/>
  <c r="R20" i="153"/>
  <c r="Q20" i="153"/>
  <c r="G42" i="191" s="1" a="1"/>
  <c r="G42" i="191" s="1"/>
  <c r="E29" i="191" s="1"/>
  <c r="F29" i="191" s="1"/>
  <c r="L20" i="153"/>
  <c r="M20" i="153"/>
  <c r="G43" i="191" l="1" a="1"/>
  <c r="G43" i="191" s="1"/>
  <c r="F30" i="19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tc={AC02C712-E1C1-4D8E-A712-5939F553257D}</author>
  </authors>
  <commentList>
    <comment ref="L6" authorId="0" shapeId="0" xr:uid="{AC02C712-E1C1-4D8E-A712-5939F553257D}">
      <text>
        <t>[Threaded comment]
Your version of Excel allows you to read this threaded comment; however, any edits to it will get removed if the file is opened in a newer version of Excel. Learn more: https://go.microsoft.com/fwlink/?linkid=870924
Comment:
    Not sure about lamp replaced, is it 1 for 1</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Hannah Murphy</author>
  </authors>
  <commentList>
    <comment ref="X5" authorId="0" shapeId="0" xr:uid="{84CB15F6-1FBB-48B3-A33E-3DC41725EDFE}">
      <text>
        <r>
          <rPr>
            <b/>
            <sz val="9"/>
            <color indexed="81"/>
            <rFont val="Tahoma"/>
            <family val="2"/>
          </rPr>
          <t>Hannah Murphy:</t>
        </r>
        <r>
          <rPr>
            <sz val="9"/>
            <color indexed="81"/>
            <rFont val="Tahoma"/>
            <family val="2"/>
          </rPr>
          <t xml:space="preserve">
Lookup in Table 6.11</t>
        </r>
      </text>
    </comment>
    <comment ref="Y5" authorId="0" shapeId="0" xr:uid="{E794E98C-E6A1-4B12-941D-FC4C8514A1AC}">
      <text>
        <r>
          <rPr>
            <b/>
            <sz val="9"/>
            <color indexed="81"/>
            <rFont val="Tahoma"/>
            <family val="2"/>
          </rPr>
          <t>Hannah Murphy:</t>
        </r>
        <r>
          <rPr>
            <sz val="9"/>
            <color indexed="81"/>
            <rFont val="Tahoma"/>
            <family val="2"/>
          </rPr>
          <t xml:space="preserve">
Lookup in Table 6.11</t>
        </r>
      </text>
    </comment>
    <comment ref="Z5" authorId="0" shapeId="0" xr:uid="{7318A76A-04C1-4EF1-9D73-67288F114B1B}">
      <text>
        <r>
          <rPr>
            <b/>
            <sz val="9"/>
            <color indexed="81"/>
            <rFont val="Tahoma"/>
            <family val="2"/>
          </rPr>
          <t>Hannah Murphy:</t>
        </r>
        <r>
          <rPr>
            <sz val="9"/>
            <color indexed="81"/>
            <rFont val="Tahoma"/>
            <family val="2"/>
          </rPr>
          <t xml:space="preserve">
Lookup in Table 6.11</t>
        </r>
      </text>
    </comment>
    <comment ref="AK5" authorId="0" shapeId="0" xr:uid="{C572AE15-66BF-4B39-BB28-EB2FF62ED76F}">
      <text>
        <r>
          <rPr>
            <b/>
            <sz val="9"/>
            <color indexed="81"/>
            <rFont val="Tahoma"/>
            <family val="2"/>
          </rPr>
          <t>Hannah Murphy:</t>
        </r>
        <r>
          <rPr>
            <sz val="9"/>
            <color indexed="81"/>
            <rFont val="Tahoma"/>
            <family val="2"/>
          </rPr>
          <t xml:space="preserve">
Heating Savings = GSFheat*BTLheat*Heating Capacity</t>
        </r>
      </text>
    </comment>
    <comment ref="BK5" authorId="0" shapeId="0" xr:uid="{822368A5-0FFE-4A9C-AEA8-AB7D0797678C}">
      <text>
        <r>
          <rPr>
            <b/>
            <sz val="9"/>
            <color indexed="81"/>
            <rFont val="Tahoma"/>
            <family val="2"/>
          </rPr>
          <t>Hannah Murphy:</t>
        </r>
        <r>
          <rPr>
            <sz val="9"/>
            <color indexed="81"/>
            <rFont val="Tahoma"/>
            <family val="2"/>
          </rPr>
          <t xml:space="preserve">
Lookup in Table 6.11</t>
        </r>
      </text>
    </comment>
    <comment ref="BL5" authorId="0" shapeId="0" xr:uid="{50CD4A2E-E48D-44FE-BBE6-8D7D32D3F034}">
      <text>
        <r>
          <rPr>
            <b/>
            <sz val="9"/>
            <color indexed="81"/>
            <rFont val="Tahoma"/>
            <family val="2"/>
          </rPr>
          <t>Hannah Murphy:</t>
        </r>
        <r>
          <rPr>
            <sz val="9"/>
            <color indexed="81"/>
            <rFont val="Tahoma"/>
            <family val="2"/>
          </rPr>
          <t xml:space="preserve">
Equation 6.3</t>
        </r>
      </text>
    </comment>
    <comment ref="BM5" authorId="0" shapeId="0" xr:uid="{A2F4D227-4052-48C8-97AF-E233EC713F89}">
      <text>
        <r>
          <rPr>
            <b/>
            <sz val="9"/>
            <color indexed="81"/>
            <rFont val="Tahoma"/>
            <family val="2"/>
          </rPr>
          <t>Hannah Murphy:</t>
        </r>
        <r>
          <rPr>
            <sz val="9"/>
            <color indexed="81"/>
            <rFont val="Tahoma"/>
            <family val="2"/>
          </rPr>
          <t xml:space="preserve">
Equation 6.2</t>
        </r>
      </text>
    </comment>
    <comment ref="BN5" authorId="0" shapeId="0" xr:uid="{D587A1F9-F27F-4B28-9C47-F465E0D0C92F}">
      <text>
        <r>
          <rPr>
            <b/>
            <sz val="9"/>
            <color indexed="81"/>
            <rFont val="Tahoma"/>
            <family val="2"/>
          </rPr>
          <t>Hannah Murphy:</t>
        </r>
        <r>
          <rPr>
            <sz val="9"/>
            <color indexed="81"/>
            <rFont val="Tahoma"/>
            <family val="2"/>
          </rPr>
          <t xml:space="preserve">
Lookup in Table 6.11</t>
        </r>
      </text>
    </comment>
    <comment ref="BO5" authorId="0" shapeId="0" xr:uid="{72D45B44-DD66-4885-8BC3-EAB97DD10BFE}">
      <text>
        <r>
          <rPr>
            <b/>
            <sz val="9"/>
            <color indexed="81"/>
            <rFont val="Tahoma"/>
            <family val="2"/>
          </rPr>
          <t>Hannah Murphy:</t>
        </r>
        <r>
          <rPr>
            <sz val="9"/>
            <color indexed="81"/>
            <rFont val="Tahoma"/>
            <family val="2"/>
          </rPr>
          <t xml:space="preserve">
Equation 6.5</t>
        </r>
      </text>
    </comment>
    <comment ref="BP5" authorId="0" shapeId="0" xr:uid="{55F03A01-97C2-42BB-9640-A33A997A89EF}">
      <text>
        <r>
          <rPr>
            <b/>
            <sz val="9"/>
            <color indexed="81"/>
            <rFont val="Tahoma"/>
            <family val="2"/>
          </rPr>
          <t>Hannah Murphy:</t>
        </r>
        <r>
          <rPr>
            <sz val="9"/>
            <color indexed="81"/>
            <rFont val="Tahoma"/>
            <family val="2"/>
          </rPr>
          <t xml:space="preserve">
Equation 6.4</t>
        </r>
      </text>
    </comment>
    <comment ref="BQ5" authorId="0" shapeId="0" xr:uid="{A103B78A-1AE9-4039-BA47-3AB7D64172F2}">
      <text>
        <r>
          <rPr>
            <b/>
            <sz val="9"/>
            <color indexed="81"/>
            <rFont val="Tahoma"/>
            <family val="2"/>
          </rPr>
          <t>Hannah Murphy:</t>
        </r>
        <r>
          <rPr>
            <sz val="9"/>
            <color indexed="81"/>
            <rFont val="Tahoma"/>
            <family val="2"/>
          </rPr>
          <t xml:space="preserve">
Equation 6.1</t>
        </r>
      </text>
    </comment>
    <comment ref="BT5" authorId="0" shapeId="0" xr:uid="{8DC56103-9515-4DD7-9189-B84C334A5B70}">
      <text>
        <r>
          <rPr>
            <b/>
            <sz val="9"/>
            <color indexed="81"/>
            <rFont val="Tahoma"/>
            <family val="2"/>
          </rPr>
          <t>Hannah Murphy:</t>
        </r>
        <r>
          <rPr>
            <sz val="9"/>
            <color indexed="81"/>
            <rFont val="Tahoma"/>
            <family val="2"/>
          </rPr>
          <t xml:space="preserve">
Heating Savings = GSFheat*BTLheat*Heating Capacity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Hannah Murphy</author>
  </authors>
  <commentList>
    <comment ref="AK32" authorId="0" shapeId="0" xr:uid="{2D008CA7-750A-4D29-8373-8DB949DE7D1B}">
      <text>
        <r>
          <rPr>
            <b/>
            <sz val="9"/>
            <color indexed="81"/>
            <rFont val="Tahoma"/>
            <family val="2"/>
          </rPr>
          <t>Hannah Murphy:</t>
        </r>
        <r>
          <rPr>
            <sz val="9"/>
            <color indexed="81"/>
            <rFont val="Tahoma"/>
            <family val="2"/>
          </rPr>
          <t xml:space="preserve">
3+</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05B4DDD-B055-4D48-8D75-DF5D4C760273}" keepAlive="1" name="Query - Page029" description="Connection to the 'Page029' query in the workbook." type="5" refreshedVersion="0" background="1" saveData="1">
    <dbPr connection="Provider=Microsoft.Mashup.OleDb.1;Data Source=$Workbook$;Location=Page029;Extended Properties=&quot;&quot;" command="SELECT * FROM [Page029]"/>
  </connection>
  <connection id="2" xr16:uid="{169AA371-D3D2-4C58-981A-DA3837D00548}" name="Query - Page029 (2)" description="Connection to the 'Page029 (2)' query in the workbook." type="100" refreshedVersion="8" minRefreshableVersion="5">
    <extLst>
      <ext xmlns:x15="http://schemas.microsoft.com/office/spreadsheetml/2010/11/main" uri="{DE250136-89BD-433C-8126-D09CA5730AF9}">
        <x15:connection id="9d3b8769-d1c4-41e4-a54e-93e9994cbd3a"/>
      </ext>
    </extLst>
  </connection>
  <connection id="3" xr16:uid="{F10C6BAB-9624-42B5-B071-11D7E0BFC69E}" name="Query - Page030" description="Connection to the 'Page030' query in the workbook." type="100" refreshedVersion="8" minRefreshableVersion="5">
    <extLst>
      <ext xmlns:x15="http://schemas.microsoft.com/office/spreadsheetml/2010/11/main" uri="{DE250136-89BD-433C-8126-D09CA5730AF9}">
        <x15:connection id="2c1c2179-900d-43d4-a254-1f0f7c67d24f"/>
      </ext>
    </extLst>
  </connection>
  <connection id="4" xr16:uid="{D29C4986-1666-4975-8274-8ABB9D2147CB}" keepAlive="1" name="Query - Page030 (2)" description="Connection to the 'Page030 (2)' query in the workbook." type="5" refreshedVersion="0" background="1" saveData="1">
    <dbPr connection="Provider=Microsoft.Mashup.OleDb.1;Data Source=$Workbook$;Location=&quot;Page030 (2)&quot;;Extended Properties=&quot;&quot;" command="SELECT * FROM [Page030 (2)]"/>
  </connection>
  <connection id="5" xr16:uid="{E7CC8B08-054B-4A7E-9F90-736EE6232BB4}" name="Query - Page031" description="Connection to the 'Page031' query in the workbook." type="100" refreshedVersion="8" minRefreshableVersion="5">
    <extLst>
      <ext xmlns:x15="http://schemas.microsoft.com/office/spreadsheetml/2010/11/main" uri="{DE250136-89BD-433C-8126-D09CA5730AF9}">
        <x15:connection id="3a444cf3-abf6-4463-a4ec-a0716906e68a"/>
      </ext>
    </extLst>
  </connection>
  <connection id="6" xr16:uid="{93D43C5C-23EA-4293-A6DA-EE220D41CF74}" keepAlive="1" name="Query - Page031 (2)" description="Connection to the 'Page031 (2)' query in the workbook." type="5" refreshedVersion="0" background="1" saveData="1">
    <dbPr connection="Provider=Microsoft.Mashup.OleDb.1;Data Source=$Workbook$;Location=&quot;Page031 (2)&quot;;Extended Properties=&quot;&quot;" command="SELECT * FROM [Page031 (2)]"/>
  </connection>
  <connection id="7" xr16:uid="{D4D90B5C-D043-4BA9-8240-7422ED8BDD9A}" keepAlive="1" name="Query - Page131" description="Connection to the 'Page131' query in the workbook." type="5" refreshedVersion="0" background="1" saveData="1">
    <dbPr connection="Provider=Microsoft.Mashup.OleDb.1;Data Source=$Workbook$;Location=Page131;Extended Properties=&quot;&quot;" command="SELECT * FROM [Page131]"/>
  </connection>
  <connection id="8" xr16:uid="{CE491D1E-D46B-459B-BF51-C92DD364DA74}" keepAlive="1" name="Query - Page137" description="Connection to the 'Page137' query in the workbook." type="5" refreshedVersion="0" background="1" saveData="1">
    <dbPr connection="Provider=Microsoft.Mashup.OleDb.1;Data Source=$Workbook$;Location=Page137;Extended Properties=&quot;&quot;" command="SELECT * FROM [Page137]"/>
  </connection>
  <connection id="9" xr16:uid="{D3DCC457-9435-487C-84E2-92FDBA48CFBC}" name="Query - Page137 (2)" description="Connection to the 'Page137 (2)' query in the workbook." type="100" refreshedVersion="8" minRefreshableVersion="5">
    <extLst>
      <ext xmlns:x15="http://schemas.microsoft.com/office/spreadsheetml/2010/11/main" uri="{DE250136-89BD-433C-8126-D09CA5730AF9}">
        <x15:connection id="2fda82ad-41b4-4b60-b980-cbc49488c647"/>
      </ext>
    </extLst>
  </connection>
  <connection id="10" xr16:uid="{AC9E1385-56F4-4B31-930C-85879FB64597}" name="Query - Page138" description="Connection to the 'Page138' query in the workbook." type="100" refreshedVersion="8" minRefreshableVersion="5">
    <extLst>
      <ext xmlns:x15="http://schemas.microsoft.com/office/spreadsheetml/2010/11/main" uri="{DE250136-89BD-433C-8126-D09CA5730AF9}">
        <x15:connection id="b8ed94de-1b9d-40ad-b5ea-942864cd0398"/>
      </ext>
    </extLst>
  </connection>
  <connection id="11" xr16:uid="{1709FF8B-19F6-4A87-B179-AB52DA8C5602}" name="Query - Page139" description="Connection to the 'Page139' query in the workbook." type="100" refreshedVersion="8" minRefreshableVersion="5">
    <extLst>
      <ext xmlns:x15="http://schemas.microsoft.com/office/spreadsheetml/2010/11/main" uri="{DE250136-89BD-433C-8126-D09CA5730AF9}">
        <x15:connection id="12d6982b-98c6-4482-9ede-a12ed27803c5"/>
      </ext>
    </extLst>
  </connection>
  <connection id="12" xr16:uid="{4413D007-3769-44BF-84A1-22D4D4FC4380}" name="Query - Page140" description="Connection to the 'Page140' query in the workbook." type="100" refreshedVersion="8" minRefreshableVersion="5">
    <extLst>
      <ext xmlns:x15="http://schemas.microsoft.com/office/spreadsheetml/2010/11/main" uri="{DE250136-89BD-433C-8126-D09CA5730AF9}">
        <x15:connection id="dd520216-a99f-4c93-bb3c-0fa140721ffb"/>
      </ext>
    </extLst>
  </connection>
  <connection id="13" xr16:uid="{A1B16B01-651F-4B23-91F0-AE49365609F0}" name="Query - Page141" description="Connection to the 'Page141' query in the workbook." type="100" refreshedVersion="8" minRefreshableVersion="5">
    <extLst>
      <ext xmlns:x15="http://schemas.microsoft.com/office/spreadsheetml/2010/11/main" uri="{DE250136-89BD-433C-8126-D09CA5730AF9}">
        <x15:connection id="859cce13-ce0f-4517-baf7-06e8703fd61a"/>
      </ext>
    </extLst>
  </connection>
  <connection id="14" xr16:uid="{3BFF36A0-4EA7-4C9B-9366-E8EBC502C162}" name="Query - Page142" description="Connection to the 'Page142' query in the workbook." type="100" refreshedVersion="8" minRefreshableVersion="5">
    <extLst>
      <ext xmlns:x15="http://schemas.microsoft.com/office/spreadsheetml/2010/11/main" uri="{DE250136-89BD-433C-8126-D09CA5730AF9}">
        <x15:connection id="937eb10e-85b8-4da8-964c-06aeba2d705b"/>
      </ext>
    </extLst>
  </connection>
  <connection id="15" xr16:uid="{7DD70FCA-B6AB-446B-BF9C-4A62537A0C25}" name="Query - Page143" description="Connection to the 'Page143' query in the workbook." type="100" refreshedVersion="8" minRefreshableVersion="5">
    <extLst>
      <ext xmlns:x15="http://schemas.microsoft.com/office/spreadsheetml/2010/11/main" uri="{DE250136-89BD-433C-8126-D09CA5730AF9}">
        <x15:connection id="58f48721-351e-44be-8c58-fc8f45e5cdc8"/>
      </ext>
    </extLst>
  </connection>
  <connection id="16" xr16:uid="{2124AB11-C281-452D-A097-267D41E5D220}" name="Query - Page144" description="Connection to the 'Page144' query in the workbook." type="100" refreshedVersion="8" minRefreshableVersion="5">
    <extLst>
      <ext xmlns:x15="http://schemas.microsoft.com/office/spreadsheetml/2010/11/main" uri="{DE250136-89BD-433C-8126-D09CA5730AF9}">
        <x15:connection id="6d8f1c04-2548-4b40-b157-dcf3613099b0"/>
      </ext>
    </extLst>
  </connection>
  <connection id="17" xr16:uid="{C62DFFBC-F9D5-4922-B696-890F44B61AD5}" name="Query - Page145" description="Connection to the 'Page145' query in the workbook." type="100" refreshedVersion="8" minRefreshableVersion="5">
    <extLst>
      <ext xmlns:x15="http://schemas.microsoft.com/office/spreadsheetml/2010/11/main" uri="{DE250136-89BD-433C-8126-D09CA5730AF9}">
        <x15:connection id="f67b71ce-1434-4f0c-9cad-23a13ae699d2"/>
      </ext>
    </extLst>
  </connection>
  <connection id="18" xr16:uid="{6BEA47B4-496B-4559-91AD-BC2DA2E3988D}" name="Query - Page146" description="Connection to the 'Page146' query in the workbook." type="100" refreshedVersion="8" minRefreshableVersion="5">
    <extLst>
      <ext xmlns:x15="http://schemas.microsoft.com/office/spreadsheetml/2010/11/main" uri="{DE250136-89BD-433C-8126-D09CA5730AF9}">
        <x15:connection id="f8c31c1d-f321-44c2-b786-a97e8c6aa080"/>
      </ext>
    </extLst>
  </connection>
  <connection id="19" xr16:uid="{EE865DEC-ED58-48D1-8365-CA5183AEB914}" keepAlive="1" name="Query - Page146 (2)" description="Connection to the 'Page146 (2)' query in the workbook." type="5" refreshedVersion="0" background="1" saveData="1">
    <dbPr connection="Provider=Microsoft.Mashup.OleDb.1;Data Source=$Workbook$;Location=&quot;Page146 (2)&quot;;Extended Properties=&quot;&quot;" command="SELECT * FROM [Page146 (2)]"/>
  </connection>
  <connection id="20" xr16:uid="{4F8EAAD0-215F-4A2B-AA9D-26842DE3A3D4}" name="Query - Page147" description="Connection to the 'Page147' query in the workbook." type="100" refreshedVersion="8" minRefreshableVersion="5">
    <extLst>
      <ext xmlns:x15="http://schemas.microsoft.com/office/spreadsheetml/2010/11/main" uri="{DE250136-89BD-433C-8126-D09CA5730AF9}">
        <x15:connection id="911a9029-33b5-4161-b4bb-59d1e1f3aa71"/>
      </ext>
    </extLst>
  </connection>
  <connection id="21" xr16:uid="{92185776-7A68-4E16-AA0F-E2D6867AD416}" name="Query - Page148" description="Connection to the 'Page148' query in the workbook." type="100" refreshedVersion="8" minRefreshableVersion="5">
    <extLst>
      <ext xmlns:x15="http://schemas.microsoft.com/office/spreadsheetml/2010/11/main" uri="{DE250136-89BD-433C-8126-D09CA5730AF9}">
        <x15:connection id="45d5ae56-3305-4178-9e4f-6d8a651aed97"/>
      </ext>
    </extLst>
  </connection>
  <connection id="22" xr16:uid="{9E163770-2804-476E-A443-FA77DAD83F84}" name="Query - Page149" description="Connection to the 'Page149' query in the workbook." type="100" refreshedVersion="8" minRefreshableVersion="5">
    <extLst>
      <ext xmlns:x15="http://schemas.microsoft.com/office/spreadsheetml/2010/11/main" uri="{DE250136-89BD-433C-8126-D09CA5730AF9}">
        <x15:connection id="a9f57eb5-dbe8-4d89-a2af-dc1fb566c347"/>
      </ext>
    </extLst>
  </connection>
  <connection id="23" xr16:uid="{11518E03-0215-4D43-B4BC-4CCD528F86FB}" name="Query - Page150" description="Connection to the 'Page150' query in the workbook." type="100" refreshedVersion="8" minRefreshableVersion="5">
    <extLst>
      <ext xmlns:x15="http://schemas.microsoft.com/office/spreadsheetml/2010/11/main" uri="{DE250136-89BD-433C-8126-D09CA5730AF9}">
        <x15:connection id="902ae235-e890-4355-bad7-412fc9a066c9"/>
      </ext>
    </extLst>
  </connection>
  <connection id="24" xr16:uid="{623403EC-0DFA-405D-8917-37B5C60ED793}" name="Query - Page151" description="Connection to the 'Page151' query in the workbook." type="100" refreshedVersion="8" minRefreshableVersion="5">
    <extLst>
      <ext xmlns:x15="http://schemas.microsoft.com/office/spreadsheetml/2010/11/main" uri="{DE250136-89BD-433C-8126-D09CA5730AF9}">
        <x15:connection id="0cd568b1-f121-41eb-a687-3e4345178256"/>
      </ext>
    </extLst>
  </connection>
  <connection id="25" xr16:uid="{FB9DA529-DA40-4BFC-AD14-1D56ADE5C823}" name="Query - Page152" description="Connection to the 'Page152' query in the workbook." type="100" refreshedVersion="8" minRefreshableVersion="5">
    <extLst>
      <ext xmlns:x15="http://schemas.microsoft.com/office/spreadsheetml/2010/11/main" uri="{DE250136-89BD-433C-8126-D09CA5730AF9}">
        <x15:connection id="b828a930-a772-4ce7-a1bf-d85870775924"/>
      </ext>
    </extLst>
  </connection>
  <connection id="26" xr16:uid="{322C6073-213A-4BB7-9224-1BE5D8DD6199}" keepAlive="1" name="Query - Page152 (2)" description="Connection to the 'Page152 (2)' query in the workbook." type="5" refreshedVersion="0" background="1" saveData="1">
    <dbPr connection="Provider=Microsoft.Mashup.OleDb.1;Data Source=$Workbook$;Location=&quot;Page152 (2)&quot;;Extended Properties=&quot;&quot;" command="SELECT * FROM [Page152 (2)]"/>
  </connection>
  <connection id="27" xr16:uid="{35FA3411-33AE-439D-AACE-9520EE6E5027}" name="Query - Page153" description="Connection to the 'Page153' query in the workbook." type="100" refreshedVersion="8" minRefreshableVersion="5">
    <extLst>
      <ext xmlns:x15="http://schemas.microsoft.com/office/spreadsheetml/2010/11/main" uri="{DE250136-89BD-433C-8126-D09CA5730AF9}">
        <x15:connection id="9cb7e57a-a682-4e8f-a3eb-a63266a7e9b0"/>
      </ext>
    </extLst>
  </connection>
  <connection id="28" xr16:uid="{076FCFD2-8C44-4BAC-9991-DC726D260792}" name="Query - Page154" description="Connection to the 'Page154' query in the workbook." type="100" refreshedVersion="8" minRefreshableVersion="5">
    <extLst>
      <ext xmlns:x15="http://schemas.microsoft.com/office/spreadsheetml/2010/11/main" uri="{DE250136-89BD-433C-8126-D09CA5730AF9}">
        <x15:connection id="690d764b-fb13-4d48-86ce-6c23785b779d"/>
      </ext>
    </extLst>
  </connection>
  <connection id="29" xr16:uid="{B84973E5-4D52-4521-A867-9C14030C2C82}" name="Query - Page155" description="Connection to the 'Page155' query in the workbook." type="100" refreshedVersion="8" minRefreshableVersion="5">
    <extLst>
      <ext xmlns:x15="http://schemas.microsoft.com/office/spreadsheetml/2010/11/main" uri="{DE250136-89BD-433C-8126-D09CA5730AF9}">
        <x15:connection id="34900197-bdfb-456a-a2f5-aeefd223133b"/>
      </ext>
    </extLst>
  </connection>
  <connection id="30" xr16:uid="{E8ED57D9-91C4-4392-BB1F-B68EAB2E953A}" keepAlive="1" name="Query - Page155 (2)" description="Connection to the 'Page155 (2)' query in the workbook." type="5" refreshedVersion="0" background="1" saveData="1">
    <dbPr connection="Provider=Microsoft.Mashup.OleDb.1;Data Source=$Workbook$;Location=&quot;Page155 (2)&quot;;Extended Properties=&quot;&quot;" command="SELECT * FROM [Page155 (2)]"/>
  </connection>
  <connection id="31" xr16:uid="{D77A099E-332A-4807-85C5-A1402A39EE98}" name="Query - Page156" description="Connection to the 'Page156' query in the workbook." type="100" refreshedVersion="8" minRefreshableVersion="5">
    <extLst>
      <ext xmlns:x15="http://schemas.microsoft.com/office/spreadsheetml/2010/11/main" uri="{DE250136-89BD-433C-8126-D09CA5730AF9}">
        <x15:connection id="ef43747b-bf93-43bb-82f2-df64a8c7df1d"/>
      </ext>
    </extLst>
  </connection>
  <connection id="32" xr16:uid="{2724E3C4-F544-4E9A-B7D4-328B4DD9072E}" keepAlive="1" name="Query - Page156 (2)" description="Connection to the 'Page156 (2)' query in the workbook." type="5" refreshedVersion="0" background="1" saveData="1">
    <dbPr connection="Provider=Microsoft.Mashup.OleDb.1;Data Source=$Workbook$;Location=&quot;Page156 (2)&quot;;Extended Properties=&quot;&quot;" command="SELECT * FROM [Page156 (2)]"/>
  </connection>
  <connection id="33" xr16:uid="{BBD41813-B96A-4E4B-BB90-B2404AF11D88}" name="Query - Page157" description="Connection to the 'Page157' query in the workbook." type="100" refreshedVersion="8" minRefreshableVersion="5">
    <extLst>
      <ext xmlns:x15="http://schemas.microsoft.com/office/spreadsheetml/2010/11/main" uri="{DE250136-89BD-433C-8126-D09CA5730AF9}">
        <x15:connection id="adb01d00-22cb-4589-bbfa-7a1ff8e29f82"/>
      </ext>
    </extLst>
  </connection>
  <connection id="34" xr16:uid="{46FC1887-720D-401D-B6D0-E99E57BE885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<sst xmlns="http://schemas.openxmlformats.org/spreadsheetml/2006/main" count="37156" uniqueCount="723">
  <si>
    <t>ESS Residential HEER Results</t>
  </si>
  <si>
    <t>Metropolitan</t>
  </si>
  <si>
    <t>Regional</t>
  </si>
  <si>
    <t>Baseline A</t>
  </si>
  <si>
    <t>Baseline B</t>
  </si>
  <si>
    <t>a</t>
  </si>
  <si>
    <t>b</t>
  </si>
  <si>
    <t>Elec Savings</t>
  </si>
  <si>
    <t>Gas Savings</t>
  </si>
  <si>
    <t>System Name</t>
  </si>
  <si>
    <t>Load size</t>
  </si>
  <si>
    <t>VEU Activities</t>
  </si>
  <si>
    <t>1C</t>
  </si>
  <si>
    <t>1D</t>
  </si>
  <si>
    <t>VEECs - Metro</t>
  </si>
  <si>
    <t>VEECs - Regional</t>
  </si>
  <si>
    <t>D17</t>
  </si>
  <si>
    <t>D18</t>
  </si>
  <si>
    <t>D19</t>
  </si>
  <si>
    <t>D20</t>
  </si>
  <si>
    <t>D21</t>
  </si>
  <si>
    <t>Abatement</t>
  </si>
  <si>
    <t>SEF</t>
  </si>
  <si>
    <t>AEF</t>
  </si>
  <si>
    <t>Lifetime (years)</t>
  </si>
  <si>
    <t>Scheme</t>
  </si>
  <si>
    <t>Certificate Price</t>
  </si>
  <si>
    <t>Small</t>
  </si>
  <si>
    <t>Medium</t>
  </si>
  <si>
    <t>STC</t>
  </si>
  <si>
    <t>VEEC</t>
  </si>
  <si>
    <t>ESC</t>
  </si>
  <si>
    <t>PRC</t>
  </si>
  <si>
    <t>ESS Electricity Conversion Factors</t>
  </si>
  <si>
    <t>Heat pump replacing electric</t>
  </si>
  <si>
    <t>VEU Electricity Emissions Factors (kg CO2eq/kWh)</t>
  </si>
  <si>
    <t>EEF</t>
  </si>
  <si>
    <t>VEU</t>
  </si>
  <si>
    <t>ESS</t>
  </si>
  <si>
    <t>SRES</t>
  </si>
  <si>
    <t>Brand</t>
  </si>
  <si>
    <t>9-year (2022)</t>
  </si>
  <si>
    <t>8-year (2023)</t>
  </si>
  <si>
    <t>7-year (2024)</t>
  </si>
  <si>
    <t>6-year (2025)</t>
  </si>
  <si>
    <t>5-year (2026)</t>
  </si>
  <si>
    <t>4-year (2027)</t>
  </si>
  <si>
    <t>3-year (2028)</t>
  </si>
  <si>
    <t>2-year (2029</t>
  </si>
  <si>
    <t>1-year (2030)</t>
  </si>
  <si>
    <t>Multiplier</t>
  </si>
  <si>
    <t>Link</t>
  </si>
  <si>
    <t>Zone 4 Bs</t>
  </si>
  <si>
    <t>Zone 4 Be</t>
  </si>
  <si>
    <t>Zone 5 Bs</t>
  </si>
  <si>
    <t>Zone 5 Be</t>
  </si>
  <si>
    <t>Metro</t>
  </si>
  <si>
    <t>Zone 3 Bs</t>
  </si>
  <si>
    <t>Zone 3 Be</t>
  </si>
  <si>
    <t>https://www.energysustainabilityschemes.nsw.gov.au/Home/About-ESS/Legislation-ESS-Performance/ESS-Rule</t>
  </si>
  <si>
    <t>D17 - Replace Electric</t>
  </si>
  <si>
    <t>D19 - Replace Gas</t>
  </si>
  <si>
    <t>Zone</t>
  </si>
  <si>
    <t>Combined PostCode - Zone - Metro/Regional</t>
  </si>
  <si>
    <t>Years</t>
  </si>
  <si>
    <t>https://www.demandmanager.com.au/certificate-prices/</t>
  </si>
  <si>
    <t>Activity</t>
  </si>
  <si>
    <t>Electric solar replacing electric</t>
  </si>
  <si>
    <t>3C</t>
  </si>
  <si>
    <t>Decommissioning Gas and Installing Heat Pump</t>
  </si>
  <si>
    <t>Description</t>
  </si>
  <si>
    <t>Region</t>
  </si>
  <si>
    <t>Load Size</t>
  </si>
  <si>
    <t>EEFm</t>
  </si>
  <si>
    <t>VEECs - Metropolitan</t>
  </si>
  <si>
    <t>Refrigerant Charge (kg)</t>
  </si>
  <si>
    <t>R-290</t>
  </si>
  <si>
    <t>R-744</t>
  </si>
  <si>
    <t>GWP</t>
  </si>
  <si>
    <t>HPElec</t>
  </si>
  <si>
    <t>HPGas</t>
  </si>
  <si>
    <t>RepEff</t>
  </si>
  <si>
    <t>RefElec</t>
  </si>
  <si>
    <t>https://www.esc.vic.gov.au/sites/default/files/documents/PBL%20-%20Commercial%20and%20Industrial%20Air%20Source%20Heat%20Pump%20Water%20Heater%20Product%20Application%20Guide%20V1.3~%2020230629.pdf</t>
  </si>
  <si>
    <t>Capacity Factor</t>
  </si>
  <si>
    <t>Existing Capacity (kW)</t>
  </si>
  <si>
    <t>R-1234yf</t>
  </si>
  <si>
    <t>R-404A</t>
  </si>
  <si>
    <t>R-1234ze(E)</t>
  </si>
  <si>
    <t>R-407A</t>
  </si>
  <si>
    <t>R-125</t>
  </si>
  <si>
    <t>R-407B</t>
  </si>
  <si>
    <t>R-1270</t>
  </si>
  <si>
    <t>R-407C</t>
  </si>
  <si>
    <t>R-12A</t>
  </si>
  <si>
    <t>R-407D</t>
  </si>
  <si>
    <t>R-134A</t>
  </si>
  <si>
    <t>R-407E</t>
  </si>
  <si>
    <t>R-143A</t>
  </si>
  <si>
    <t>R-407F</t>
  </si>
  <si>
    <t>R-152A</t>
  </si>
  <si>
    <t>R-407G</t>
  </si>
  <si>
    <t>R-170</t>
  </si>
  <si>
    <t>R-41</t>
  </si>
  <si>
    <t>R-227EA</t>
  </si>
  <si>
    <t>R-410A</t>
  </si>
  <si>
    <t>R-22A</t>
  </si>
  <si>
    <t>R-410B</t>
  </si>
  <si>
    <t>R-23</t>
  </si>
  <si>
    <t>R-413A</t>
  </si>
  <si>
    <t>R-236CB</t>
  </si>
  <si>
    <t>R-417A</t>
  </si>
  <si>
    <t>R-236EA</t>
  </si>
  <si>
    <t>R-417B</t>
  </si>
  <si>
    <t>R-236FA</t>
  </si>
  <si>
    <t>R-417C</t>
  </si>
  <si>
    <t>R-245CA</t>
  </si>
  <si>
    <t>R-419A</t>
  </si>
  <si>
    <t>R-245FA</t>
  </si>
  <si>
    <t>R-419B</t>
  </si>
  <si>
    <t>R-421A</t>
  </si>
  <si>
    <t>R-32</t>
  </si>
  <si>
    <t>R-421B</t>
  </si>
  <si>
    <t>R-365MFC</t>
  </si>
  <si>
    <t>R-422A</t>
  </si>
  <si>
    <t>R-422B</t>
  </si>
  <si>
    <t>R-449A</t>
  </si>
  <si>
    <t>R-422C</t>
  </si>
  <si>
    <t>R-449B</t>
  </si>
  <si>
    <t>R-422D</t>
  </si>
  <si>
    <t>R-449C</t>
  </si>
  <si>
    <t>R-422E</t>
  </si>
  <si>
    <t>R-450A</t>
  </si>
  <si>
    <t>R-423A</t>
  </si>
  <si>
    <t>R-451A</t>
  </si>
  <si>
    <t>R-424A</t>
  </si>
  <si>
    <t>R-451B</t>
  </si>
  <si>
    <t>R-425A</t>
  </si>
  <si>
    <t>R-452A</t>
  </si>
  <si>
    <t>R-426A</t>
  </si>
  <si>
    <t>R-452B</t>
  </si>
  <si>
    <t>R-427A</t>
  </si>
  <si>
    <t>R-452C</t>
  </si>
  <si>
    <t>R-428A</t>
  </si>
  <si>
    <t>R-453A</t>
  </si>
  <si>
    <t>R-429A</t>
  </si>
  <si>
    <t>R-454A</t>
  </si>
  <si>
    <t>R-430A</t>
  </si>
  <si>
    <t>R-454B</t>
  </si>
  <si>
    <t>R-43-10MEE</t>
  </si>
  <si>
    <t>R-454C</t>
  </si>
  <si>
    <t>R-431A</t>
  </si>
  <si>
    <t>R-455A</t>
  </si>
  <si>
    <t>R-434A</t>
  </si>
  <si>
    <t>R-456A</t>
  </si>
  <si>
    <t>R-435A</t>
  </si>
  <si>
    <t>R-457A</t>
  </si>
  <si>
    <t>R-437A</t>
  </si>
  <si>
    <t>R-458A</t>
  </si>
  <si>
    <t>R-438A</t>
  </si>
  <si>
    <t>R-500</t>
  </si>
  <si>
    <t>R-439A</t>
  </si>
  <si>
    <t>R-502A</t>
  </si>
  <si>
    <t>R-440A</t>
  </si>
  <si>
    <t>R-503</t>
  </si>
  <si>
    <t>R-442A</t>
  </si>
  <si>
    <t>R-507A</t>
  </si>
  <si>
    <t>R-444A</t>
  </si>
  <si>
    <t>R-508A</t>
  </si>
  <si>
    <t>R-444B</t>
  </si>
  <si>
    <t>R-508B</t>
  </si>
  <si>
    <t>R-445A</t>
  </si>
  <si>
    <t>R-512A</t>
  </si>
  <si>
    <t>R-446A</t>
  </si>
  <si>
    <t>R-513A</t>
  </si>
  <si>
    <t>R-447A</t>
  </si>
  <si>
    <t>R-513B</t>
  </si>
  <si>
    <t>R-447B</t>
  </si>
  <si>
    <t>R-515A</t>
  </si>
  <si>
    <t>R-448A</t>
  </si>
  <si>
    <t>R-600</t>
  </si>
  <si>
    <t>R-600a</t>
  </si>
  <si>
    <t>R-601A</t>
  </si>
  <si>
    <t>R-717</t>
  </si>
  <si>
    <t>Zone 5</t>
  </si>
  <si>
    <t>HP Capacity (kW)</t>
  </si>
  <si>
    <t>Refrigerant</t>
  </si>
  <si>
    <t>CPL</t>
  </si>
  <si>
    <t>F17 New</t>
  </si>
  <si>
    <t>F16 Elec</t>
  </si>
  <si>
    <t>F16 Gas</t>
  </si>
  <si>
    <t>ESCs - Regional</t>
  </si>
  <si>
    <t>ESCs - Metro</t>
  </si>
  <si>
    <t>NewEff</t>
  </si>
  <si>
    <t>ESS Activities F16-17</t>
  </si>
  <si>
    <t>MetroESS</t>
  </si>
  <si>
    <t>RegionalESS</t>
  </si>
  <si>
    <t>Life_ESS</t>
  </si>
  <si>
    <t>VEU Residential 3C: Decommissioning Gas and Installing Heat Pump</t>
  </si>
  <si>
    <t>Zone 3</t>
  </si>
  <si>
    <t>EE-HWS-A1-220E-1</t>
  </si>
  <si>
    <t>EE-HWS-A1-270</t>
  </si>
  <si>
    <t>EE-HWS-A1-270E</t>
  </si>
  <si>
    <t>Emerald Energy</t>
  </si>
  <si>
    <t>Ecogenica</t>
  </si>
  <si>
    <t>EG-215FR290</t>
  </si>
  <si>
    <t>EG-215FR</t>
  </si>
  <si>
    <t>EG-290FR</t>
  </si>
  <si>
    <t>EE-HWS-RCHPOU/EE-HWS-RCHP-200E-1</t>
  </si>
  <si>
    <t>VEU Residential 1D: Decommissioning Electric and Installing Heat Pump</t>
  </si>
  <si>
    <t>ACCREDITED POWER SAVER CO CERTIFICATE CALCULATOR</t>
  </si>
  <si>
    <t>LED Lamp only</t>
  </si>
  <si>
    <t>Tungsten halogen Lamp (240V)</t>
  </si>
  <si>
    <t>EM-LM01W005-10</t>
  </si>
  <si>
    <t>EcoMatters</t>
  </si>
  <si>
    <t>E1</t>
  </si>
  <si>
    <t>EM-LG01W005-10</t>
  </si>
  <si>
    <t>Infrared coated (IRC) halogen Lamp (ELV)</t>
  </si>
  <si>
    <t>EP-HP-TD90-5</t>
  </si>
  <si>
    <t>Emerald Planet</t>
  </si>
  <si>
    <t>Tungsten halogen lamp (ELV)</t>
  </si>
  <si>
    <t>EP-HP-TD70-5</t>
  </si>
  <si>
    <t>Residential Building Electricity Savings Factor (MWh per Lamp replaced)</t>
  </si>
  <si>
    <t>ESS Activities Lighting</t>
  </si>
  <si>
    <t>Table E1.1 Residential Building Electricity Savings Factor (MWh per Lamp replaced)</t>
  </si>
  <si>
    <t>Existing Lamp and/or Luminaire</t>
  </si>
  <si>
    <t>New Lamp and/or Luminaire</t>
  </si>
  <si>
    <t>New Lamp Circuit Power ≤5 W</t>
  </si>
  <si>
    <t>5W &lt; New Lamp Circuit Power ≤10 W</t>
  </si>
  <si>
    <t>10W &lt; New Lamp Circuit Power ≤15 W</t>
  </si>
  <si>
    <t xml:space="preserve">min </t>
  </si>
  <si>
    <t>max</t>
  </si>
  <si>
    <t>LCP (W)</t>
  </si>
  <si>
    <t>Number of Lamps Replaced</t>
  </si>
  <si>
    <t>Deemed Activity Electricity Savings (MWh)</t>
  </si>
  <si>
    <t>EP-VGG3-123-25</t>
  </si>
  <si>
    <t>E5</t>
  </si>
  <si>
    <t>EM-PSB01W020-12</t>
  </si>
  <si>
    <t>Eco Matters</t>
  </si>
  <si>
    <t>EM-BLP120W25-12</t>
  </si>
  <si>
    <t>EP-AES11-3</t>
  </si>
  <si>
    <t>E11</t>
  </si>
  <si>
    <t>EP-ABC11-3</t>
  </si>
  <si>
    <t>EP-LBR40-15</t>
  </si>
  <si>
    <t>E3</t>
  </si>
  <si>
    <t>Model</t>
  </si>
  <si>
    <t>Table E3.1 Residential Building Electricity Savings Factor (MWh per PAR lamp replaced)</t>
  </si>
  <si>
    <t>-</t>
  </si>
  <si>
    <t>Max LCP of Existing Lamp (W)</t>
  </si>
  <si>
    <t>Minimum LCP of Existing Lamp (W)</t>
  </si>
  <si>
    <t>Minimum Light output of new End-User Equipment (lm)</t>
  </si>
  <si>
    <t>Residential Building Electricity Savings Factor (MWh per PAR lamp replaced)</t>
  </si>
  <si>
    <t>Replacement Lamp LCP ≤15 W</t>
  </si>
  <si>
    <t>Replacement Lamp LCP ≤ 25 W</t>
  </si>
  <si>
    <t>Replacement Lamp LCP ≤ 30 W</t>
  </si>
  <si>
    <t>Replacement Lamp LCP ≤ 40 W</t>
  </si>
  <si>
    <t>Min</t>
  </si>
  <si>
    <t>Max</t>
  </si>
  <si>
    <t>Replacement Lamp</t>
  </si>
  <si>
    <t>LCP Replacement Lamp (W)</t>
  </si>
  <si>
    <t>Light output of new End-User Equipment (lm)</t>
  </si>
  <si>
    <t>Table E5.1 – Residential Building Electricity Savings Factor (MWh per T8 or T12 Luminaire replaced)</t>
  </si>
  <si>
    <t/>
  </si>
  <si>
    <t>Model Number</t>
  </si>
  <si>
    <t>Minimum Length (mm)</t>
  </si>
  <si>
    <t>Number of Lamps</t>
  </si>
  <si>
    <t>Light Output of new End-User Equipment (lm)</t>
  </si>
  <si>
    <t>Existing Luminaire</t>
  </si>
  <si>
    <t>Max Length (mm)</t>
  </si>
  <si>
    <t>Length (mm)</t>
  </si>
  <si>
    <t>Residential Building Electricity Savings Factor (MWh per T8 or T12 Luminaire replaced)</t>
  </si>
  <si>
    <t>Replacement Lamp LCP ≤10 W</t>
  </si>
  <si>
    <t>Replacement Lamp LCP ≤15
W</t>
  </si>
  <si>
    <t>Replacement Lamp LCP ≤20
W</t>
  </si>
  <si>
    <t>Replacement Lamp LCP ≤25
W</t>
  </si>
  <si>
    <t>Replacement Lamp LCP ≤30
W</t>
  </si>
  <si>
    <t>Replacement Lamp LCP ≤35
W</t>
  </si>
  <si>
    <t>Replacement Lamp LCP ≤40
W</t>
  </si>
  <si>
    <t>Replacement Lamp LCP ≤45
W</t>
  </si>
  <si>
    <t>Replacement Lamp LCP ≤50
W</t>
  </si>
  <si>
    <t>Replacement Lamp LCP ≤60
W</t>
  </si>
  <si>
    <t>Replacement Lamp LCP ≤70
W</t>
  </si>
  <si>
    <t>Replacement Lamp LCP ≤80
W</t>
  </si>
  <si>
    <t>Replacement Lamp LCP ≤90
W</t>
  </si>
  <si>
    <t>Min Light Output of new End-User Equipment (lm)</t>
  </si>
  <si>
    <t>Luminous Efficacy (lm/W)</t>
  </si>
  <si>
    <t>https://emeraldplanet.com.au/newdata/pdf/Emerald_Planet_Traditional_Plus.pdf</t>
  </si>
  <si>
    <t>Equipment Class</t>
  </si>
  <si>
    <t>Existing Lamp/s</t>
  </si>
  <si>
    <t>LED Lamp and Driver or LED Luminaire - recessed</t>
  </si>
  <si>
    <t>LED Lamp only – 240V Self Ballasted</t>
  </si>
  <si>
    <t>Activity E1: Replace Halogen Downlight With An Led Luminaire And/Or Lamp</t>
  </si>
  <si>
    <t>Existing PAR Lamp/s</t>
  </si>
  <si>
    <t>Activity E3: Replace Parabolic Aluminised Reflector (Par) Lamp With Efficient Luminaire And/Or Lamp</t>
  </si>
  <si>
    <t>https://emeraldplanet.com.au/product/br-bulb-series/</t>
  </si>
  <si>
    <t>Activity E5: Replace A T8 Or T12 Luminaire With A Led Luminaire</t>
  </si>
  <si>
    <t>Activity E11: Replace An Edison Screw Or Bayonet Lamp With An Led Lamp For General Lighting Purposes</t>
  </si>
  <si>
    <t>Light Output (lm)</t>
  </si>
  <si>
    <t>Light Output (lm/lamp)</t>
  </si>
  <si>
    <t>Total Light Output (lm)</t>
  </si>
  <si>
    <t>Required parameter</t>
  </si>
  <si>
    <t>1. Enter Postcode</t>
  </si>
  <si>
    <t>Data Validation</t>
  </si>
  <si>
    <t>Max Value</t>
  </si>
  <si>
    <t>No.lamps &gt;=3</t>
  </si>
  <si>
    <t>Max LCP (W)</t>
  </si>
  <si>
    <t>Savings</t>
  </si>
  <si>
    <t>Refrigerant Type</t>
  </si>
  <si>
    <t>Min Value</t>
  </si>
  <si>
    <t>Table 3: List of refrigerant types with global warming potentials (GWP) values</t>
  </si>
  <si>
    <t>Commercial</t>
  </si>
  <si>
    <t>Residential</t>
  </si>
  <si>
    <t>Decommissioning gas and installing heat pump</t>
  </si>
  <si>
    <t>Decommissioning electric and installing heat pump</t>
  </si>
  <si>
    <t>Install one or more air source heat pump water heater systems</t>
  </si>
  <si>
    <t>Replace one or more existing hot water boilers or water heaters with one or more air source heat pump water heater systems</t>
  </si>
  <si>
    <t>Replace an existing gas water heater with an air source heat pump water heater</t>
  </si>
  <si>
    <t>Replace an existing electric water heater with an (air source) heat pump water heater</t>
  </si>
  <si>
    <t>Activity Description</t>
  </si>
  <si>
    <t>Certificate Calculations</t>
  </si>
  <si>
    <t>Instructions</t>
  </si>
  <si>
    <t>About</t>
  </si>
  <si>
    <t>Accredited Power Saver Co Certificate Calculator</t>
  </si>
  <si>
    <t>This workbook calculates the rebates specified products receive for Victorian Energy Upgrade (VEU) scenarios and Energy Saving Scheme (ESS) activities, listed in the table below.</t>
  </si>
  <si>
    <t>Lighting Certificate Calculator</t>
  </si>
  <si>
    <t>Replace Halogen Downlight With An Led Luminaire And/Or Lamp</t>
  </si>
  <si>
    <t>Replace Parabolic Aluminised Reflector (Par) Lamp With Efficient Luminaire And/Or Lamp</t>
  </si>
  <si>
    <t>Replace A T8 Or T12 Luminaire With A Led Luminaire</t>
  </si>
  <si>
    <t>Replace An Edison Screw Or Bayonet Lamp With An Led Lamp For General Lighting Purposes</t>
  </si>
  <si>
    <r>
      <t>Similarly, the user can acquire the number of ESCs a selected lighting product will receive for the desired ESS activity, postcode, number of existing lamps. Follow instructions on ‘</t>
    </r>
    <r>
      <rPr>
        <i/>
        <sz val="11"/>
        <color theme="1"/>
        <rFont val="Calibri"/>
        <family val="2"/>
        <scheme val="minor"/>
      </rPr>
      <t xml:space="preserve">Lighting Certificate Calculator’ </t>
    </r>
    <r>
      <rPr>
        <sz val="11"/>
        <color theme="1"/>
        <rFont val="Calibri"/>
        <family val="2"/>
        <scheme val="minor"/>
      </rPr>
      <t>tab.</t>
    </r>
  </si>
  <si>
    <t>ESS Commercial IHEAB, RDUE Results</t>
  </si>
  <si>
    <t>ESCs</t>
  </si>
  <si>
    <t>D17 Baseline A</t>
  </si>
  <si>
    <t>D17/19 Be (Zone 3)</t>
  </si>
  <si>
    <t>D17/19 Be (Zone 5)</t>
  </si>
  <si>
    <t>D17/19 Bs (Zone 3)</t>
  </si>
  <si>
    <t>D17/19 Bs (Zone 5)</t>
  </si>
  <si>
    <t>HWS: Annual Energy Savings (Zone 3)</t>
  </si>
  <si>
    <t>HWS: Annual Energy Savings (Zone 5)</t>
  </si>
  <si>
    <t>HWS: ComPeakLoad (Zone 3)</t>
  </si>
  <si>
    <t>HWS: ComPeakLoad (Zone 5)</t>
  </si>
  <si>
    <t>Zone 4</t>
  </si>
  <si>
    <t>Zone 4 Be (GJ/Year)</t>
  </si>
  <si>
    <t>Zone 4 Bs (GJ/Year)</t>
  </si>
  <si>
    <t>Zone 5 Be (GJ/Year)</t>
  </si>
  <si>
    <t>Zone 5 Bs (GJ/Year)</t>
  </si>
  <si>
    <t>CER Register - 10-year</t>
  </si>
  <si>
    <t>SRES STC Results</t>
  </si>
  <si>
    <t>https://www.cleanenergyregulator.gov.au/RET/Scheme-participants-and-industry/Agents-and-installers/Small-scale-systems-eligible-for-certificates/Register-of-solar-water-heaters</t>
  </si>
  <si>
    <t>Gas Water Heater</t>
  </si>
  <si>
    <t>Electric Water Heater</t>
  </si>
  <si>
    <t>Decommissioning electric and installing heat pump (transitional 1D scheme, applicable until 30 June, 2024)</t>
  </si>
  <si>
    <t>Install an air source heat pump water heater system</t>
  </si>
  <si>
    <t>Decommissioning</t>
  </si>
  <si>
    <t>Certificate</t>
  </si>
  <si>
    <t>No. Certificates</t>
  </si>
  <si>
    <t>Activity/Scenario Description</t>
  </si>
  <si>
    <t>Activity/Scenario</t>
  </si>
  <si>
    <t>Total</t>
  </si>
  <si>
    <t>Rebate Summary</t>
  </si>
  <si>
    <t>4. Select decommissioned product</t>
  </si>
  <si>
    <t>3. Select product</t>
  </si>
  <si>
    <t>1. Enter postcode</t>
  </si>
  <si>
    <t>Value (AUD)</t>
  </si>
  <si>
    <t>State</t>
  </si>
  <si>
    <t>Climate Zone</t>
  </si>
  <si>
    <t>3. Select Product</t>
  </si>
  <si>
    <t>SRES deeming period decline factor:</t>
  </si>
  <si>
    <t>5. Existing Capacity (kW) (for replacement activities)</t>
  </si>
  <si>
    <t>Rebate</t>
  </si>
  <si>
    <t>Decommissioned Product</t>
  </si>
  <si>
    <t>New installation</t>
  </si>
  <si>
    <t>NSW</t>
  </si>
  <si>
    <t>VIC</t>
  </si>
  <si>
    <t>Postcode</t>
  </si>
  <si>
    <t>ACT</t>
  </si>
  <si>
    <t>QLD</t>
  </si>
  <si>
    <t>ESS Climate Zone</t>
  </si>
  <si>
    <t>VEU Climate Zone</t>
  </si>
  <si>
    <t>HP Residential Calculator</t>
  </si>
  <si>
    <t>HP Commercial Calculator</t>
  </si>
  <si>
    <t>BCA Climate Zone</t>
  </si>
  <si>
    <t>NT</t>
  </si>
  <si>
    <t>SA</t>
  </si>
  <si>
    <t>WA</t>
  </si>
  <si>
    <t>TAS</t>
  </si>
  <si>
    <t>AS/NZS 4234 Climate Zone</t>
  </si>
  <si>
    <t>https://www.nathers.gov.au/sites/default/files/2023-06/WoH%20Calculation%20Method%20WIP%2020230609.pdf</t>
  </si>
  <si>
    <t>[1]</t>
  </si>
  <si>
    <t>[2]</t>
  </si>
  <si>
    <t>[3]</t>
  </si>
  <si>
    <t>[4]</t>
  </si>
  <si>
    <t>[5]</t>
  </si>
  <si>
    <t>[6]</t>
  </si>
  <si>
    <t>[7]</t>
  </si>
  <si>
    <t>[8]</t>
  </si>
  <si>
    <t>[9]</t>
  </si>
  <si>
    <t>AS/NZS 4234 Climate Zone [8]</t>
  </si>
  <si>
    <r>
      <t xml:space="preserve">DCCEEW (2022). </t>
    </r>
    <r>
      <rPr>
        <i/>
        <sz val="11"/>
        <color theme="1"/>
        <rFont val="Calibri"/>
        <family val="2"/>
        <scheme val="minor"/>
      </rPr>
      <t>Nationwide House Energy Rating Scheme (NatHERS): NatHERS Whole of Home national calculations method: Table 26</t>
    </r>
    <r>
      <rPr>
        <sz val="11"/>
        <color theme="1"/>
        <rFont val="Calibri"/>
        <family val="2"/>
        <scheme val="minor"/>
      </rPr>
      <t>, Australian Government Department of Climate Change, Energy, the Environment and Water, Canberra</t>
    </r>
  </si>
  <si>
    <t>No.</t>
  </si>
  <si>
    <t>Energy Savings Scheme (Amendment No. 1) Rule 2023</t>
  </si>
  <si>
    <t>BCA Climate Zone [2]</t>
  </si>
  <si>
    <t xml:space="preserve">Essential Services Commission 2022, Water Heating and Space Heating/Cooling Product Application Guide, pg 10, 19 September </t>
  </si>
  <si>
    <t>https://www.esc.vic.gov.au/sites/default/files/documents/C%2018%2024089%20%20Final%20-%20OTH%20-%20Water%20Heating%20and%20Space%20Heating%20Cooling%20Product%20Application%20Guide%20-%20V%202.7%20-20220919_0.pdf</t>
  </si>
  <si>
    <t>ESS Climate Zone [9]</t>
  </si>
  <si>
    <t>VEU Climate Zone [1]</t>
  </si>
  <si>
    <t>SRES deeming period decline factor</t>
  </si>
  <si>
    <t>HP5-AU</t>
  </si>
  <si>
    <t>HP1-AU</t>
  </si>
  <si>
    <t>HP2-AU</t>
  </si>
  <si>
    <t>HP3-AU</t>
  </si>
  <si>
    <t>HP4-AU</t>
  </si>
  <si>
    <r>
      <t xml:space="preserve">Demand Manager. </t>
    </r>
    <r>
      <rPr>
        <i/>
        <sz val="11"/>
        <color theme="1"/>
        <rFont val="Calibri"/>
        <family val="2"/>
        <scheme val="minor"/>
      </rPr>
      <t xml:space="preserve">Latest Spot Prices. </t>
    </r>
    <r>
      <rPr>
        <sz val="11"/>
        <color theme="1"/>
        <rFont val="Calibri"/>
        <family val="2"/>
        <scheme val="minor"/>
      </rPr>
      <t>Updated 28/02/2024</t>
    </r>
  </si>
  <si>
    <t>Essential Services Commission 2023, Commercial and Industrial Air Source Heat Pump Water Heater Product Application Guide: 29 June</t>
  </si>
  <si>
    <r>
      <t xml:space="preserve">Clean Energy Regulator (13 December 2023). </t>
    </r>
    <r>
      <rPr>
        <i/>
        <sz val="11"/>
        <color theme="1"/>
        <rFont val="Calibri"/>
        <family val="2"/>
        <scheme val="minor"/>
      </rPr>
      <t>Register of solar water heaters.</t>
    </r>
  </si>
  <si>
    <t>Reference</t>
  </si>
  <si>
    <r>
      <t xml:space="preserve">Emerald Planet. </t>
    </r>
    <r>
      <rPr>
        <i/>
        <sz val="11"/>
        <color theme="1"/>
        <rFont val="Calibri"/>
        <family val="2"/>
        <scheme val="minor"/>
      </rPr>
      <t xml:space="preserve">TRADITIONAL+ SERIES A-BULB Specifications. </t>
    </r>
  </si>
  <si>
    <r>
      <t xml:space="preserve">Emerald Planet. </t>
    </r>
    <r>
      <rPr>
        <i/>
        <sz val="11"/>
        <color theme="1"/>
        <rFont val="Calibri"/>
        <family val="2"/>
        <scheme val="minor"/>
      </rPr>
      <t xml:space="preserve">BR BULB SERIES Specifications. </t>
    </r>
  </si>
  <si>
    <t>PRCs</t>
  </si>
  <si>
    <t>WH1</t>
  </si>
  <si>
    <t>Lifetime</t>
  </si>
  <si>
    <t>Network Loss Factor</t>
  </si>
  <si>
    <t>Summer peak demand reduction duration</t>
  </si>
  <si>
    <t>Peak adjustment factor</t>
  </si>
  <si>
    <t>Baseline peak adjustment factor</t>
  </si>
  <si>
    <t>Firmness factor</t>
  </si>
  <si>
    <t>Input Parameters</t>
  </si>
  <si>
    <r>
      <t>Program</t>
    </r>
    <r>
      <rPr>
        <sz val="11"/>
        <rFont val="Calibri"/>
        <family val="2"/>
        <scheme val="minor"/>
      </rPr>
      <t xml:space="preserve"> </t>
    </r>
    <r>
      <rPr>
        <b/>
        <sz val="11"/>
        <rFont val="Calibri"/>
        <family val="2"/>
        <scheme val="minor"/>
      </rPr>
      <t xml:space="preserve">Calculation Attributes </t>
    </r>
  </si>
  <si>
    <t>Certificate Summary</t>
  </si>
  <si>
    <t>PDRS</t>
  </si>
  <si>
    <t>44A(i) Gas</t>
  </si>
  <si>
    <t>44A(ii) Elec</t>
  </si>
  <si>
    <t>44A(iii) New</t>
  </si>
  <si>
    <t>Tank</t>
  </si>
  <si>
    <t>VEU Lifetime</t>
  </si>
  <si>
    <t>VEU Activities 44A(i)-(iii)</t>
  </si>
  <si>
    <t>MetroVEU</t>
  </si>
  <si>
    <t>RegionalVEU</t>
  </si>
  <si>
    <t>GEF</t>
  </si>
  <si>
    <t>RFE</t>
  </si>
  <si>
    <t>Existing Tank</t>
  </si>
  <si>
    <t>New Tank</t>
  </si>
  <si>
    <t>6. Installing new tank or using existing tank?</t>
  </si>
  <si>
    <t>Decommissioning a gas product and installing an air source heat pump water heater</t>
  </si>
  <si>
    <t>Decommissioning an electric product and installing an air source heat pump water heater</t>
  </si>
  <si>
    <t>Installing an air source heat pump water heater</t>
  </si>
  <si>
    <t>HWS: Annual Energy Savings (Zone 4)</t>
  </si>
  <si>
    <t>HWS: ComPeakLoad (Zone 4)</t>
  </si>
  <si>
    <t>EG-290FREC</t>
  </si>
  <si>
    <t>EG-215F</t>
  </si>
  <si>
    <t>EG-330FRC</t>
  </si>
  <si>
    <t>EG-215FR290C</t>
  </si>
  <si>
    <t>EG-290FRC</t>
  </si>
  <si>
    <t>EG-260FRC</t>
  </si>
  <si>
    <t>EG-215FREC</t>
  </si>
  <si>
    <t>EG-215FRC</t>
  </si>
  <si>
    <t>EG-260FR290C</t>
  </si>
  <si>
    <t>EG-330FREC</t>
  </si>
  <si>
    <t>EG-290FR290C</t>
  </si>
  <si>
    <t>EG-330FR</t>
  </si>
  <si>
    <t>EG-330FRE</t>
  </si>
  <si>
    <t>EG-290FR290</t>
  </si>
  <si>
    <t>EG-260FR290</t>
  </si>
  <si>
    <t>EG-290FRE</t>
  </si>
  <si>
    <t>EG-155FR</t>
  </si>
  <si>
    <t>EG-215FRE</t>
  </si>
  <si>
    <t>EG-260FR</t>
  </si>
  <si>
    <t>Table A3: Network Loss Factors</t>
  </si>
  <si>
    <t>Distribution Network Area</t>
  </si>
  <si>
    <t>Ausgrid</t>
  </si>
  <si>
    <t>Endeavour</t>
  </si>
  <si>
    <t>Essential</t>
  </si>
  <si>
    <t>Other</t>
  </si>
  <si>
    <t>Baseline A (MWh)</t>
  </si>
  <si>
    <t>System Size</t>
  </si>
  <si>
    <t>adjustment coefficient (a)</t>
  </si>
  <si>
    <t>Baseline B (MWh)</t>
  </si>
  <si>
    <t>Old ESS Residential Activities</t>
  </si>
  <si>
    <t>Effective from</t>
  </si>
  <si>
    <t>https://legislation.nsw.gov.au/view/html/inforce/current/sl-2014-0523#sec.37A</t>
  </si>
  <si>
    <t>[10]</t>
  </si>
  <si>
    <t>Electricity Supply (General) Regulation 2014. Clause 37A</t>
  </si>
  <si>
    <t>https://legislation.nsw.gov.au/view/pdf/asmade/act-2021-34</t>
  </si>
  <si>
    <t>ECCF [11]</t>
  </si>
  <si>
    <t>GCCF [10]</t>
  </si>
  <si>
    <t>[11]</t>
  </si>
  <si>
    <r>
      <t xml:space="preserve">Minister for Energy and Environment (29 November 2021). </t>
    </r>
    <r>
      <rPr>
        <i/>
        <sz val="11"/>
        <color theme="1"/>
        <rFont val="Calibri"/>
        <family val="2"/>
        <scheme val="minor"/>
      </rPr>
      <t>Energy Legislation Amendment Act 2021 No 34,</t>
    </r>
    <r>
      <rPr>
        <sz val="11"/>
        <color theme="1"/>
        <rFont val="Calibri"/>
        <family val="2"/>
        <scheme val="minor"/>
      </rPr>
      <t xml:space="preserve"> clauses 33(1) and 33A.</t>
    </r>
  </si>
  <si>
    <t>2. Input installation date</t>
  </si>
  <si>
    <t>New Baseline energy consumption by system size, activity and climate zone</t>
  </si>
  <si>
    <t>ESS Zone</t>
  </si>
  <si>
    <r>
      <t>The user can acquire the number of STCs, ESCs and VEECs and total rebate, for each applicable scheme/scenario, a selected heat pump installed in residential premises  will recieve for the desired postcode, installation date and decommissioned product. Follow instructions on ‘</t>
    </r>
    <r>
      <rPr>
        <i/>
        <sz val="11"/>
        <color theme="1"/>
        <rFont val="Calibri"/>
        <family val="2"/>
        <scheme val="minor"/>
      </rPr>
      <t xml:space="preserve">HP Residential Calculator’ </t>
    </r>
    <r>
      <rPr>
        <sz val="11"/>
        <color theme="1"/>
        <rFont val="Calibri"/>
        <family val="2"/>
        <scheme val="minor"/>
      </rPr>
      <t>tab.</t>
    </r>
  </si>
  <si>
    <r>
      <t>The user can similarly determine the number of STCs, VEECs, PRCs and ESCs and total rebate, for each applicable scheme/scenario, a selected heat pump installed in a commercial premises will recieve for the desired postcode, installation year, decommissioned product and existing capacity.  Follow instructions on ‘</t>
    </r>
    <r>
      <rPr>
        <i/>
        <sz val="11"/>
        <color theme="1"/>
        <rFont val="Calibri"/>
        <family val="2"/>
        <scheme val="minor"/>
      </rPr>
      <t xml:space="preserve">HP Commercial Calculator’ </t>
    </r>
    <r>
      <rPr>
        <sz val="11"/>
        <color theme="1"/>
        <rFont val="Calibri"/>
        <family val="2"/>
        <scheme val="minor"/>
      </rPr>
      <t>tab.</t>
    </r>
  </si>
  <si>
    <t>Rinnai</t>
  </si>
  <si>
    <t>EHPA315VMAW</t>
  </si>
  <si>
    <t>EHPA315VMAH</t>
  </si>
  <si>
    <t>EHPA315VMAWH</t>
  </si>
  <si>
    <t>EHPS265VM</t>
  </si>
  <si>
    <t>EHPA315VMA</t>
  </si>
  <si>
    <t>Rinnai Australia Pty Ltd</t>
  </si>
  <si>
    <t>EHPT250VM</t>
  </si>
  <si>
    <t>EHPS215VM</t>
  </si>
  <si>
    <t>EHPA250VMAH</t>
  </si>
  <si>
    <t>EHPA315VM</t>
  </si>
  <si>
    <t>EHPA250VMAW</t>
  </si>
  <si>
    <t>EHPA250VMA</t>
  </si>
  <si>
    <t>EHPA250VM</t>
  </si>
  <si>
    <t>EHPA250VMAWH</t>
  </si>
  <si>
    <t>EHPT180VM</t>
  </si>
  <si>
    <t>For products modelled according to AS/NZS 4234:2021</t>
  </si>
  <si>
    <t>For products installed on or after 19/06/2024</t>
  </si>
  <si>
    <t>For products installed before 19/06/2024</t>
  </si>
  <si>
    <t>2. Input Installation Date</t>
  </si>
  <si>
    <t>Tank Volume (L)</t>
  </si>
  <si>
    <t>Eligible?</t>
  </si>
  <si>
    <t>1. Select NSW Postcode</t>
  </si>
  <si>
    <t>Name of Activity</t>
  </si>
  <si>
    <t>Beam Angle</t>
  </si>
  <si>
    <t>Activity Definition</t>
  </si>
  <si>
    <t>90°</t>
  </si>
  <si>
    <t>No. Lamps</t>
  </si>
  <si>
    <t>Replace halogen downlight with an led luminaire and/or lamp</t>
  </si>
  <si>
    <t>Replace parabolic aluminised reflector (par) lamp with efficient luminaire and/or lamp</t>
  </si>
  <si>
    <t>Replace an edison screw or bayonet lamp with an led lamp for general lighting purposes</t>
  </si>
  <si>
    <t>Replace a T8 or T12 luminaire with a led luminaire</t>
  </si>
  <si>
    <t>Deemed Activity Electricity Savings (MWh per lamp replaced)</t>
  </si>
  <si>
    <t>60°</t>
  </si>
  <si>
    <t>70°</t>
  </si>
  <si>
    <t>Replacment Lamps per Existing Lamps</t>
  </si>
  <si>
    <t>LCP New Lamp per Existing Lamp (W)</t>
  </si>
  <si>
    <t>Replacement Lamp Per Existing Lamp</t>
  </si>
  <si>
    <t>Light Output Replacement Lamp per Existing Lamp (W)</t>
  </si>
  <si>
    <t>Existing Lamps per Replacement Lamp</t>
  </si>
  <si>
    <t>Requirements</t>
  </si>
  <si>
    <t>*The existing Lamp must be rated at either 35W or 50W.</t>
  </si>
  <si>
    <t>**The new End-User Equipment must have a beam angle consistent with the original Lamp being replaced.</t>
  </si>
  <si>
    <t>**The new End-User Equipment must have a beam angle consistent with that of the original Lamp being replaced</t>
  </si>
  <si>
    <t xml:space="preserve"> </t>
  </si>
  <si>
    <t xml:space="preserve">  </t>
  </si>
  <si>
    <t>110°</t>
  </si>
  <si>
    <t>Lamps =&lt;3</t>
  </si>
  <si>
    <t>EM-GU03W05-10</t>
  </si>
  <si>
    <t>EM-MR01W04-11</t>
  </si>
  <si>
    <t>[12]</t>
  </si>
  <si>
    <t>http://www.ecomatters.com.au/h-pd-90.html</t>
  </si>
  <si>
    <t>EcoMatters. MR16 LED LAMP Specificatons</t>
  </si>
  <si>
    <t>2. Select Activity</t>
  </si>
  <si>
    <t>4. Number of Existing Lamps</t>
  </si>
  <si>
    <t>5. Select Replacement Lamp Model</t>
  </si>
  <si>
    <t>6. Number of Replacement Lamps</t>
  </si>
  <si>
    <t>3. Select Existing Lamp Equipment Class</t>
  </si>
  <si>
    <t>Notes</t>
  </si>
  <si>
    <t>EE-HWS-A1-320</t>
  </si>
  <si>
    <t>EE-HWS-A1-320E</t>
  </si>
  <si>
    <t>Date Updated</t>
  </si>
  <si>
    <t>Certificate Prices</t>
  </si>
  <si>
    <r>
      <rPr>
        <sz val="11"/>
        <rFont val="Calibri"/>
        <family val="2"/>
        <scheme val="minor"/>
      </rPr>
      <t xml:space="preserve"> demand. Update certificate prices on </t>
    </r>
    <r>
      <rPr>
        <u/>
        <sz val="11"/>
        <color rgb="FF0000FF"/>
        <rFont val="Calibri"/>
        <family val="2"/>
        <scheme val="minor"/>
      </rPr>
      <t>Demand Manager</t>
    </r>
    <r>
      <rPr>
        <sz val="11"/>
        <rFont val="Calibri"/>
        <family val="2"/>
        <scheme val="minor"/>
      </rPr>
      <t xml:space="preserve"> to get the most accurate rebate.</t>
    </r>
  </si>
  <si>
    <t>Certificate prices fluctuate depending on supply and</t>
  </si>
  <si>
    <t>Victoria Region</t>
  </si>
  <si>
    <t>Climatic region</t>
  </si>
  <si>
    <t>Mild</t>
  </si>
  <si>
    <t>Cold</t>
  </si>
  <si>
    <t>Hot</t>
  </si>
  <si>
    <t>GEMS 2019 Climate Zone</t>
  </si>
  <si>
    <t>Compressor Model</t>
  </si>
  <si>
    <t>Compressor Cooling Capacity (kW)</t>
  </si>
  <si>
    <t>Compressor Heating Capacity (kW)</t>
  </si>
  <si>
    <t>VRF Indoor Model</t>
  </si>
  <si>
    <t>Qty VRF Indoor Model</t>
  </si>
  <si>
    <t>VRF Indoor Cooling Capacity (kW)</t>
  </si>
  <si>
    <t>VRF Indoor Heating Capacity (kW)</t>
  </si>
  <si>
    <t>Max Cooling Capacity (kW)</t>
  </si>
  <si>
    <t>Rated Cooling Capacity (kW)</t>
  </si>
  <si>
    <t>Max Heating Capacity (kW)</t>
  </si>
  <si>
    <t>Rated Heating Capacity (kW)</t>
  </si>
  <si>
    <t>Rated AEER</t>
  </si>
  <si>
    <t>Rated ACOP</t>
  </si>
  <si>
    <t>Scenario</t>
  </si>
  <si>
    <t>GIHbase</t>
  </si>
  <si>
    <t>GIHupgrade and GICupgrade</t>
  </si>
  <si>
    <t>GICbase</t>
  </si>
  <si>
    <t>MDV-V200WN1(AU)</t>
  </si>
  <si>
    <t>MIH28GHN18</t>
  </si>
  <si>
    <t>(v)</t>
  </si>
  <si>
    <t>MIH80GHN18</t>
  </si>
  <si>
    <t>MIH71GHN18</t>
  </si>
  <si>
    <t>MIH56GHN18</t>
  </si>
  <si>
    <t>MIH45GHN18</t>
  </si>
  <si>
    <t>MIH36GHN18</t>
  </si>
  <si>
    <t>Heating Capacity (kW)</t>
  </si>
  <si>
    <t>Cooling Capacity (kW)</t>
  </si>
  <si>
    <t>(xi)</t>
  </si>
  <si>
    <t>(x)</t>
  </si>
  <si>
    <t>(ix)</t>
  </si>
  <si>
    <t>(viii)</t>
  </si>
  <si>
    <t>(vii)</t>
  </si>
  <si>
    <t>(vi)</t>
  </si>
  <si>
    <t>(iv)</t>
  </si>
  <si>
    <t>(iii)</t>
  </si>
  <si>
    <t>(ii)</t>
  </si>
  <si>
    <t>(i)</t>
  </si>
  <si>
    <t>Table 6.5 – GHG equivalent emissions reduction variables for Scenarios 6A to 6G (i-xi)</t>
  </si>
  <si>
    <t>6F</t>
  </si>
  <si>
    <t>Residential Cooling CFC</t>
  </si>
  <si>
    <t>Residential Heating CFH</t>
  </si>
  <si>
    <t>Cat.</t>
  </si>
  <si>
    <t>Table 6.15– Conversion factors (CF) to derive seasonal performance factors from ACOP and AEER</t>
  </si>
  <si>
    <t>MIXED</t>
  </si>
  <si>
    <t>COLD</t>
  </si>
  <si>
    <t>Table 6.10 – VEU Climatic regions and GEMS 2019 Climate Zones</t>
  </si>
  <si>
    <t>3.932</t>
  </si>
  <si>
    <t>4.053</t>
  </si>
  <si>
    <t>2.766</t>
  </si>
  <si>
    <t>2.788</t>
  </si>
  <si>
    <t>3.264</t>
  </si>
  <si>
    <t>3.290</t>
  </si>
  <si>
    <t>Table 6.8</t>
  </si>
  <si>
    <t>Table 6.11 – Incumbent System GIHbase and GICbase (t CO2-e/MWh) and Deemed Baseline HSPF Base and TCSPF Base Factors</t>
  </si>
  <si>
    <t>Business Cooling BTLCool (MWh/kW)</t>
  </si>
  <si>
    <t>Business Heating BTLHeat (MWh/kW)</t>
  </si>
  <si>
    <t>Residential Cooling BTLCool (MWh/kW)</t>
  </si>
  <si>
    <t>Residential Heating BTLHeat (MWh/kW)</t>
  </si>
  <si>
    <t>Table 6.14 – Deemed Building Thermal Loads - BTLHeat and BTLCool, for VEU Climatic Regions</t>
  </si>
  <si>
    <t>Loss Factor</t>
  </si>
  <si>
    <t>Table 6.12 – Deemed Baseline HSPF and TCSPF Factors According to Upgrade (Scenario) Type – Residential*</t>
  </si>
  <si>
    <t>Scenario 6A to 6G (i-xi): Installing a high efficiency air-conditioner</t>
  </si>
  <si>
    <t>Indoor Unit Details</t>
  </si>
  <si>
    <t>Climatic Region</t>
  </si>
  <si>
    <t>Climatic Zone</t>
  </si>
  <si>
    <t>4. Select indoor unit model</t>
  </si>
  <si>
    <t>5. Input number of indoor units</t>
  </si>
  <si>
    <t>Product Cateogry No.</t>
  </si>
  <si>
    <t xml:space="preserve">Cat. </t>
  </si>
  <si>
    <t xml:space="preserve">Upgrade Product </t>
  </si>
  <si>
    <t>Deemed HSPFBase GEMS Cold Zone</t>
  </si>
  <si>
    <t>Deemed HSPFBase GEMS Mixed Zone</t>
  </si>
  <si>
    <t>Deemed TCSPFBase GEMS Cold Zone</t>
  </si>
  <si>
    <t>Deemed TCSPFBase GEMS Mixed Zone</t>
  </si>
  <si>
    <t xml:space="preserve">6A </t>
  </si>
  <si>
    <t xml:space="preserve">6B(i) </t>
  </si>
  <si>
    <t>Ducted air to air 10 kW ≤ R &lt; 25 kW</t>
  </si>
  <si>
    <t xml:space="preserve">6B(ii) </t>
  </si>
  <si>
    <t>Ducted air to air 25 kW ≤ R ≤ 39 kW</t>
  </si>
  <si>
    <t xml:space="preserve">6D </t>
  </si>
  <si>
    <t>Non-ducted air to air R &lt; 4kW</t>
  </si>
  <si>
    <t xml:space="preserve">6E(i) </t>
  </si>
  <si>
    <t>Non-ducted air to air 4 kW ≤ R &lt; 7 kW</t>
  </si>
  <si>
    <t xml:space="preserve">6E(ii) </t>
  </si>
  <si>
    <t>Non-ducted air to air 7 kW ≤ R &lt; 10 kW</t>
  </si>
  <si>
    <t>Non-ducted air to air 10kW ≤ R ≤ 39kW</t>
  </si>
  <si>
    <t>1. Enter VIC postcode</t>
  </si>
  <si>
    <t>VEU AC Certificate Calculator Residential</t>
  </si>
  <si>
    <t>6. Select decommissioned product</t>
  </si>
  <si>
    <t>Decommissioning details</t>
  </si>
  <si>
    <t>Premises details</t>
  </si>
  <si>
    <t xml:space="preserve">Hard-wired resistance electric room heater (no refrigerative air conditioner) </t>
  </si>
  <si>
    <t>Hard-wired resistance electric heater and refrigerative air conditioner</t>
  </si>
  <si>
    <t>Central electric resistance heater or slab heater (no refrigerative air conditioner)</t>
  </si>
  <si>
    <t>Central electric resistance heater/slab heater and refrigerative air conditioner</t>
  </si>
  <si>
    <t>No decommissioning</t>
  </si>
  <si>
    <t>Ducted reverse cycle air conditioner</t>
  </si>
  <si>
    <t>Non-ducted reverse cycle air conditioner</t>
  </si>
  <si>
    <t>Ducted gas heater only (no refrigerative air conditioner)</t>
  </si>
  <si>
    <t>Ducted gas heater and refrigerative air conditioner</t>
  </si>
  <si>
    <t>Non-ducted gas heater (no refrigerative air conditioner)</t>
  </si>
  <si>
    <t>Non-ducted gas heater and refrigerative air conditioner</t>
  </si>
  <si>
    <t>Sector</t>
  </si>
  <si>
    <t>Business</t>
  </si>
  <si>
    <t>3. Select Sector</t>
  </si>
  <si>
    <t>Deemed TCSPFBase GEMS Cold Zone BUSINESS</t>
  </si>
  <si>
    <t>Deemed TCSPFBase GEMS Mixed Zone BUSINESS</t>
  </si>
  <si>
    <t>Table 6.13 - Deemed Baseline HSPF and TCSPF Factors According to Upgrade (Scenario) Type – Business</t>
  </si>
  <si>
    <t>Ducted air to air R &lt; 10 Kw</t>
  </si>
  <si>
    <t xml:space="preserve">6C </t>
  </si>
  <si>
    <t>Ducted air to air 39 kW &lt; R ≤ 65 kW</t>
  </si>
  <si>
    <t xml:space="preserve">6F </t>
  </si>
  <si>
    <t xml:space="preserve">6G </t>
  </si>
  <si>
    <t>Non-ducted air to air 39kW &lt; R ≤ 65kW</t>
  </si>
  <si>
    <t>Deemed HSPFBase GEMS Cold Zone Business</t>
  </si>
  <si>
    <t>Deemed HSPFBase GEMS Mixed Zone Business</t>
  </si>
  <si>
    <t>HSPFbase</t>
  </si>
  <si>
    <t>TCSPFbase</t>
  </si>
  <si>
    <t>Business Heating CFH</t>
  </si>
  <si>
    <t>Business Cooling CFC</t>
  </si>
  <si>
    <t>Table 6.16 – Conversion factors (CF) to derive seasonal performance factors from ACOP and AEER – Business*</t>
  </si>
  <si>
    <t>GEMS HSPF Cold (res)</t>
  </si>
  <si>
    <t>GEMS HSPF Mixed (res)</t>
  </si>
  <si>
    <t>GEMS TCSPF Cold (res)</t>
  </si>
  <si>
    <t>GEMS TCSPF Mixed (res)</t>
  </si>
  <si>
    <t>GEMS HSPF Cold (com)</t>
  </si>
  <si>
    <t>GEMS TCSPF Cold (com)</t>
  </si>
  <si>
    <t>GEMS TCSPF Mixed (com)</t>
  </si>
  <si>
    <t>GEMS HSPF Mixed (com)</t>
  </si>
  <si>
    <t>GSFheat</t>
  </si>
  <si>
    <t>Heating Savings</t>
  </si>
  <si>
    <t>GSFcool</t>
  </si>
  <si>
    <t>Cooling Savings</t>
  </si>
  <si>
    <t>GHG Eq.Reduction</t>
  </si>
  <si>
    <t>Date</t>
  </si>
  <si>
    <t xml:space="preserve"> 1 August 2021 </t>
  </si>
  <si>
    <t>Start Date</t>
  </si>
  <si>
    <t>End Date</t>
  </si>
  <si>
    <t>EEFs</t>
  </si>
  <si>
    <r>
      <t>Heat pump certificate calculations for all models, zones and regions can be found in the orange tabs. 
Lighting certificate calculations can be found in the yellow tabs.
AC certificate calculations can be found in the violet tabs.
The factors used in the calculations can be found in the ‘</t>
    </r>
    <r>
      <rPr>
        <i/>
        <sz val="11"/>
        <color theme="1"/>
        <rFont val="Calibri"/>
        <family val="2"/>
        <scheme val="minor"/>
      </rPr>
      <t>Factors’</t>
    </r>
    <r>
      <rPr>
        <sz val="11"/>
        <color theme="1"/>
        <rFont val="Calibri"/>
        <family val="2"/>
        <scheme val="minor"/>
      </rPr>
      <t xml:space="preserve"> tab. All resources used are listed in the ‘</t>
    </r>
    <r>
      <rPr>
        <i/>
        <sz val="11"/>
        <color theme="1"/>
        <rFont val="Calibri"/>
        <family val="2"/>
        <scheme val="minor"/>
      </rPr>
      <t>Resources’</t>
    </r>
    <r>
      <rPr>
        <sz val="11"/>
        <color theme="1"/>
        <rFont val="Calibri"/>
        <family val="2"/>
        <scheme val="minor"/>
      </rPr>
      <t xml:space="preserve"> tab.</t>
    </r>
  </si>
  <si>
    <t>AC Certificate Calculator</t>
  </si>
  <si>
    <r>
      <t>The user can also acquire the number of VEECs a selected compressor and AC indoor unit combination will receive for the desired postcode, decomissioned product and number of indoor units. Follow instructions on ‘</t>
    </r>
    <r>
      <rPr>
        <i/>
        <sz val="11"/>
        <color theme="1"/>
        <rFont val="Calibri"/>
        <family val="2"/>
        <scheme val="minor"/>
      </rPr>
      <t xml:space="preserve">AC Calculator’ </t>
    </r>
    <r>
      <rPr>
        <sz val="11"/>
        <color theme="1"/>
        <rFont val="Calibri"/>
        <family val="2"/>
        <scheme val="minor"/>
      </rPr>
      <t>tab.</t>
    </r>
  </si>
  <si>
    <t>Installing a high efficiency air-conditioner</t>
  </si>
  <si>
    <t>6A to 6G (i-xi)</t>
  </si>
  <si>
    <t>Commercial and Residential</t>
  </si>
  <si>
    <t xml:space="preserve">Department of Energy, Environment and Climate Action. Victorian Energy Upgrades Specifications 2018 - Version 19.0 </t>
  </si>
  <si>
    <t>https://www.energy.vic.gov.au/__data/assets/pdf_file/0039/728985/victorian-energy-upgrades-specifications-2018-version-19.pdf</t>
  </si>
  <si>
    <t>Outdoor Unit Details</t>
  </si>
  <si>
    <t>3. Select outdoor unit</t>
  </si>
  <si>
    <t>Current Value (AUD)*</t>
  </si>
  <si>
    <t>Rebate Summary (based on latest certificate prices)</t>
  </si>
  <si>
    <t>* These are the latest certificate prices from: https://www.demandmanager.com.au/certificate-prices/. Prices vary so use as an estimate only for future installations</t>
  </si>
  <si>
    <t>HPWH Residential Certificate Calculator</t>
  </si>
  <si>
    <t>Commercial Heat Pump Water Heater Certificate Calculator</t>
  </si>
  <si>
    <t>Calculation Reference</t>
  </si>
  <si>
    <t>https://www.energyae.com/resources/calculators/veu-1d-3c</t>
  </si>
  <si>
    <t>https://www.energyae.com/resources/calculators/sres</t>
  </si>
  <si>
    <t>https://www.energyae.com/resources/calculators/ess-d17-19</t>
  </si>
  <si>
    <t>https://www.energyae.com/resources/calculators/veu-44</t>
  </si>
  <si>
    <t>https://www.energyae.com/resources/calculators/ess-f16-17-calculator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</si>
</sst>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7" formatCode="&quot;$&quot;#,##0.00;\-&quot;$&quot;#,##0.00"/>
    <numFmt numFmtId="44" formatCode="_-&quot;$&quot;* #,##0.00_-;\-&quot;$&quot;* #,##0.00_-;_-&quot;$&quot;* &quot;-&quot;??_-;_-@_-"/>
    <numFmt numFmtId="43" formatCode="_-* #,##0.00_-;\-* #,##0.00_-;_-* &quot;-&quot;??_-;_-@_-"/>
    <numFmt numFmtId="164" formatCode="0.0"/>
    <numFmt numFmtId="165" formatCode="&quot;$&quot;#,##0.00"/>
    <numFmt numFmtId="166" formatCode="[$-1409]d\ mmmm\ yyyy;@"/>
    <numFmt numFmtId="167" formatCode="#,##0.00_ ;\-#,##0.00\ "/>
    <numFmt numFmtId="168" formatCode="[$-C09]dd\-mmm\-yy;@"/>
    <numFmt numFmtId="169" formatCode="0.0000"/>
  </numFmts>
  <fonts count="54">
    <font>
      <sz val="11"/>
      <color theme="1"/>
      <name val="Calibri"/>
      <family val="2"/>
      <scheme val="minor"/>
    </font>
    <font>
      <sz val="11"/>
      <color theme="1"/>
      <name val="Calibri"/>
      <family val="2"/>
      <scheme val="minor"/>
    </font>
    <font>
      <sz val="8"/>
      <color theme="1"/>
      <name val="Calibri"/>
      <family val="2"/>
      <scheme val="minor"/>
    </font>
    <font>
      <sz val="11"/>
      <color rgb="FF3F3F76"/>
      <name val="Calibri"/>
      <family val="2"/>
      <scheme val="minor"/>
    </font>
    <font>
      <sz val="10"/>
      <name val="Arial"/>
      <family val="2"/>
    </font>
    <font>
      <u/>
      <sz val="11"/>
      <color theme="11"/>
      <name val="Calibri"/>
      <family val="2"/>
      <scheme val="minor"/>
    </font>
    <font>
      <b/>
      <sz val="11"/>
      <color theme="1"/>
      <name val="Calibri"/>
      <family val="2"/>
      <scheme val="minor"/>
    </font>
    <font>
      <b/>
      <sz val="14"/>
      <color theme="1"/>
      <name val="Calibri"/>
      <family val="2"/>
      <scheme val="minor"/>
    </font>
    <font>
      <sz val="11"/>
      <name val="Calibri"/>
      <family val="2"/>
      <scheme val="minor"/>
    </font>
    <font>
      <sz val="9"/>
      <name val="Arial"/>
      <family val="2"/>
    </font>
    <font>
      <u/>
      <sz val="11"/>
      <color theme="10"/>
      <name val="Calibri"/>
      <family val="2"/>
      <scheme val="minor"/>
    </font>
    <font>
      <b/>
      <sz val="11"/>
      <name val="Calibri"/>
      <family val="2"/>
      <scheme val="minor"/>
    </font>
    <font>
      <b/>
      <sz val="8"/>
      <name val="Arial"/>
      <family val="2"/>
    </font>
    <font>
      <sz val="11"/>
      <color indexed="8"/>
      <name val="宋体"/>
      <charset val="134"/>
    </font>
    <font>
      <sz val="8"/>
      <name val="Calibri"/>
      <family val="2"/>
      <scheme val="minor"/>
    </font>
    <font>
      <b/>
      <sz val="11"/>
      <color rgb="FF3F3F3F"/>
      <name val="Calibri"/>
      <family val="2"/>
      <scheme val="minor"/>
    </font>
    <font>
      <b/>
      <sz val="8"/>
      <name val="Minion Pro"/>
    </font>
    <font>
      <b/>
      <sz val="8"/>
      <color theme="1"/>
      <name val="Minion Pro"/>
    </font>
    <font>
      <sz val="8"/>
      <color theme="1"/>
      <name val="Minion Pro"/>
    </font>
    <font>
      <sz val="8"/>
      <name val="Minion Pro"/>
    </font>
    <font>
      <sz val="8"/>
      <color theme="1"/>
      <name val="Arial"/>
      <family val="2"/>
    </font>
    <font>
      <sz val="12"/>
      <name val="宋体"/>
      <family val="3"/>
      <charset val="134"/>
    </font>
    <font>
      <sz val="11"/>
      <color rgb="FF3F3F3F"/>
      <name val="Calibri"/>
      <family val="2"/>
      <scheme val="minor"/>
    </font>
    <font>
      <sz val="12"/>
      <color indexed="8"/>
      <name val="宋体"/>
      <charset val="134"/>
    </font>
    <font>
      <sz val="9"/>
      <color theme="1"/>
      <name val="Minion Pro"/>
      <family val="1"/>
    </font>
    <font>
      <sz val="9"/>
      <color theme="1"/>
      <name val="Calibri"/>
      <family val="2"/>
      <scheme val="minor"/>
    </font>
    <font>
      <sz val="9"/>
      <color rgb="FF3F3F76"/>
      <name val="Calibri"/>
      <family val="2"/>
      <scheme val="minor"/>
    </font>
    <font>
      <sz val="9"/>
      <name val="Calibri"/>
      <family val="2"/>
      <scheme val="minor"/>
    </font>
    <font>
      <b/>
      <sz val="9"/>
      <name val="Calibri"/>
      <family val="2"/>
      <scheme val="minor"/>
    </font>
    <font>
      <b/>
      <sz val="9"/>
      <color theme="1"/>
      <name val="Calibri"/>
      <family val="2"/>
      <scheme val="minor"/>
    </font>
    <font>
      <b/>
      <sz val="26"/>
      <color theme="1"/>
      <name val="Calibri"/>
      <family val="2"/>
      <scheme val="minor"/>
    </font>
    <font>
      <sz val="8"/>
      <color theme="0"/>
      <name val="Calibri"/>
      <family val="2"/>
      <scheme val="minor"/>
    </font>
    <font>
      <b/>
      <sz val="8"/>
      <color theme="1"/>
      <name val="Arial"/>
      <family val="2"/>
    </font>
    <font>
      <sz val="9"/>
      <color indexed="81"/>
      <name val="Tahoma"/>
      <family val="2"/>
    </font>
    <font>
      <b/>
      <sz val="9"/>
      <color indexed="81"/>
      <name val="Tahoma"/>
      <family val="2"/>
    </font>
    <font>
      <sz val="11"/>
      <color theme="0"/>
      <name val="Calibri"/>
      <family val="2"/>
      <scheme val="minor"/>
    </font>
    <font>
      <i/>
      <sz val="11"/>
      <color theme="1"/>
      <name val="Calibri"/>
      <family val="2"/>
      <scheme val="minor"/>
    </font>
    <font>
      <sz val="8"/>
      <color theme="0"/>
      <name val="Arial"/>
      <family val="2"/>
    </font>
    <font>
      <sz val="8"/>
      <color rgb="FF3F3F3F"/>
      <name val="Minion pro"/>
    </font>
    <font>
      <sz val="11"/>
      <color rgb="FF000000"/>
      <name val="Calibri"/>
      <family val="2"/>
      <scheme val="minor"/>
    </font>
    <font>
      <b/>
      <sz val="11"/>
      <color rgb="FF000000"/>
      <name val="Calibri"/>
      <family val="2"/>
      <scheme val="minor"/>
    </font>
    <font>
      <b/>
      <sz val="15"/>
      <color theme="1"/>
      <name val="Calibri"/>
      <family val="2"/>
      <scheme val="minor"/>
    </font>
    <font>
      <b/>
      <sz val="14"/>
      <name val="Calibri"/>
      <family val="2"/>
      <scheme val="minor"/>
    </font>
    <font>
      <sz val="8"/>
      <name val="Arial"/>
      <family val="2"/>
    </font>
    <font>
      <b/>
      <sz val="20"/>
      <color theme="1"/>
      <name val="Calibri"/>
      <family val="2"/>
      <scheme val="minor"/>
    </font>
    <font>
      <sz val="9"/>
      <color theme="0"/>
      <name val="Calibri"/>
      <family val="2"/>
      <scheme val="minor"/>
    </font>
    <font>
      <sz val="9"/>
      <color theme="0"/>
      <name val="Minion Pro"/>
      <family val="1"/>
    </font>
    <font>
      <sz val="11"/>
      <color theme="1"/>
      <name val="Aptos"/>
      <family val="2"/>
    </font>
    <font>
      <sz val="11"/>
      <color rgb="FFFF0000"/>
      <name val="Calibri"/>
      <family val="2"/>
      <scheme val="minor"/>
    </font>
    <font>
      <u/>
      <sz val="11"/>
      <color rgb="FF0000FF"/>
      <name val="Calibri"/>
      <family val="2"/>
      <scheme val="minor"/>
    </font>
    <font>
      <b/>
      <sz val="11"/>
      <color rgb="FFFA7D00"/>
      <name val="Calibri"/>
      <family val="2"/>
      <scheme val="minor"/>
    </font>
    <font>
      <b/>
      <sz val="8"/>
      <color rgb="FFFA7D00"/>
      <name val="Minion pro"/>
    </font>
    <font>
      <b/>
      <sz val="8"/>
      <color theme="0"/>
      <name val="Minion pro"/>
    </font>
    <font>
      <b/>
      <sz val="8"/>
      <color rgb="FFFA7D00"/>
      <name val="Minon pro"/>
    </font>
  </fonts>
  <fills count="39">
    <fill>
      <patternFill patternType="none"/>
    </fill>
    <fill>
      <patternFill patternType="gray125"/>
    </fill>
    <fill>
      <patternFill patternType="solid">
        <fgColor rgb="FFFFCC99"/>
      </patternFill>
    </fill>
    <fill>
      <patternFill patternType="solid">
        <fgColor theme="8" tint="0.79998168889431442"/>
        <bgColor indexed="64"/>
      </patternFill>
    </fill>
    <fill>
      <patternFill patternType="solid">
        <fgColor theme="8" tint="0.39997558519241921"/>
        <bgColor indexed="64"/>
      </patternFill>
    </fill>
    <fill>
      <patternFill patternType="solid">
        <fgColor rgb="FFF2F2F2"/>
      </patternFill>
    </fill>
    <fill>
      <patternFill patternType="solid">
        <fgColor theme="6" tint="0.59999389629810485"/>
        <bgColor indexed="64"/>
      </patternFill>
    </fill>
    <fill>
      <patternFill patternType="solid">
        <fgColor theme="9" tint="0.79998168889431442"/>
        <bgColor indexed="64"/>
      </patternFill>
    </fill>
    <fill>
      <patternFill patternType="solid">
        <fgColor rgb="FFFFCC99"/>
        <bgColor indexed="64"/>
      </patternFill>
    </fill>
    <fill>
      <patternFill patternType="solid">
        <fgColor theme="0"/>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tint="0.39997558519241921"/>
        <bgColor indexed="64"/>
      </patternFill>
    </fill>
    <fill>
      <patternFill patternType="solid">
        <fgColor theme="8" tint="0.59999389629810485"/>
        <bgColor indexed="64"/>
      </patternFill>
    </fill>
    <fill>
      <patternFill patternType="solid">
        <fgColor rgb="FFDCE6F1"/>
        <bgColor indexed="64"/>
      </patternFill>
    </fill>
    <fill>
      <patternFill patternType="solid">
        <fgColor theme="7" tint="0.59999389629810485"/>
        <bgColor indexed="64"/>
      </patternFill>
    </fill>
    <fill>
      <patternFill patternType="solid">
        <fgColor theme="3" tint="0.59999389629810485"/>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rgb="FFF2F2F2"/>
        <bgColor indexed="64"/>
      </patternFill>
    </fill>
    <fill>
      <patternFill patternType="solid">
        <fgColor rgb="FF8DB4E2"/>
        <bgColor indexed="64"/>
      </patternFill>
    </fill>
    <fill>
      <patternFill patternType="solid">
        <fgColor rgb="FFDAEEF3"/>
        <bgColor indexed="64"/>
      </patternFill>
    </fill>
    <fill>
      <patternFill patternType="solid">
        <fgColor rgb="FFFFFFFF"/>
        <bgColor indexed="64"/>
      </patternFill>
    </fill>
    <fill>
      <patternFill patternType="solid">
        <fgColor rgb="FFEBF1DE"/>
        <bgColor indexed="64"/>
      </patternFill>
    </fill>
    <fill>
      <patternFill patternType="solid">
        <fgColor rgb="FFD8E4BC"/>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6" tint="0.79998168889431442"/>
        <bgColor indexed="64"/>
      </patternFill>
    </fill>
    <fill>
      <patternFill patternType="solid">
        <fgColor theme="6" tint="0.39997558519241921"/>
        <bgColor indexed="64"/>
      </patternFill>
    </fill>
    <fill>
      <patternFill patternType="solid">
        <fgColor theme="8"/>
        <bgColor indexed="64"/>
      </patternFill>
    </fill>
    <fill>
      <patternFill patternType="solid">
        <fgColor theme="7"/>
        <bgColor indexed="64"/>
      </patternFill>
    </fill>
    <fill>
      <patternFill patternType="solid">
        <fgColor theme="3" tint="0.89999084444715716"/>
        <bgColor indexed="64"/>
      </patternFill>
    </fill>
    <fill>
      <patternFill patternType="solid">
        <fgColor theme="0" tint="-0.14999847407452621"/>
        <bgColor indexed="64"/>
      </patternFill>
    </fill>
    <fill>
      <patternFill patternType="solid">
        <fgColor theme="6"/>
        <bgColor indexed="64"/>
      </patternFill>
    </fill>
    <fill>
      <patternFill patternType="solid">
        <fgColor theme="5"/>
        <bgColor indexed="64"/>
      </patternFill>
    </fill>
    <fill>
      <patternFill patternType="solid">
        <fgColor theme="5" tint="0.39997558519241921"/>
        <bgColor indexed="64"/>
      </patternFill>
    </fill>
    <fill>
      <patternFill patternType="solid">
        <fgColor rgb="FFF2DAEC"/>
        <bgColor indexed="64"/>
      </patternFill>
    </fill>
  </fills>
  <borders count="30">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style="thin">
        <color rgb="FF7F7F7F"/>
      </right>
      <top style="thin">
        <color rgb="FF7F7F7F"/>
      </top>
      <bottom style="thin">
        <color rgb="FF7F7F7F"/>
      </bottom>
      <diagonal/>
    </border>
    <border>
      <left style="thin">
        <color rgb="FF7F7F7F"/>
      </left>
      <right/>
      <top style="thin">
        <color rgb="FF7F7F7F"/>
      </top>
      <bottom style="thin">
        <color rgb="FF7F7F7F"/>
      </bottom>
      <diagonal/>
    </border>
    <border>
      <left/>
      <right/>
      <top/>
      <bottom style="thin">
        <color indexed="64"/>
      </bottom>
      <diagonal/>
    </border>
    <border>
      <left style="thin">
        <color rgb="FF3F3F76"/>
      </left>
      <right style="thin">
        <color rgb="FF3F3F76"/>
      </right>
      <top style="thin">
        <color rgb="FF3F3F76"/>
      </top>
      <bottom style="thin">
        <color rgb="FF3F3F76"/>
      </bottom>
      <diagonal/>
    </border>
    <border>
      <left style="thin">
        <color auto="1"/>
      </left>
      <right style="thin">
        <color auto="1"/>
      </right>
      <top/>
      <bottom/>
      <diagonal/>
    </border>
    <border>
      <left style="thin">
        <color rgb="FF7F7F7F"/>
      </left>
      <right style="thin">
        <color indexed="64"/>
      </right>
      <top style="thin">
        <color rgb="FF7F7F7F"/>
      </top>
      <bottom style="thin">
        <color rgb="FF7F7F7F"/>
      </bottom>
      <diagonal/>
    </border>
    <border>
      <left style="thin">
        <color rgb="FF7F7F7F"/>
      </left>
      <right style="thin">
        <color rgb="FF7F7F7F"/>
      </right>
      <top/>
      <bottom style="thin">
        <color rgb="FF7F7F7F"/>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theme="0"/>
      </left>
      <right style="thin">
        <color theme="0"/>
      </right>
      <top style="thin">
        <color theme="0"/>
      </top>
      <bottom style="thin">
        <color theme="0"/>
      </bottom>
      <diagonal/>
    </border>
    <border>
      <left style="thin">
        <color theme="0"/>
      </left>
      <right style="thin">
        <color theme="0"/>
      </right>
      <top/>
      <bottom style="thin">
        <color theme="0"/>
      </bottom>
      <diagonal/>
    </border>
    <border>
      <left style="thin">
        <color theme="0"/>
      </left>
      <right/>
      <top/>
      <bottom style="thin">
        <color theme="0"/>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top style="thin">
        <color theme="0"/>
      </top>
      <bottom/>
      <diagonal/>
    </border>
    <border>
      <left style="thin">
        <color rgb="FF3F3F3F"/>
      </left>
      <right style="thin">
        <color rgb="FF3F3F3F"/>
      </right>
      <top/>
      <bottom style="thin">
        <color rgb="FF3F3F3F"/>
      </bottom>
      <diagonal/>
    </border>
  </borders>
  <cellStyleXfs count="17">
    <xf numFmtId="0" fontId="0" fillId="0" borderId="0"/>
    <xf numFmtId="0" fontId="3" fillId="2" borderId="1" applyNumberFormat="0" applyAlignment="0" applyProtection="0"/>
    <xf numFmtId="0" fontId="4" fillId="0" borderId="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4" fillId="0" borderId="0"/>
    <xf numFmtId="0" fontId="13" fillId="0" borderId="0" applyNumberFormat="0" applyFill="0" applyBorder="0" applyProtection="0"/>
    <xf numFmtId="0" fontId="1" fillId="0" borderId="0"/>
    <xf numFmtId="0" fontId="10" fillId="0" borderId="0" applyNumberFormat="0" applyFill="0" applyBorder="0" applyAlignment="0" applyProtection="0"/>
    <xf numFmtId="0" fontId="15" fillId="5" borderId="2" applyNumberFormat="0" applyAlignment="0" applyProtection="0"/>
    <xf numFmtId="0" fontId="21" fillId="0" borderId="0"/>
    <xf numFmtId="0" fontId="23" fillId="0" borderId="0"/>
    <xf numFmtId="43" fontId="9" fillId="0" borderId="0" applyFont="0" applyFill="0" applyBorder="0" applyAlignment="0" applyProtection="0"/>
    <xf numFmtId="0" fontId="10" fillId="0" borderId="0" applyNumberFormat="0" applyFill="0" applyBorder="0" applyAlignment="0" applyProtection="0"/>
    <xf numFmtId="9" fontId="1" fillId="0" borderId="0" applyFont="0" applyFill="0" applyBorder="0" applyAlignment="0" applyProtection="0"/>
    <xf numFmtId="0" fontId="50" fillId="5" borderId="1" applyNumberFormat="0" applyAlignment="0" applyProtection="0"/>
  </cellStyleXfs>
  <cellXfs count="398">
    <xf numFmtId="0" fontId="0" fillId="0" borderId="0" xfId="0"/>
    <xf numFmtId="0" fontId="6" fillId="0" borderId="0" xfId="0" applyFont="1"/>
    <xf numFmtId="0" fontId="0" fillId="0" borderId="0" xfId="0" applyAlignment="1">
      <alignment horizontal="center" vertical="center"/>
    </xf>
    <xf numFmtId="0" fontId="0" fillId="0" borderId="0" xfId="0" applyAlignment="1">
      <alignment horizontal="center"/>
    </xf>
    <xf numFmtId="0" fontId="0" fillId="0" borderId="0" xfId="0" applyAlignment="1">
      <alignment horizontal="left"/>
    </xf>
    <xf numFmtId="0" fontId="15" fillId="5" borderId="2" xfId="10" applyAlignment="1">
      <alignment horizontal="center"/>
    </xf>
    <xf numFmtId="0" fontId="11" fillId="0" borderId="0" xfId="0" applyFont="1" applyAlignment="1">
      <alignment horizontal="center" vertical="center"/>
    </xf>
    <xf numFmtId="44" fontId="3" fillId="2" borderId="1" xfId="1" applyNumberFormat="1" applyAlignment="1">
      <alignment horizontal="center" vertical="center"/>
    </xf>
    <xf numFmtId="0" fontId="8" fillId="0" borderId="0" xfId="0" applyFont="1" applyAlignment="1">
      <alignment horizontal="center" vertical="center"/>
    </xf>
    <xf numFmtId="0" fontId="11" fillId="0" borderId="0" xfId="0" applyFont="1" applyAlignment="1">
      <alignment horizontal="left" vertical="center"/>
    </xf>
    <xf numFmtId="0" fontId="3" fillId="2" borderId="1" xfId="1" applyAlignment="1">
      <alignment horizontal="center" vertical="center"/>
    </xf>
    <xf numFmtId="0" fontId="22" fillId="5" borderId="2" xfId="10" applyFont="1" applyAlignment="1">
      <alignment horizontal="center"/>
    </xf>
    <xf numFmtId="0" fontId="19" fillId="0" borderId="3" xfId="0" applyFont="1" applyBorder="1" applyAlignment="1">
      <alignment horizontal="center" vertical="center"/>
    </xf>
    <xf numFmtId="0" fontId="17" fillId="0" borderId="3" xfId="0" applyFont="1" applyBorder="1" applyAlignment="1">
      <alignment horizontal="center" vertical="center"/>
    </xf>
    <xf numFmtId="0" fontId="16" fillId="3" borderId="3" xfId="0" applyFont="1" applyFill="1" applyBorder="1" applyAlignment="1">
      <alignment horizontal="center" vertical="center"/>
    </xf>
    <xf numFmtId="0" fontId="0" fillId="0" borderId="3" xfId="0" applyBorder="1"/>
    <xf numFmtId="0" fontId="16" fillId="0" borderId="3" xfId="0" applyFont="1" applyBorder="1" applyAlignment="1">
      <alignment horizontal="center" vertical="center"/>
    </xf>
    <xf numFmtId="0" fontId="16" fillId="6" borderId="3" xfId="0" applyFont="1" applyFill="1" applyBorder="1" applyAlignment="1">
      <alignment horizontal="center" vertical="center" wrapText="1"/>
    </xf>
    <xf numFmtId="2" fontId="18" fillId="0" borderId="3" xfId="0" applyNumberFormat="1" applyFont="1" applyBorder="1" applyAlignment="1">
      <alignment horizontal="center" vertical="center"/>
    </xf>
    <xf numFmtId="0" fontId="18" fillId="0" borderId="3" xfId="0" applyFont="1" applyBorder="1" applyAlignment="1">
      <alignment horizontal="center" vertical="center"/>
    </xf>
    <xf numFmtId="164" fontId="18" fillId="0" borderId="3" xfId="0" applyNumberFormat="1" applyFont="1" applyBorder="1" applyAlignment="1">
      <alignment horizontal="center" vertical="center"/>
    </xf>
    <xf numFmtId="0" fontId="8" fillId="0" borderId="3" xfId="0" applyFont="1" applyBorder="1" applyAlignment="1">
      <alignment horizontal="center" vertical="center"/>
    </xf>
    <xf numFmtId="0" fontId="8" fillId="0" borderId="3" xfId="0" applyFont="1" applyBorder="1" applyAlignment="1">
      <alignment horizontal="center"/>
    </xf>
    <xf numFmtId="0" fontId="6" fillId="0" borderId="3" xfId="0" applyFont="1" applyBorder="1"/>
    <xf numFmtId="0" fontId="15" fillId="5" borderId="2" xfId="10" applyNumberFormat="1" applyAlignment="1">
      <alignment horizontal="center" vertical="center"/>
    </xf>
    <xf numFmtId="0" fontId="0" fillId="0" borderId="5"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1" fontId="25" fillId="0" borderId="3" xfId="0" applyNumberFormat="1" applyFont="1" applyBorder="1" applyAlignment="1">
      <alignment horizontal="center" vertical="center"/>
    </xf>
    <xf numFmtId="2" fontId="25" fillId="0" borderId="3" xfId="0" applyNumberFormat="1" applyFont="1" applyBorder="1" applyAlignment="1">
      <alignment horizontal="center" vertical="center"/>
    </xf>
    <xf numFmtId="0" fontId="26" fillId="2" borderId="1" xfId="1" applyFont="1" applyAlignment="1">
      <alignment horizontal="center" vertical="center"/>
    </xf>
    <xf numFmtId="0" fontId="25" fillId="0" borderId="3" xfId="0" applyFont="1" applyBorder="1" applyAlignment="1">
      <alignment horizontal="center" vertical="center"/>
    </xf>
    <xf numFmtId="0" fontId="27" fillId="0" borderId="3" xfId="0" applyFont="1" applyBorder="1" applyAlignment="1">
      <alignment horizontal="center" vertical="center"/>
    </xf>
    <xf numFmtId="0" fontId="27" fillId="0" borderId="3" xfId="0" quotePrefix="1" applyFont="1" applyBorder="1" applyAlignment="1">
      <alignment horizontal="center" vertical="center"/>
    </xf>
    <xf numFmtId="0" fontId="28" fillId="0" borderId="3" xfId="0" applyFont="1" applyBorder="1" applyAlignment="1">
      <alignment horizontal="center" vertical="center"/>
    </xf>
    <xf numFmtId="0" fontId="10" fillId="0" borderId="3" xfId="14" applyBorder="1" applyAlignment="1">
      <alignment wrapText="1"/>
    </xf>
    <xf numFmtId="0" fontId="17" fillId="0" borderId="5" xfId="0" applyFont="1" applyBorder="1" applyAlignment="1">
      <alignment horizontal="center" vertical="center"/>
    </xf>
    <xf numFmtId="0" fontId="16" fillId="0" borderId="5" xfId="0" applyFont="1" applyBorder="1" applyAlignment="1">
      <alignment horizontal="center" vertical="center"/>
    </xf>
    <xf numFmtId="0" fontId="0" fillId="0" borderId="0" xfId="0" applyAlignment="1">
      <alignment wrapText="1"/>
    </xf>
    <xf numFmtId="0" fontId="6" fillId="0" borderId="7" xfId="0" applyFont="1" applyBorder="1"/>
    <xf numFmtId="0" fontId="6" fillId="0" borderId="8" xfId="0" applyFont="1" applyBorder="1"/>
    <xf numFmtId="0" fontId="6" fillId="0" borderId="9" xfId="0" applyFont="1" applyBorder="1"/>
    <xf numFmtId="0" fontId="0" fillId="0" borderId="5" xfId="0" applyBorder="1" applyAlignment="1">
      <alignment wrapText="1"/>
    </xf>
    <xf numFmtId="0" fontId="0" fillId="0" borderId="0" xfId="0" applyAlignment="1">
      <alignment horizontal="right"/>
    </xf>
    <xf numFmtId="0" fontId="0" fillId="0" borderId="4" xfId="0" applyBorder="1"/>
    <xf numFmtId="0" fontId="6" fillId="0" borderId="14" xfId="0" applyFont="1" applyBorder="1"/>
    <xf numFmtId="0" fontId="6" fillId="0" borderId="16" xfId="0" applyFont="1" applyBorder="1"/>
    <xf numFmtId="0" fontId="18" fillId="8" borderId="3" xfId="0" applyFont="1" applyFill="1" applyBorder="1" applyAlignment="1">
      <alignment horizontal="center" vertical="center"/>
    </xf>
    <xf numFmtId="0" fontId="19" fillId="8" borderId="3" xfId="0" applyFont="1" applyFill="1" applyBorder="1" applyAlignment="1">
      <alignment horizontal="center" vertical="center"/>
    </xf>
    <xf numFmtId="0" fontId="3" fillId="8" borderId="1" xfId="0" applyFont="1" applyFill="1" applyBorder="1"/>
    <xf numFmtId="0" fontId="3" fillId="8" borderId="15" xfId="0" applyFont="1" applyFill="1" applyBorder="1"/>
    <xf numFmtId="0" fontId="3" fillId="8" borderId="3" xfId="0" applyFont="1" applyFill="1" applyBorder="1"/>
    <xf numFmtId="0" fontId="3" fillId="8" borderId="4" xfId="0" applyFont="1" applyFill="1" applyBorder="1"/>
    <xf numFmtId="0" fontId="16" fillId="12" borderId="3" xfId="0" applyFont="1" applyFill="1" applyBorder="1" applyAlignment="1">
      <alignment horizontal="center" vertical="center"/>
    </xf>
    <xf numFmtId="0" fontId="17" fillId="12" borderId="3" xfId="0" applyFont="1" applyFill="1" applyBorder="1" applyAlignment="1">
      <alignment horizontal="center" vertical="center"/>
    </xf>
    <xf numFmtId="0" fontId="17" fillId="12" borderId="5" xfId="0" applyFont="1" applyFill="1" applyBorder="1" applyAlignment="1">
      <alignment horizontal="center" vertical="center"/>
    </xf>
    <xf numFmtId="0" fontId="16" fillId="18" borderId="5" xfId="0" applyFont="1" applyFill="1" applyBorder="1" applyAlignment="1">
      <alignment horizontal="center" vertical="center"/>
    </xf>
    <xf numFmtId="0" fontId="17" fillId="18" borderId="5" xfId="0" applyFont="1" applyFill="1" applyBorder="1" applyAlignment="1">
      <alignment horizontal="center" vertical="center"/>
    </xf>
    <xf numFmtId="0" fontId="6" fillId="0" borderId="16" xfId="0" applyFont="1" applyBorder="1" applyAlignment="1">
      <alignment wrapText="1"/>
    </xf>
    <xf numFmtId="0" fontId="16" fillId="19" borderId="5" xfId="0" applyFont="1" applyFill="1" applyBorder="1" applyAlignment="1">
      <alignment horizontal="center" vertical="center"/>
    </xf>
    <xf numFmtId="0" fontId="17" fillId="19" borderId="5" xfId="0" applyFont="1" applyFill="1" applyBorder="1" applyAlignment="1">
      <alignment horizontal="center" vertical="center"/>
    </xf>
    <xf numFmtId="0" fontId="30" fillId="9" borderId="0" xfId="0" applyFont="1" applyFill="1"/>
    <xf numFmtId="0" fontId="0" fillId="9" borderId="0" xfId="0" applyFill="1"/>
    <xf numFmtId="0" fontId="6" fillId="9" borderId="0" xfId="0" applyFont="1" applyFill="1" applyAlignment="1">
      <alignment horizontal="center"/>
    </xf>
    <xf numFmtId="0" fontId="0" fillId="9" borderId="0" xfId="0" applyFill="1" applyAlignment="1">
      <alignment horizontal="left"/>
    </xf>
    <xf numFmtId="0" fontId="0" fillId="9" borderId="0" xfId="0" applyFill="1" applyAlignment="1">
      <alignment horizontal="center" vertical="center"/>
    </xf>
    <xf numFmtId="0" fontId="3" fillId="8" borderId="1" xfId="1" applyFill="1" applyAlignment="1">
      <alignment horizontal="center"/>
    </xf>
    <xf numFmtId="0" fontId="3" fillId="8" borderId="13" xfId="1" applyFill="1" applyBorder="1" applyAlignment="1">
      <alignment horizontal="center"/>
    </xf>
    <xf numFmtId="0" fontId="22" fillId="20" borderId="3" xfId="10" applyFont="1" applyFill="1" applyBorder="1" applyAlignment="1">
      <alignment horizontal="center"/>
    </xf>
    <xf numFmtId="0" fontId="6" fillId="9" borderId="0" xfId="0" applyFont="1" applyFill="1" applyAlignment="1">
      <alignment horizontal="right"/>
    </xf>
    <xf numFmtId="1" fontId="0" fillId="0" borderId="0" xfId="0" applyNumberFormat="1"/>
    <xf numFmtId="0" fontId="18" fillId="8" borderId="5" xfId="0" applyFont="1" applyFill="1" applyBorder="1" applyAlignment="1">
      <alignment horizontal="center" vertical="center"/>
    </xf>
    <xf numFmtId="0" fontId="17" fillId="0" borderId="3" xfId="0" applyFont="1" applyBorder="1" applyAlignment="1">
      <alignment horizontal="center"/>
    </xf>
    <xf numFmtId="0" fontId="35" fillId="9" borderId="0" xfId="0" applyFont="1" applyFill="1"/>
    <xf numFmtId="0" fontId="0" fillId="9" borderId="0" xfId="0" applyFill="1" applyAlignment="1">
      <alignment horizontal="center"/>
    </xf>
    <xf numFmtId="0" fontId="15" fillId="5" borderId="3" xfId="10" applyNumberFormat="1" applyBorder="1" applyAlignment="1">
      <alignment horizontal="center" vertical="center"/>
    </xf>
    <xf numFmtId="0" fontId="3" fillId="2" borderId="12" xfId="1" applyBorder="1" applyAlignment="1">
      <alignment horizontal="center"/>
    </xf>
    <xf numFmtId="0" fontId="24" fillId="9" borderId="0" xfId="0" applyFont="1" applyFill="1" applyAlignment="1">
      <alignment horizontal="center" vertical="center"/>
    </xf>
    <xf numFmtId="0" fontId="25" fillId="9" borderId="0" xfId="0" applyFont="1" applyFill="1" applyAlignment="1">
      <alignment horizontal="center" vertical="center"/>
    </xf>
    <xf numFmtId="0" fontId="29" fillId="9" borderId="0" xfId="0" applyFont="1" applyFill="1" applyAlignment="1">
      <alignment horizontal="center" vertical="center"/>
    </xf>
    <xf numFmtId="0" fontId="25" fillId="9" borderId="0" xfId="0" applyFont="1" applyFill="1" applyAlignment="1">
      <alignment horizontal="right" vertical="center"/>
    </xf>
    <xf numFmtId="0" fontId="20" fillId="9" borderId="0" xfId="0" applyFont="1" applyFill="1" applyAlignment="1">
      <alignment horizontal="center"/>
    </xf>
    <xf numFmtId="0" fontId="7" fillId="9" borderId="0" xfId="0" applyFont="1" applyFill="1" applyAlignment="1">
      <alignment horizontal="left"/>
    </xf>
    <xf numFmtId="0" fontId="2" fillId="9" borderId="0" xfId="0" applyFont="1" applyFill="1" applyAlignment="1">
      <alignment horizontal="center"/>
    </xf>
    <xf numFmtId="0" fontId="20" fillId="9" borderId="0" xfId="0" applyFont="1" applyFill="1" applyAlignment="1">
      <alignment horizontal="center" vertical="center"/>
    </xf>
    <xf numFmtId="0" fontId="37" fillId="9" borderId="0" xfId="0" applyFont="1" applyFill="1" applyAlignment="1">
      <alignment horizontal="center" vertical="center"/>
    </xf>
    <xf numFmtId="0" fontId="31" fillId="9" borderId="0" xfId="0" applyFont="1" applyFill="1" applyAlignment="1">
      <alignment horizontal="center"/>
    </xf>
    <xf numFmtId="0" fontId="31" fillId="9" borderId="0" xfId="0" applyFont="1" applyFill="1" applyAlignment="1">
      <alignment horizontal="center" vertical="center"/>
    </xf>
    <xf numFmtId="0" fontId="7" fillId="9" borderId="0" xfId="0" applyFont="1" applyFill="1" applyAlignment="1">
      <alignment horizontal="center"/>
    </xf>
    <xf numFmtId="0" fontId="19" fillId="9" borderId="0" xfId="0" applyFont="1" applyFill="1" applyAlignment="1">
      <alignment horizontal="center" vertical="center"/>
    </xf>
    <xf numFmtId="0" fontId="18" fillId="9" borderId="0" xfId="0" applyFont="1" applyFill="1" applyAlignment="1">
      <alignment horizontal="center" vertical="center"/>
    </xf>
    <xf numFmtId="0" fontId="0" fillId="0" borderId="5" xfId="0" applyBorder="1" applyAlignment="1">
      <alignment horizontal="center"/>
    </xf>
    <xf numFmtId="0" fontId="0" fillId="0" borderId="10"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6" fillId="0" borderId="3" xfId="0" applyFont="1" applyBorder="1" applyAlignment="1">
      <alignment horizontal="center"/>
    </xf>
    <xf numFmtId="0" fontId="0" fillId="9" borderId="7" xfId="0" applyFill="1" applyBorder="1" applyAlignment="1">
      <alignment horizontal="center"/>
    </xf>
    <xf numFmtId="164" fontId="18" fillId="9" borderId="0" xfId="0" applyNumberFormat="1" applyFont="1" applyFill="1" applyAlignment="1">
      <alignment horizontal="center" vertical="center"/>
    </xf>
    <xf numFmtId="0" fontId="38" fillId="5" borderId="2" xfId="10" applyFont="1" applyAlignment="1">
      <alignment horizontal="center"/>
    </xf>
    <xf numFmtId="0" fontId="39" fillId="0" borderId="3" xfId="0" applyFont="1" applyBorder="1" applyAlignment="1">
      <alignment horizontal="center" vertical="center"/>
    </xf>
    <xf numFmtId="0" fontId="39" fillId="23" borderId="3" xfId="0" applyFont="1" applyFill="1" applyBorder="1" applyAlignment="1">
      <alignment vertical="center"/>
    </xf>
    <xf numFmtId="0" fontId="39" fillId="23" borderId="3" xfId="0" applyFont="1" applyFill="1" applyBorder="1" applyAlignment="1">
      <alignment horizontal="center" vertical="center"/>
    </xf>
    <xf numFmtId="0" fontId="40" fillId="0" borderId="3" xfId="0" applyFont="1" applyBorder="1" applyAlignment="1">
      <alignment horizontal="center" vertical="center"/>
    </xf>
    <xf numFmtId="0" fontId="0" fillId="9" borderId="0" xfId="0" applyFill="1" applyAlignment="1">
      <alignment horizontal="left" vertical="center" wrapText="1"/>
    </xf>
    <xf numFmtId="0" fontId="6" fillId="9" borderId="0" xfId="0" applyFont="1" applyFill="1" applyAlignment="1">
      <alignment vertical="center"/>
    </xf>
    <xf numFmtId="0" fontId="6" fillId="0" borderId="0" xfId="0" applyFont="1" applyAlignment="1">
      <alignment vertical="center"/>
    </xf>
    <xf numFmtId="0" fontId="41" fillId="9" borderId="0" xfId="0" applyFont="1" applyFill="1"/>
    <xf numFmtId="0" fontId="30" fillId="9" borderId="0" xfId="0" applyFont="1" applyFill="1" applyAlignment="1">
      <alignment horizontal="left"/>
    </xf>
    <xf numFmtId="0" fontId="7" fillId="9" borderId="0" xfId="0" applyFont="1" applyFill="1" applyAlignment="1">
      <alignment horizontal="left" vertical="center"/>
    </xf>
    <xf numFmtId="2" fontId="15" fillId="20" borderId="3" xfId="10" applyNumberFormat="1" applyFill="1" applyBorder="1" applyAlignment="1">
      <alignment horizontal="center" vertical="center"/>
    </xf>
    <xf numFmtId="0" fontId="3" fillId="8" borderId="1" xfId="1" applyFill="1" applyAlignment="1">
      <alignment horizontal="center" vertical="center"/>
    </xf>
    <xf numFmtId="0" fontId="42" fillId="9" borderId="0" xfId="0" applyFont="1" applyFill="1" applyAlignment="1">
      <alignment horizontal="left"/>
    </xf>
    <xf numFmtId="0" fontId="8" fillId="9" borderId="0" xfId="0" applyFont="1" applyFill="1"/>
    <xf numFmtId="0" fontId="14" fillId="9" borderId="0" xfId="0" applyFont="1" applyFill="1" applyAlignment="1">
      <alignment horizontal="center"/>
    </xf>
    <xf numFmtId="0" fontId="43" fillId="9" borderId="0" xfId="0" applyFont="1" applyFill="1" applyAlignment="1">
      <alignment horizontal="center"/>
    </xf>
    <xf numFmtId="0" fontId="8" fillId="9" borderId="0" xfId="0" applyFont="1" applyFill="1" applyAlignment="1">
      <alignment horizontal="center"/>
    </xf>
    <xf numFmtId="164" fontId="19" fillId="0" borderId="3" xfId="0" applyNumberFormat="1" applyFont="1" applyBorder="1" applyAlignment="1">
      <alignment horizontal="center" vertical="center"/>
    </xf>
    <xf numFmtId="0" fontId="43" fillId="9" borderId="0" xfId="0" applyFont="1" applyFill="1" applyAlignment="1">
      <alignment horizontal="center" vertical="center"/>
    </xf>
    <xf numFmtId="0" fontId="6" fillId="0" borderId="4" xfId="0" applyFont="1" applyBorder="1" applyAlignment="1">
      <alignment horizontal="center"/>
    </xf>
    <xf numFmtId="0" fontId="0" fillId="0" borderId="3" xfId="0" applyBorder="1" applyAlignment="1">
      <alignment vertical="center"/>
    </xf>
    <xf numFmtId="0" fontId="0" fillId="23" borderId="0" xfId="0" applyFill="1"/>
    <xf numFmtId="165" fontId="0" fillId="23" borderId="0" xfId="0" applyNumberFormat="1" applyFill="1"/>
    <xf numFmtId="0" fontId="0" fillId="23" borderId="0" xfId="0" applyFill="1" applyAlignment="1">
      <alignment wrapText="1"/>
    </xf>
    <xf numFmtId="0" fontId="8" fillId="9" borderId="3" xfId="0" applyFont="1" applyFill="1" applyBorder="1" applyAlignment="1">
      <alignment horizontal="center" wrapText="1"/>
    </xf>
    <xf numFmtId="0" fontId="8" fillId="9" borderId="4" xfId="0" applyFont="1" applyFill="1" applyBorder="1" applyAlignment="1">
      <alignment horizontal="center" wrapText="1"/>
    </xf>
    <xf numFmtId="0" fontId="22" fillId="23" borderId="0" xfId="0" applyFont="1" applyFill="1" applyAlignment="1">
      <alignment wrapText="1"/>
    </xf>
    <xf numFmtId="0" fontId="35" fillId="23" borderId="0" xfId="0" applyFont="1" applyFill="1"/>
    <xf numFmtId="165" fontId="15" fillId="5" borderId="8" xfId="10" applyNumberFormat="1" applyBorder="1" applyAlignment="1">
      <alignment horizontal="center"/>
    </xf>
    <xf numFmtId="0" fontId="6" fillId="23" borderId="0" xfId="0" applyFont="1" applyFill="1"/>
    <xf numFmtId="165" fontId="22" fillId="5" borderId="3" xfId="10" applyNumberFormat="1" applyFont="1" applyBorder="1" applyAlignment="1">
      <alignment horizontal="center"/>
    </xf>
    <xf numFmtId="0" fontId="3" fillId="2" borderId="1" xfId="1" applyAlignment="1">
      <alignment horizontal="center"/>
    </xf>
    <xf numFmtId="0" fontId="8" fillId="0" borderId="8" xfId="0" applyFont="1" applyBorder="1" applyAlignment="1">
      <alignment horizontal="center" vertical="center"/>
    </xf>
    <xf numFmtId="0" fontId="0" fillId="23" borderId="0" xfId="0" applyFill="1" applyAlignment="1">
      <alignment horizontal="left"/>
    </xf>
    <xf numFmtId="0" fontId="44" fillId="9" borderId="0" xfId="0" applyFont="1" applyFill="1"/>
    <xf numFmtId="0" fontId="8" fillId="9" borderId="3" xfId="0" applyFont="1" applyFill="1" applyBorder="1" applyAlignment="1">
      <alignment horizontal="center" vertical="center"/>
    </xf>
    <xf numFmtId="0" fontId="6" fillId="0" borderId="3" xfId="0" applyFont="1" applyBorder="1" applyAlignment="1">
      <alignment horizontal="center" vertical="center"/>
    </xf>
    <xf numFmtId="0" fontId="8" fillId="0" borderId="4" xfId="0" applyFont="1" applyBorder="1" applyAlignment="1">
      <alignment horizontal="center" vertical="center"/>
    </xf>
    <xf numFmtId="2" fontId="22" fillId="20" borderId="3" xfId="0" applyNumberFormat="1" applyFont="1" applyFill="1" applyBorder="1" applyAlignment="1">
      <alignment horizontal="center" wrapText="1"/>
    </xf>
    <xf numFmtId="3" fontId="22" fillId="5" borderId="3" xfId="10" applyNumberFormat="1" applyFont="1" applyBorder="1" applyAlignment="1">
      <alignment horizontal="center"/>
    </xf>
    <xf numFmtId="0" fontId="16" fillId="24" borderId="3" xfId="0" applyFont="1" applyFill="1" applyBorder="1" applyAlignment="1">
      <alignment horizontal="center" vertical="center"/>
    </xf>
    <xf numFmtId="0" fontId="16" fillId="24" borderId="5" xfId="0" applyFont="1" applyFill="1" applyBorder="1" applyAlignment="1">
      <alignment horizontal="center" vertical="center"/>
    </xf>
    <xf numFmtId="0" fontId="16" fillId="24" borderId="3" xfId="0" applyFont="1" applyFill="1" applyBorder="1" applyAlignment="1">
      <alignment horizontal="center" vertical="center" wrapText="1"/>
    </xf>
    <xf numFmtId="0" fontId="16" fillId="25" borderId="5" xfId="0" applyFont="1" applyFill="1" applyBorder="1" applyAlignment="1">
      <alignment horizontal="center" vertical="center"/>
    </xf>
    <xf numFmtId="0" fontId="16" fillId="25" borderId="3" xfId="0" applyFont="1" applyFill="1" applyBorder="1" applyAlignment="1">
      <alignment horizontal="center" vertical="center" wrapText="1"/>
    </xf>
    <xf numFmtId="2" fontId="22" fillId="20" borderId="3" xfId="0" applyNumberFormat="1" applyFont="1" applyFill="1" applyBorder="1" applyAlignment="1">
      <alignment horizontal="center" vertical="center"/>
    </xf>
    <xf numFmtId="0" fontId="3" fillId="8" borderId="17" xfId="0" applyFont="1" applyFill="1" applyBorder="1"/>
    <xf numFmtId="0" fontId="36" fillId="23" borderId="0" xfId="0" applyFont="1" applyFill="1" applyAlignment="1">
      <alignment horizontal="right"/>
    </xf>
    <xf numFmtId="0" fontId="45" fillId="9" borderId="0" xfId="0" applyFont="1" applyFill="1" applyAlignment="1">
      <alignment horizontal="center" vertical="center"/>
    </xf>
    <xf numFmtId="0" fontId="46" fillId="9" borderId="0" xfId="0" applyFont="1" applyFill="1" applyAlignment="1">
      <alignment horizontal="center" vertical="center"/>
    </xf>
    <xf numFmtId="0" fontId="28" fillId="9" borderId="3" xfId="0" applyFont="1" applyFill="1" applyBorder="1" applyAlignment="1">
      <alignment horizontal="center" vertical="center"/>
    </xf>
    <xf numFmtId="0" fontId="6" fillId="23" borderId="8" xfId="0" applyFont="1" applyFill="1" applyBorder="1" applyAlignment="1">
      <alignment horizontal="right"/>
    </xf>
    <xf numFmtId="1" fontId="22" fillId="20" borderId="3" xfId="0" applyNumberFormat="1" applyFont="1" applyFill="1" applyBorder="1" applyAlignment="1">
      <alignment horizontal="center" wrapText="1"/>
    </xf>
    <xf numFmtId="0" fontId="3" fillId="8" borderId="18" xfId="0" applyFont="1" applyFill="1" applyBorder="1"/>
    <xf numFmtId="0" fontId="10" fillId="0" borderId="3" xfId="14" applyBorder="1" applyAlignment="1">
      <alignment horizontal="left" vertical="center" wrapText="1"/>
    </xf>
    <xf numFmtId="0" fontId="0" fillId="0" borderId="3" xfId="0" applyBorder="1" applyAlignment="1">
      <alignment vertical="center" wrapText="1"/>
    </xf>
    <xf numFmtId="0" fontId="0" fillId="0" borderId="3" xfId="0" applyBorder="1" applyAlignment="1">
      <alignment horizontal="center" vertical="center"/>
    </xf>
    <xf numFmtId="0" fontId="6" fillId="9" borderId="8" xfId="0" applyFont="1" applyFill="1" applyBorder="1" applyAlignment="1">
      <alignment horizontal="right"/>
    </xf>
    <xf numFmtId="0" fontId="36" fillId="9" borderId="0" xfId="0" applyFont="1" applyFill="1" applyAlignment="1">
      <alignment horizontal="right"/>
    </xf>
    <xf numFmtId="0" fontId="0" fillId="0" borderId="3" xfId="0" applyBorder="1" applyAlignment="1">
      <alignment horizontal="center"/>
    </xf>
    <xf numFmtId="0" fontId="0" fillId="0" borderId="3" xfId="0" applyBorder="1" applyAlignment="1">
      <alignment horizontal="center" wrapText="1"/>
    </xf>
    <xf numFmtId="0" fontId="6" fillId="23" borderId="0" xfId="0" applyFont="1" applyFill="1" applyAlignment="1">
      <alignment horizontal="right"/>
    </xf>
    <xf numFmtId="0" fontId="11" fillId="0" borderId="0" xfId="0" applyFont="1" applyAlignment="1">
      <alignment vertical="center"/>
    </xf>
    <xf numFmtId="0" fontId="36" fillId="9" borderId="0" xfId="0" applyFont="1" applyFill="1" applyAlignment="1">
      <alignment horizontal="right" vertical="center"/>
    </xf>
    <xf numFmtId="0" fontId="6" fillId="23" borderId="3" xfId="0" applyFont="1" applyFill="1" applyBorder="1" applyAlignment="1">
      <alignment horizontal="center"/>
    </xf>
    <xf numFmtId="0" fontId="6" fillId="9" borderId="3" xfId="0" applyFont="1" applyFill="1" applyBorder="1" applyAlignment="1">
      <alignment horizontal="center"/>
    </xf>
    <xf numFmtId="0" fontId="6" fillId="23" borderId="0" xfId="0" applyFont="1" applyFill="1" applyAlignment="1">
      <alignment horizontal="left"/>
    </xf>
    <xf numFmtId="0" fontId="8" fillId="0" borderId="9" xfId="0" applyFont="1" applyBorder="1" applyAlignment="1">
      <alignment horizontal="center" vertical="center"/>
    </xf>
    <xf numFmtId="0" fontId="27" fillId="0" borderId="3" xfId="15" applyNumberFormat="1" applyFont="1" applyBorder="1" applyAlignment="1">
      <alignment horizontal="center" vertical="center"/>
    </xf>
    <xf numFmtId="164" fontId="25" fillId="0" borderId="3" xfId="0" applyNumberFormat="1" applyFont="1" applyBorder="1" applyAlignment="1">
      <alignment horizontal="center" vertical="center"/>
    </xf>
    <xf numFmtId="0" fontId="26" fillId="2" borderId="13" xfId="1" applyFont="1" applyBorder="1" applyAlignment="1">
      <alignment horizontal="center" vertical="center"/>
    </xf>
    <xf numFmtId="0" fontId="26" fillId="0" borderId="3" xfId="1" applyFont="1" applyFill="1" applyBorder="1" applyAlignment="1">
      <alignment horizontal="center" vertical="center"/>
    </xf>
    <xf numFmtId="0" fontId="3" fillId="2" borderId="12" xfId="1" applyBorder="1"/>
    <xf numFmtId="11" fontId="3" fillId="8" borderId="1" xfId="0" applyNumberFormat="1" applyFont="1" applyFill="1" applyBorder="1"/>
    <xf numFmtId="0" fontId="0" fillId="0" borderId="4" xfId="0" applyBorder="1" applyAlignment="1">
      <alignment wrapText="1"/>
    </xf>
    <xf numFmtId="10" fontId="27" fillId="0" borderId="3" xfId="0" applyNumberFormat="1" applyFont="1" applyBorder="1" applyAlignment="1">
      <alignment horizontal="center" vertical="center"/>
    </xf>
    <xf numFmtId="10" fontId="27" fillId="0" borderId="3" xfId="0" quotePrefix="1" applyNumberFormat="1" applyFont="1" applyBorder="1" applyAlignment="1">
      <alignment horizontal="center" vertical="center"/>
    </xf>
    <xf numFmtId="165" fontId="6" fillId="23" borderId="0" xfId="0" applyNumberFormat="1" applyFont="1" applyFill="1" applyAlignment="1">
      <alignment horizontal="center"/>
    </xf>
    <xf numFmtId="10" fontId="15" fillId="5" borderId="3" xfId="10" applyNumberFormat="1" applyBorder="1" applyAlignment="1">
      <alignment horizontal="center" vertical="center"/>
    </xf>
    <xf numFmtId="7" fontId="3" fillId="2" borderId="18" xfId="1" applyNumberFormat="1" applyBorder="1" applyAlignment="1">
      <alignment horizontal="center" vertical="center"/>
    </xf>
    <xf numFmtId="7" fontId="3" fillId="2" borderId="1" xfId="1" applyNumberFormat="1" applyAlignment="1">
      <alignment horizontal="center" vertical="center"/>
    </xf>
    <xf numFmtId="4" fontId="22" fillId="5" borderId="3" xfId="10" applyNumberFormat="1" applyFont="1" applyBorder="1" applyAlignment="1">
      <alignment horizontal="center"/>
    </xf>
    <xf numFmtId="0" fontId="6" fillId="0" borderId="0" xfId="0" applyFont="1" applyAlignment="1">
      <alignment horizontal="left"/>
    </xf>
    <xf numFmtId="0" fontId="16" fillId="29" borderId="5" xfId="0" applyFont="1" applyFill="1" applyBorder="1" applyAlignment="1">
      <alignment horizontal="center" vertical="center"/>
    </xf>
    <xf numFmtId="0" fontId="16" fillId="6" borderId="5" xfId="0" applyFont="1" applyFill="1" applyBorder="1" applyAlignment="1">
      <alignment horizontal="center" vertical="center"/>
    </xf>
    <xf numFmtId="0" fontId="16" fillId="28" borderId="5" xfId="0" applyFont="1" applyFill="1" applyBorder="1" applyAlignment="1">
      <alignment horizontal="center" vertical="center"/>
    </xf>
    <xf numFmtId="0" fontId="16" fillId="18" borderId="3" xfId="0" applyFont="1" applyFill="1" applyBorder="1" applyAlignment="1">
      <alignment horizontal="center" vertical="center"/>
    </xf>
    <xf numFmtId="166" fontId="3" fillId="2" borderId="1" xfId="1" applyNumberFormat="1" applyAlignment="1">
      <alignment horizontal="center"/>
    </xf>
    <xf numFmtId="14" fontId="0" fillId="0" borderId="3" xfId="0" applyNumberFormat="1" applyBorder="1" applyAlignment="1">
      <alignment horizontal="center"/>
    </xf>
    <xf numFmtId="0" fontId="8" fillId="0" borderId="0" xfId="0" applyFont="1" applyAlignment="1">
      <alignment horizontal="center"/>
    </xf>
    <xf numFmtId="0" fontId="8" fillId="23" borderId="0" xfId="0" applyFont="1" applyFill="1"/>
    <xf numFmtId="2" fontId="0" fillId="23" borderId="0" xfId="0" applyNumberFormat="1" applyFill="1"/>
    <xf numFmtId="0" fontId="36" fillId="9" borderId="0" xfId="0" applyFont="1" applyFill="1"/>
    <xf numFmtId="0" fontId="36" fillId="9" borderId="0" xfId="0" applyFont="1" applyFill="1" applyAlignment="1">
      <alignment horizontal="left"/>
    </xf>
    <xf numFmtId="2" fontId="0" fillId="9" borderId="0" xfId="0" applyNumberFormat="1" applyFill="1"/>
    <xf numFmtId="164" fontId="27" fillId="0" borderId="3" xfId="0" applyNumberFormat="1" applyFont="1" applyBorder="1" applyAlignment="1">
      <alignment horizontal="center" vertical="center"/>
    </xf>
    <xf numFmtId="0" fontId="32" fillId="16" borderId="6" xfId="0" applyFont="1" applyFill="1" applyBorder="1" applyAlignment="1">
      <alignment horizontal="center"/>
    </xf>
    <xf numFmtId="0" fontId="6" fillId="0" borderId="16" xfId="0" applyFont="1" applyBorder="1" applyAlignment="1">
      <alignment horizontal="center"/>
    </xf>
    <xf numFmtId="0" fontId="22" fillId="5" borderId="0" xfId="10" applyFont="1" applyBorder="1" applyAlignment="1">
      <alignment horizontal="center"/>
    </xf>
    <xf numFmtId="0" fontId="22" fillId="5" borderId="2" xfId="10" quotePrefix="1" applyFont="1" applyAlignment="1">
      <alignment horizontal="center"/>
    </xf>
    <xf numFmtId="0" fontId="48" fillId="23" borderId="0" xfId="0" applyFont="1" applyFill="1" applyAlignment="1">
      <alignment wrapText="1"/>
    </xf>
    <xf numFmtId="14" fontId="8" fillId="0" borderId="3" xfId="0" applyNumberFormat="1" applyFont="1" applyBorder="1" applyAlignment="1">
      <alignment horizontal="center" vertical="center"/>
    </xf>
    <xf numFmtId="0" fontId="0" fillId="9" borderId="0" xfId="0" applyFill="1" applyAlignment="1">
      <alignment vertical="center"/>
    </xf>
    <xf numFmtId="0" fontId="11" fillId="0" borderId="3" xfId="0" applyFont="1" applyBorder="1" applyAlignment="1">
      <alignment horizontal="center" vertical="center"/>
    </xf>
    <xf numFmtId="0" fontId="10" fillId="9" borderId="0" xfId="14" applyFill="1" applyAlignment="1">
      <alignment vertical="center"/>
    </xf>
    <xf numFmtId="0" fontId="49" fillId="9" borderId="0" xfId="14" applyFont="1" applyFill="1" applyAlignment="1">
      <alignment horizontal="left" vertical="center" wrapText="1"/>
    </xf>
    <xf numFmtId="0" fontId="6" fillId="0" borderId="0" xfId="0" applyFont="1" applyAlignment="1">
      <alignment horizontal="right"/>
    </xf>
    <xf numFmtId="0" fontId="8" fillId="0" borderId="3" xfId="0" applyFont="1" applyBorder="1"/>
    <xf numFmtId="0" fontId="8" fillId="0" borderId="3" xfId="0" applyFont="1" applyBorder="1" applyAlignment="1">
      <alignment horizontal="center" wrapText="1"/>
    </xf>
    <xf numFmtId="0" fontId="6" fillId="23" borderId="0" xfId="0" applyFont="1" applyFill="1" applyAlignment="1">
      <alignment horizontal="center"/>
    </xf>
    <xf numFmtId="0" fontId="16" fillId="29" borderId="3" xfId="0" applyFont="1" applyFill="1" applyBorder="1" applyAlignment="1">
      <alignment horizontal="center" vertical="center"/>
    </xf>
    <xf numFmtId="0" fontId="40" fillId="0" borderId="5" xfId="0" applyFont="1" applyBorder="1" applyAlignment="1">
      <alignment horizontal="center" vertical="center"/>
    </xf>
    <xf numFmtId="0" fontId="48" fillId="23" borderId="0" xfId="0" applyFont="1" applyFill="1"/>
    <xf numFmtId="7" fontId="50" fillId="5" borderId="1" xfId="16" applyNumberFormat="1" applyAlignment="1">
      <alignment horizontal="center" vertical="center"/>
    </xf>
    <xf numFmtId="167" fontId="50" fillId="5" borderId="1" xfId="16" applyNumberFormat="1" applyAlignment="1">
      <alignment horizontal="center" vertical="center"/>
    </xf>
    <xf numFmtId="0" fontId="0" fillId="0" borderId="22" xfId="0" applyBorder="1" applyAlignment="1">
      <alignment horizontal="left"/>
    </xf>
    <xf numFmtId="0" fontId="16" fillId="14" borderId="4" xfId="0" applyFont="1" applyFill="1" applyBorder="1" applyAlignment="1">
      <alignment horizontal="center" vertical="center"/>
    </xf>
    <xf numFmtId="0" fontId="16" fillId="18" borderId="3" xfId="0" applyFont="1" applyFill="1" applyBorder="1" applyAlignment="1">
      <alignment horizontal="center" vertical="center" wrapText="1"/>
    </xf>
    <xf numFmtId="0" fontId="16" fillId="33" borderId="4" xfId="0" applyFont="1" applyFill="1" applyBorder="1" applyAlignment="1">
      <alignment horizontal="center" vertical="center" wrapText="1"/>
    </xf>
    <xf numFmtId="0" fontId="0" fillId="0" borderId="11" xfId="0" applyBorder="1" applyAlignment="1">
      <alignment horizontal="center"/>
    </xf>
    <xf numFmtId="0" fontId="50" fillId="5" borderId="3" xfId="16" applyBorder="1" applyAlignment="1">
      <alignment horizontal="center"/>
    </xf>
    <xf numFmtId="0" fontId="50" fillId="5" borderId="11" xfId="16" applyBorder="1" applyAlignment="1">
      <alignment horizontal="center"/>
    </xf>
    <xf numFmtId="0" fontId="8" fillId="8" borderId="3" xfId="0" applyFont="1" applyFill="1" applyBorder="1"/>
    <xf numFmtId="15" fontId="8" fillId="0" borderId="3" xfId="0" applyNumberFormat="1" applyFont="1" applyBorder="1" applyAlignment="1">
      <alignment horizontal="center"/>
    </xf>
    <xf numFmtId="0" fontId="10" fillId="0" borderId="0" xfId="14" applyAlignment="1">
      <alignment horizontal="center"/>
    </xf>
    <xf numFmtId="0" fontId="8" fillId="0" borderId="7" xfId="0" applyFont="1" applyBorder="1" applyAlignment="1">
      <alignment horizontal="center" vertical="center"/>
    </xf>
    <xf numFmtId="0" fontId="8" fillId="0" borderId="5" xfId="0" applyFont="1" applyBorder="1" applyAlignment="1">
      <alignment horizontal="center"/>
    </xf>
    <xf numFmtId="15" fontId="8" fillId="0" borderId="5" xfId="0" applyNumberFormat="1" applyFont="1" applyBorder="1" applyAlignment="1">
      <alignment horizontal="center"/>
    </xf>
    <xf numFmtId="168" fontId="15" fillId="5" borderId="2" xfId="10" applyNumberFormat="1" applyAlignment="1">
      <alignment horizontal="center" vertical="center"/>
    </xf>
    <xf numFmtId="0" fontId="16" fillId="26" borderId="3" xfId="0" applyFont="1" applyFill="1" applyBorder="1" applyAlignment="1">
      <alignment horizontal="center" vertical="center" wrapText="1"/>
    </xf>
    <xf numFmtId="0" fontId="16" fillId="27" borderId="3" xfId="0" applyFont="1" applyFill="1" applyBorder="1" applyAlignment="1">
      <alignment horizontal="center" vertical="center" wrapText="1"/>
    </xf>
    <xf numFmtId="0" fontId="16" fillId="37" borderId="3" xfId="0" applyFont="1" applyFill="1" applyBorder="1" applyAlignment="1">
      <alignment horizontal="center" vertical="center" wrapText="1"/>
    </xf>
    <xf numFmtId="169" fontId="18" fillId="0" borderId="19" xfId="0" applyNumberFormat="1" applyFont="1" applyBorder="1" applyAlignment="1">
      <alignment horizontal="center"/>
    </xf>
    <xf numFmtId="169" fontId="18" fillId="0" borderId="11" xfId="0" applyNumberFormat="1" applyFont="1" applyBorder="1" applyAlignment="1">
      <alignment horizontal="center"/>
    </xf>
    <xf numFmtId="169" fontId="18" fillId="0" borderId="3" xfId="0" applyNumberFormat="1" applyFont="1" applyBorder="1" applyAlignment="1">
      <alignment horizontal="center"/>
    </xf>
    <xf numFmtId="169" fontId="18" fillId="0" borderId="4" xfId="0" applyNumberFormat="1" applyFont="1" applyBorder="1" applyAlignment="1">
      <alignment horizontal="center"/>
    </xf>
    <xf numFmtId="0" fontId="0" fillId="0" borderId="22" xfId="0" applyBorder="1"/>
    <xf numFmtId="0" fontId="0" fillId="0" borderId="23" xfId="0" applyBorder="1"/>
    <xf numFmtId="0" fontId="0" fillId="0" borderId="24" xfId="0" applyBorder="1"/>
    <xf numFmtId="0" fontId="0" fillId="0" borderId="25" xfId="0" applyBorder="1"/>
    <xf numFmtId="0" fontId="0" fillId="0" borderId="26" xfId="0" applyBorder="1"/>
    <xf numFmtId="0" fontId="16" fillId="6" borderId="3" xfId="0" applyFont="1" applyFill="1" applyBorder="1" applyAlignment="1">
      <alignment horizontal="center" vertical="center"/>
    </xf>
    <xf numFmtId="0" fontId="7" fillId="9" borderId="22" xfId="0" applyFont="1" applyFill="1" applyBorder="1" applyAlignment="1">
      <alignment horizontal="left"/>
    </xf>
    <xf numFmtId="0" fontId="17" fillId="0" borderId="25" xfId="0" applyFont="1" applyBorder="1" applyAlignment="1">
      <alignment horizontal="right"/>
    </xf>
    <xf numFmtId="0" fontId="16" fillId="3" borderId="4" xfId="0" applyFont="1" applyFill="1" applyBorder="1" applyAlignment="1">
      <alignment horizontal="center" vertical="center"/>
    </xf>
    <xf numFmtId="0" fontId="16" fillId="12" borderId="4" xfId="0" applyFont="1" applyFill="1" applyBorder="1" applyAlignment="1">
      <alignment horizontal="center" vertical="center" wrapText="1"/>
    </xf>
    <xf numFmtId="0" fontId="16" fillId="18" borderId="4" xfId="0" applyFont="1" applyFill="1" applyBorder="1" applyAlignment="1">
      <alignment horizontal="center" vertical="center" wrapText="1"/>
    </xf>
    <xf numFmtId="0" fontId="0" fillId="0" borderId="27" xfId="0" applyBorder="1"/>
    <xf numFmtId="0" fontId="17" fillId="0" borderId="28" xfId="0" applyFont="1" applyBorder="1" applyAlignment="1">
      <alignment horizontal="right"/>
    </xf>
    <xf numFmtId="0" fontId="16" fillId="9" borderId="3" xfId="0" applyFont="1" applyFill="1" applyBorder="1" applyAlignment="1">
      <alignment horizontal="center"/>
    </xf>
    <xf numFmtId="0" fontId="18" fillId="0" borderId="3" xfId="0" applyFont="1" applyBorder="1" applyAlignment="1">
      <alignment horizontal="center"/>
    </xf>
    <xf numFmtId="0" fontId="51" fillId="5" borderId="3" xfId="16" applyFont="1" applyBorder="1" applyAlignment="1">
      <alignment horizontal="center"/>
    </xf>
    <xf numFmtId="0" fontId="53" fillId="5" borderId="3" xfId="16" applyFont="1" applyBorder="1" applyAlignment="1">
      <alignment horizontal="center"/>
    </xf>
    <xf numFmtId="0" fontId="16" fillId="7" borderId="3" xfId="0" applyFont="1" applyFill="1" applyBorder="1" applyAlignment="1">
      <alignment horizontal="center"/>
    </xf>
    <xf numFmtId="0" fontId="16" fillId="38" borderId="3" xfId="0" applyFont="1" applyFill="1" applyBorder="1" applyAlignment="1">
      <alignment horizontal="center"/>
    </xf>
    <xf numFmtId="1" fontId="50" fillId="5" borderId="1" xfId="16" applyNumberFormat="1" applyAlignment="1">
      <alignment horizontal="center" vertical="center"/>
    </xf>
    <xf numFmtId="0" fontId="3" fillId="2" borderId="12" xfId="1" applyBorder="1" applyAlignment="1">
      <alignment horizontal="left"/>
    </xf>
    <xf numFmtId="0" fontId="22" fillId="5" borderId="29" xfId="10" applyFont="1" applyBorder="1" applyAlignment="1">
      <alignment horizontal="center"/>
    </xf>
    <xf numFmtId="0" fontId="3" fillId="2" borderId="13" xfId="1" applyBorder="1" applyAlignment="1">
      <alignment horizontal="left"/>
    </xf>
    <xf numFmtId="0" fontId="3" fillId="8" borderId="1" xfId="0" applyFont="1" applyFill="1" applyBorder="1" applyAlignment="1">
      <alignment horizontal="center"/>
    </xf>
    <xf numFmtId="0" fontId="6" fillId="0" borderId="7" xfId="0" applyFont="1" applyBorder="1" applyAlignment="1">
      <alignment horizontal="center"/>
    </xf>
    <xf numFmtId="0" fontId="3" fillId="8" borderId="1" xfId="0" applyFont="1" applyFill="1" applyBorder="1" applyAlignment="1">
      <alignment horizontal="left"/>
    </xf>
    <xf numFmtId="0" fontId="0" fillId="9" borderId="3" xfId="0" applyFill="1" applyBorder="1"/>
    <xf numFmtId="0" fontId="39" fillId="0" borderId="11" xfId="0" applyFont="1" applyBorder="1" applyAlignment="1">
      <alignment horizontal="center" vertical="center"/>
    </xf>
    <xf numFmtId="0" fontId="39" fillId="0" borderId="4" xfId="0" applyFont="1" applyBorder="1" applyAlignment="1">
      <alignment horizontal="left" vertical="center"/>
    </xf>
    <xf numFmtId="0" fontId="10" fillId="0" borderId="8" xfId="14" applyBorder="1" applyAlignment="1">
      <alignment horizontal="center" vertical="center"/>
    </xf>
    <xf numFmtId="0" fontId="10" fillId="0" borderId="3" xfId="14" applyBorder="1" applyAlignment="1">
      <alignment horizontal="center" vertical="center"/>
    </xf>
    <xf numFmtId="0" fontId="8" fillId="0" borderId="0" xfId="1" applyFont="1" applyFill="1" applyBorder="1" applyAlignment="1">
      <alignment horizontal="left" vertical="top" wrapText="1"/>
    </xf>
    <xf numFmtId="0" fontId="0" fillId="9" borderId="0" xfId="0" applyFill="1" applyAlignment="1">
      <alignment horizontal="left" vertical="center" wrapText="1"/>
    </xf>
    <xf numFmtId="0" fontId="39" fillId="23" borderId="3" xfId="0" applyFont="1" applyFill="1" applyBorder="1" applyAlignment="1">
      <alignment horizontal="center" vertical="center"/>
    </xf>
    <xf numFmtId="0" fontId="39" fillId="23" borderId="11" xfId="0" applyFont="1" applyFill="1" applyBorder="1" applyAlignment="1">
      <alignment horizontal="center" vertical="center"/>
    </xf>
    <xf numFmtId="0" fontId="39" fillId="23" borderId="16" xfId="0" applyFont="1" applyFill="1" applyBorder="1" applyAlignment="1">
      <alignment horizontal="center" vertical="center"/>
    </xf>
    <xf numFmtId="0" fontId="39" fillId="23" borderId="8" xfId="0" applyFont="1" applyFill="1" applyBorder="1" applyAlignment="1">
      <alignment horizontal="center" vertical="center"/>
    </xf>
    <xf numFmtId="0" fontId="40" fillId="0" borderId="4" xfId="0" applyFont="1" applyBorder="1" applyAlignment="1">
      <alignment horizontal="center" vertical="center"/>
    </xf>
    <xf numFmtId="0" fontId="40" fillId="0" borderId="5" xfId="0" applyFont="1" applyBorder="1" applyAlignment="1">
      <alignment horizontal="center" vertical="center"/>
    </xf>
    <xf numFmtId="0" fontId="8" fillId="9" borderId="11" xfId="0" applyFont="1" applyFill="1" applyBorder="1" applyAlignment="1">
      <alignment horizontal="center" vertical="center" wrapText="1"/>
    </xf>
    <xf numFmtId="0" fontId="8" fillId="9" borderId="16" xfId="0" applyFont="1" applyFill="1" applyBorder="1" applyAlignment="1">
      <alignment horizontal="center" vertical="center" wrapText="1"/>
    </xf>
    <xf numFmtId="0" fontId="8" fillId="9" borderId="8" xfId="0" applyFont="1" applyFill="1" applyBorder="1" applyAlignment="1">
      <alignment horizontal="center" vertical="center" wrapText="1"/>
    </xf>
    <xf numFmtId="0" fontId="8" fillId="9" borderId="19" xfId="0" applyFont="1" applyFill="1" applyBorder="1" applyAlignment="1">
      <alignment horizontal="left" vertical="center" wrapText="1"/>
    </xf>
    <xf numFmtId="0" fontId="8" fillId="9" borderId="20" xfId="0" applyFont="1" applyFill="1" applyBorder="1" applyAlignment="1">
      <alignment horizontal="left" vertical="center" wrapText="1"/>
    </xf>
    <xf numFmtId="0" fontId="8" fillId="9" borderId="21" xfId="0" applyFont="1" applyFill="1" applyBorder="1" applyAlignment="1">
      <alignment horizontal="left" vertical="center" wrapText="1"/>
    </xf>
    <xf numFmtId="0" fontId="8" fillId="9" borderId="0" xfId="0" applyFont="1" applyFill="1" applyAlignment="1">
      <alignment horizontal="left" vertical="center" wrapText="1"/>
    </xf>
    <xf numFmtId="0" fontId="8" fillId="9" borderId="9" xfId="0" applyFont="1" applyFill="1" applyBorder="1" applyAlignment="1">
      <alignment horizontal="left" vertical="center" wrapText="1"/>
    </xf>
    <xf numFmtId="0" fontId="8" fillId="9" borderId="14" xfId="0" applyFont="1" applyFill="1" applyBorder="1" applyAlignment="1">
      <alignment horizontal="left" vertical="center" wrapText="1"/>
    </xf>
    <xf numFmtId="0" fontId="6" fillId="0" borderId="3" xfId="0" applyFont="1" applyBorder="1" applyAlignment="1">
      <alignment horizontal="center"/>
    </xf>
    <xf numFmtId="0" fontId="6" fillId="0" borderId="4" xfId="0" applyFont="1" applyBorder="1" applyAlignment="1">
      <alignment horizontal="center"/>
    </xf>
    <xf numFmtId="0" fontId="8" fillId="9" borderId="3" xfId="0" applyFont="1" applyFill="1" applyBorder="1" applyAlignment="1">
      <alignment horizontal="left" vertical="center" wrapText="1"/>
    </xf>
    <xf numFmtId="0" fontId="8" fillId="9" borderId="3" xfId="0" applyFont="1" applyFill="1" applyBorder="1" applyAlignment="1">
      <alignment horizontal="center" vertical="center" wrapText="1"/>
    </xf>
    <xf numFmtId="0" fontId="8" fillId="9" borderId="10" xfId="0" applyFont="1" applyFill="1" applyBorder="1" applyAlignment="1">
      <alignment horizontal="left" vertical="center" wrapText="1"/>
    </xf>
    <xf numFmtId="0" fontId="8" fillId="9" borderId="7" xfId="0" applyFont="1" applyFill="1" applyBorder="1" applyAlignment="1">
      <alignment horizontal="left" vertical="center" wrapText="1"/>
    </xf>
    <xf numFmtId="0" fontId="8" fillId="9" borderId="11" xfId="0" applyFont="1" applyFill="1" applyBorder="1" applyAlignment="1">
      <alignment horizontal="center" wrapText="1"/>
    </xf>
    <xf numFmtId="0" fontId="8" fillId="9" borderId="8" xfId="0" applyFont="1" applyFill="1" applyBorder="1" applyAlignment="1">
      <alignment horizontal="center" wrapText="1"/>
    </xf>
    <xf numFmtId="0" fontId="8" fillId="9" borderId="11" xfId="0" applyFont="1" applyFill="1" applyBorder="1" applyAlignment="1">
      <alignment horizontal="center" vertical="center"/>
    </xf>
    <xf numFmtId="0" fontId="8" fillId="9" borderId="8" xfId="0" applyFont="1" applyFill="1" applyBorder="1" applyAlignment="1">
      <alignment horizontal="center" vertical="center"/>
    </xf>
    <xf numFmtId="0" fontId="47" fillId="0" borderId="11" xfId="0" applyFont="1" applyBorder="1" applyAlignment="1">
      <alignment horizontal="center" vertical="center"/>
    </xf>
    <xf numFmtId="0" fontId="47" fillId="0" borderId="8" xfId="0" applyFont="1" applyBorder="1" applyAlignment="1">
      <alignment horizontal="center" vertical="center"/>
    </xf>
    <xf numFmtId="0" fontId="0" fillId="9" borderId="3" xfId="0" applyFill="1" applyBorder="1" applyAlignment="1">
      <alignment horizontal="center" vertical="center"/>
    </xf>
    <xf numFmtId="0" fontId="8" fillId="9" borderId="16" xfId="0" applyFont="1" applyFill="1" applyBorder="1" applyAlignment="1">
      <alignment horizontal="center" vertical="center"/>
    </xf>
    <xf numFmtId="0" fontId="8" fillId="9" borderId="19" xfId="0" applyFont="1" applyFill="1" applyBorder="1" applyAlignment="1">
      <alignment horizontal="left" vertical="center"/>
    </xf>
    <xf numFmtId="0" fontId="8" fillId="9" borderId="20" xfId="0" applyFont="1" applyFill="1" applyBorder="1" applyAlignment="1">
      <alignment horizontal="left" vertical="center"/>
    </xf>
    <xf numFmtId="0" fontId="8" fillId="9" borderId="9" xfId="0" applyFont="1" applyFill="1" applyBorder="1" applyAlignment="1">
      <alignment horizontal="left" vertical="center"/>
    </xf>
    <xf numFmtId="0" fontId="8" fillId="9" borderId="14" xfId="0" applyFont="1" applyFill="1" applyBorder="1" applyAlignment="1">
      <alignment horizontal="left" vertical="center"/>
    </xf>
    <xf numFmtId="0" fontId="8" fillId="9" borderId="19" xfId="0" applyFont="1" applyFill="1" applyBorder="1" applyAlignment="1">
      <alignment horizontal="left" wrapText="1"/>
    </xf>
    <xf numFmtId="0" fontId="8" fillId="9" borderId="20" xfId="0" applyFont="1" applyFill="1" applyBorder="1" applyAlignment="1">
      <alignment horizontal="left" wrapText="1"/>
    </xf>
    <xf numFmtId="0" fontId="8" fillId="9" borderId="9" xfId="0" applyFont="1" applyFill="1" applyBorder="1" applyAlignment="1">
      <alignment horizontal="left" wrapText="1"/>
    </xf>
    <xf numFmtId="0" fontId="8" fillId="9" borderId="14" xfId="0" applyFont="1" applyFill="1" applyBorder="1" applyAlignment="1">
      <alignment horizontal="left" wrapText="1"/>
    </xf>
    <xf numFmtId="0" fontId="22" fillId="20" borderId="4" xfId="10" applyFont="1" applyFill="1" applyBorder="1" applyAlignment="1">
      <alignment horizontal="left"/>
    </xf>
    <xf numFmtId="0" fontId="22" fillId="20" borderId="5" xfId="10" applyFont="1" applyFill="1" applyBorder="1" applyAlignment="1">
      <alignment horizontal="left"/>
    </xf>
    <xf numFmtId="0" fontId="25" fillId="26" borderId="3" xfId="0" applyFont="1" applyFill="1" applyBorder="1" applyAlignment="1">
      <alignment horizontal="center" vertical="center"/>
    </xf>
    <xf numFmtId="0" fontId="25" fillId="27" borderId="4" xfId="0" applyFont="1" applyFill="1" applyBorder="1" applyAlignment="1">
      <alignment horizontal="center" vertical="center"/>
    </xf>
    <xf numFmtId="0" fontId="25" fillId="27" borderId="5" xfId="0" applyFont="1" applyFill="1" applyBorder="1" applyAlignment="1">
      <alignment horizontal="center" vertical="center"/>
    </xf>
    <xf numFmtId="0" fontId="29" fillId="15" borderId="3" xfId="0" applyFont="1" applyFill="1" applyBorder="1" applyAlignment="1">
      <alignment horizontal="center" vertical="center"/>
    </xf>
    <xf numFmtId="0" fontId="25" fillId="12" borderId="4" xfId="0" applyFont="1" applyFill="1" applyBorder="1" applyAlignment="1">
      <alignment horizontal="center" vertical="center"/>
    </xf>
    <xf numFmtId="0" fontId="25" fillId="12" borderId="6" xfId="0" applyFont="1" applyFill="1" applyBorder="1" applyAlignment="1">
      <alignment horizontal="center" vertical="center"/>
    </xf>
    <xf numFmtId="0" fontId="25" fillId="12" borderId="5" xfId="0" applyFont="1" applyFill="1" applyBorder="1" applyAlignment="1">
      <alignment horizontal="center" vertical="center"/>
    </xf>
    <xf numFmtId="0" fontId="29" fillId="13" borderId="3" xfId="0" applyFont="1" applyFill="1" applyBorder="1" applyAlignment="1">
      <alignment horizontal="center" vertical="center"/>
    </xf>
    <xf numFmtId="0" fontId="25" fillId="22" borderId="4" xfId="0" applyFont="1" applyFill="1" applyBorder="1" applyAlignment="1">
      <alignment horizontal="center" vertical="center"/>
    </xf>
    <xf numFmtId="0" fontId="25" fillId="22" borderId="6" xfId="0" applyFont="1" applyFill="1" applyBorder="1" applyAlignment="1">
      <alignment horizontal="center" vertical="center"/>
    </xf>
    <xf numFmtId="0" fontId="25" fillId="22" borderId="5" xfId="0" applyFont="1" applyFill="1" applyBorder="1" applyAlignment="1">
      <alignment horizontal="center" vertical="center"/>
    </xf>
    <xf numFmtId="0" fontId="25" fillId="14" borderId="4" xfId="0" applyFont="1" applyFill="1" applyBorder="1" applyAlignment="1">
      <alignment horizontal="center" vertical="center"/>
    </xf>
    <xf numFmtId="0" fontId="25" fillId="14" borderId="6" xfId="0" applyFont="1" applyFill="1" applyBorder="1" applyAlignment="1">
      <alignment horizontal="center" vertical="center"/>
    </xf>
    <xf numFmtId="0" fontId="25" fillId="14" borderId="5" xfId="0" applyFont="1" applyFill="1" applyBorder="1" applyAlignment="1">
      <alignment horizontal="center" vertical="center"/>
    </xf>
    <xf numFmtId="0" fontId="25" fillId="7" borderId="4" xfId="0" applyFont="1" applyFill="1" applyBorder="1" applyAlignment="1">
      <alignment horizontal="center" vertical="center"/>
    </xf>
    <xf numFmtId="0" fontId="25" fillId="7" borderId="5" xfId="0" applyFont="1" applyFill="1" applyBorder="1" applyAlignment="1">
      <alignment horizontal="center" vertical="center"/>
    </xf>
    <xf numFmtId="0" fontId="25" fillId="11" borderId="4" xfId="0" applyFont="1" applyFill="1" applyBorder="1" applyAlignment="1">
      <alignment horizontal="center" vertical="center"/>
    </xf>
    <xf numFmtId="0" fontId="25" fillId="11" borderId="5" xfId="0" applyFont="1" applyFill="1" applyBorder="1" applyAlignment="1">
      <alignment horizontal="center" vertical="center"/>
    </xf>
    <xf numFmtId="0" fontId="25" fillId="10" borderId="4" xfId="0" applyFont="1" applyFill="1" applyBorder="1" applyAlignment="1">
      <alignment horizontal="center" vertical="center"/>
    </xf>
    <xf numFmtId="0" fontId="25" fillId="10" borderId="5" xfId="0" applyFont="1" applyFill="1" applyBorder="1" applyAlignment="1">
      <alignment horizontal="center" vertical="center"/>
    </xf>
    <xf numFmtId="0" fontId="29" fillId="28" borderId="4" xfId="0" applyFont="1" applyFill="1" applyBorder="1" applyAlignment="1">
      <alignment horizontal="center" vertical="center"/>
    </xf>
    <xf numFmtId="0" fontId="29" fillId="28" borderId="6" xfId="0" applyFont="1" applyFill="1" applyBorder="1" applyAlignment="1">
      <alignment horizontal="center" vertical="center"/>
    </xf>
    <xf numFmtId="0" fontId="29" fillId="28" borderId="5" xfId="0" applyFont="1" applyFill="1" applyBorder="1" applyAlignment="1">
      <alignment horizontal="center" vertical="center"/>
    </xf>
    <xf numFmtId="0" fontId="25" fillId="3" borderId="4" xfId="0" applyFont="1" applyFill="1" applyBorder="1" applyAlignment="1">
      <alignment horizontal="center" vertical="center"/>
    </xf>
    <xf numFmtId="0" fontId="25" fillId="3" borderId="6" xfId="0" applyFont="1" applyFill="1" applyBorder="1" applyAlignment="1">
      <alignment horizontal="center" vertical="center"/>
    </xf>
    <xf numFmtId="0" fontId="25" fillId="3" borderId="5" xfId="0" applyFont="1" applyFill="1" applyBorder="1" applyAlignment="1">
      <alignment horizontal="center" vertical="center"/>
    </xf>
    <xf numFmtId="0" fontId="25" fillId="30" borderId="4" xfId="0" applyFont="1" applyFill="1" applyBorder="1" applyAlignment="1">
      <alignment horizontal="center" vertical="center"/>
    </xf>
    <xf numFmtId="0" fontId="25" fillId="30" borderId="5" xfId="0" applyFont="1" applyFill="1" applyBorder="1" applyAlignment="1">
      <alignment horizontal="center" vertical="center"/>
    </xf>
    <xf numFmtId="0" fontId="25" fillId="29" borderId="4" xfId="0" applyFont="1" applyFill="1" applyBorder="1" applyAlignment="1">
      <alignment horizontal="center" vertical="center"/>
    </xf>
    <xf numFmtId="0" fontId="25" fillId="29" borderId="5" xfId="0" applyFont="1" applyFill="1" applyBorder="1" applyAlignment="1">
      <alignment horizontal="center" vertical="center"/>
    </xf>
    <xf numFmtId="0" fontId="25" fillId="6" borderId="4" xfId="0" applyFont="1" applyFill="1" applyBorder="1" applyAlignment="1">
      <alignment horizontal="center" vertical="center"/>
    </xf>
    <xf numFmtId="0" fontId="25" fillId="6" borderId="5" xfId="0" applyFont="1" applyFill="1" applyBorder="1" applyAlignment="1">
      <alignment horizontal="center" vertical="center"/>
    </xf>
    <xf numFmtId="0" fontId="11" fillId="4" borderId="3" xfId="0" applyFont="1" applyFill="1" applyBorder="1" applyAlignment="1">
      <alignment horizontal="center" vertical="center"/>
    </xf>
    <xf numFmtId="0" fontId="6" fillId="4" borderId="3" xfId="0" applyFont="1" applyFill="1" applyBorder="1" applyAlignment="1">
      <alignment horizontal="center" vertical="center"/>
    </xf>
    <xf numFmtId="0" fontId="16" fillId="18" borderId="3" xfId="0" applyFont="1" applyFill="1" applyBorder="1" applyAlignment="1">
      <alignment horizontal="center" vertical="center"/>
    </xf>
    <xf numFmtId="0" fontId="16" fillId="28" borderId="3" xfId="0" applyFont="1" applyFill="1" applyBorder="1" applyAlignment="1">
      <alignment horizontal="center" vertical="center"/>
    </xf>
    <xf numFmtId="0" fontId="12" fillId="30" borderId="3" xfId="0" applyFont="1" applyFill="1" applyBorder="1" applyAlignment="1">
      <alignment horizontal="center" vertical="center"/>
    </xf>
    <xf numFmtId="0" fontId="12" fillId="13" borderId="3" xfId="0" applyFont="1" applyFill="1" applyBorder="1" applyAlignment="1">
      <alignment horizontal="center" vertical="center"/>
    </xf>
    <xf numFmtId="0" fontId="16" fillId="29" borderId="3" xfId="0" applyFont="1" applyFill="1" applyBorder="1" applyAlignment="1">
      <alignment horizontal="center" vertical="center"/>
    </xf>
    <xf numFmtId="0" fontId="16" fillId="6" borderId="4" xfId="0" applyFont="1" applyFill="1" applyBorder="1" applyAlignment="1">
      <alignment horizontal="center" vertical="center"/>
    </xf>
    <xf numFmtId="0" fontId="16" fillId="6" borderId="6" xfId="0" applyFont="1" applyFill="1" applyBorder="1" applyAlignment="1">
      <alignment horizontal="center" vertical="center"/>
    </xf>
    <xf numFmtId="0" fontId="16" fillId="6" borderId="5" xfId="0" applyFont="1" applyFill="1" applyBorder="1" applyAlignment="1">
      <alignment horizontal="center" vertical="center"/>
    </xf>
    <xf numFmtId="0" fontId="12" fillId="24" borderId="3" xfId="0" applyFont="1" applyFill="1" applyBorder="1" applyAlignment="1">
      <alignment horizontal="center" vertical="center"/>
    </xf>
    <xf numFmtId="0" fontId="12" fillId="25" borderId="3" xfId="0" applyFont="1" applyFill="1" applyBorder="1" applyAlignment="1">
      <alignment horizontal="center" vertical="center"/>
    </xf>
    <xf numFmtId="0" fontId="16" fillId="25" borderId="4" xfId="0" applyFont="1" applyFill="1" applyBorder="1" applyAlignment="1">
      <alignment horizontal="center" vertical="center"/>
    </xf>
    <xf numFmtId="0" fontId="16" fillId="25" borderId="5" xfId="0" applyFont="1" applyFill="1" applyBorder="1" applyAlignment="1">
      <alignment horizontal="center" vertical="center"/>
    </xf>
    <xf numFmtId="0" fontId="12" fillId="25" borderId="4" xfId="0" applyFont="1" applyFill="1" applyBorder="1" applyAlignment="1">
      <alignment horizontal="center" vertical="center"/>
    </xf>
    <xf numFmtId="0" fontId="12" fillId="25" borderId="6" xfId="0" applyFont="1" applyFill="1" applyBorder="1" applyAlignment="1">
      <alignment horizontal="center" vertical="center"/>
    </xf>
    <xf numFmtId="0" fontId="12" fillId="24" borderId="4" xfId="0" applyFont="1" applyFill="1" applyBorder="1" applyAlignment="1">
      <alignment horizontal="center" vertical="center"/>
    </xf>
    <xf numFmtId="0" fontId="12" fillId="24" borderId="6" xfId="0" applyFont="1" applyFill="1" applyBorder="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0" fontId="0" fillId="0" borderId="5" xfId="0" applyBorder="1" applyAlignment="1">
      <alignment horizontal="center" vertical="center"/>
    </xf>
    <xf numFmtId="0" fontId="32" fillId="17" borderId="4" xfId="0" applyFont="1" applyFill="1" applyBorder="1" applyAlignment="1">
      <alignment horizontal="center" vertical="center"/>
    </xf>
    <xf numFmtId="0" fontId="32" fillId="17" borderId="5" xfId="0" applyFont="1" applyFill="1" applyBorder="1" applyAlignment="1">
      <alignment horizontal="center" vertical="center"/>
    </xf>
    <xf numFmtId="0" fontId="12" fillId="6" borderId="4" xfId="0" applyFont="1" applyFill="1" applyBorder="1" applyAlignment="1">
      <alignment horizontal="center" vertical="center"/>
    </xf>
    <xf numFmtId="0" fontId="12" fillId="6" borderId="5" xfId="0" applyFont="1" applyFill="1" applyBorder="1" applyAlignment="1">
      <alignment horizontal="center" vertical="center"/>
    </xf>
    <xf numFmtId="0" fontId="32" fillId="16" borderId="4" xfId="0" applyFont="1" applyFill="1" applyBorder="1" applyAlignment="1">
      <alignment horizontal="center"/>
    </xf>
    <xf numFmtId="0" fontId="32" fillId="16" borderId="6" xfId="0" applyFont="1" applyFill="1" applyBorder="1" applyAlignment="1">
      <alignment horizontal="center"/>
    </xf>
    <xf numFmtId="0" fontId="32" fillId="16" borderId="5" xfId="0" applyFont="1" applyFill="1" applyBorder="1" applyAlignment="1">
      <alignment horizontal="center"/>
    </xf>
    <xf numFmtId="0" fontId="32" fillId="17" borderId="6" xfId="0" applyFont="1" applyFill="1" applyBorder="1" applyAlignment="1">
      <alignment horizontal="center" vertical="center"/>
    </xf>
    <xf numFmtId="0" fontId="32" fillId="21" borderId="4" xfId="0" applyFont="1" applyFill="1" applyBorder="1" applyAlignment="1">
      <alignment horizontal="center"/>
    </xf>
    <xf numFmtId="0" fontId="32" fillId="21" borderId="6" xfId="0" applyFont="1" applyFill="1" applyBorder="1" applyAlignment="1">
      <alignment horizontal="center"/>
    </xf>
    <xf numFmtId="0" fontId="16" fillId="6" borderId="3" xfId="0" applyFont="1" applyFill="1" applyBorder="1" applyAlignment="1">
      <alignment horizontal="center" vertical="center"/>
    </xf>
    <xf numFmtId="0" fontId="16" fillId="26" borderId="3" xfId="0" applyFont="1" applyFill="1" applyBorder="1" applyAlignment="1">
      <alignment horizontal="center" vertical="center" wrapText="1"/>
    </xf>
    <xf numFmtId="0" fontId="16" fillId="27" borderId="3" xfId="0" applyFont="1" applyFill="1" applyBorder="1" applyAlignment="1">
      <alignment horizontal="center" vertical="center" wrapText="1"/>
    </xf>
    <xf numFmtId="0" fontId="16" fillId="37" borderId="3" xfId="0" applyFont="1" applyFill="1" applyBorder="1" applyAlignment="1">
      <alignment horizontal="center" vertical="center" wrapText="1"/>
    </xf>
    <xf numFmtId="0" fontId="0" fillId="34" borderId="4" xfId="0" applyFill="1" applyBorder="1" applyAlignment="1">
      <alignment horizontal="center" vertical="center"/>
    </xf>
    <xf numFmtId="0" fontId="0" fillId="34" borderId="6" xfId="0" applyFill="1" applyBorder="1" applyAlignment="1">
      <alignment horizontal="center" vertical="center"/>
    </xf>
    <xf numFmtId="0" fontId="0" fillId="34" borderId="5" xfId="0" applyFill="1" applyBorder="1" applyAlignment="1">
      <alignment horizontal="center" vertical="center"/>
    </xf>
    <xf numFmtId="0" fontId="0" fillId="34" borderId="3" xfId="0" applyFill="1" applyBorder="1" applyAlignment="1">
      <alignment horizontal="center" vertical="center"/>
    </xf>
    <xf numFmtId="0" fontId="52" fillId="35" borderId="3" xfId="0" applyFont="1" applyFill="1" applyBorder="1" applyAlignment="1">
      <alignment horizontal="center" vertical="center"/>
    </xf>
    <xf numFmtId="0" fontId="52" fillId="36" borderId="3" xfId="0" applyFont="1" applyFill="1" applyBorder="1" applyAlignment="1">
      <alignment horizontal="center" vertical="center"/>
    </xf>
    <xf numFmtId="0" fontId="52" fillId="31" borderId="9" xfId="0" applyFont="1" applyFill="1" applyBorder="1" applyAlignment="1">
      <alignment horizontal="center" vertical="center"/>
    </xf>
    <xf numFmtId="0" fontId="52" fillId="31" borderId="14" xfId="0" applyFont="1" applyFill="1" applyBorder="1" applyAlignment="1">
      <alignment horizontal="center" vertical="center"/>
    </xf>
    <xf numFmtId="0" fontId="52" fillId="32" borderId="8" xfId="0" applyFont="1" applyFill="1" applyBorder="1" applyAlignment="1">
      <alignment horizontal="center" vertical="center"/>
    </xf>
    <xf numFmtId="0" fontId="16" fillId="3" borderId="3" xfId="0" applyFont="1" applyFill="1" applyBorder="1" applyAlignment="1">
      <alignment horizontal="center" vertical="center"/>
    </xf>
    <xf numFmtId="0" fontId="16" fillId="14" borderId="4" xfId="0" applyFont="1" applyFill="1" applyBorder="1" applyAlignment="1">
      <alignment horizontal="center" vertical="center"/>
    </xf>
    <xf numFmtId="0" fontId="16" fillId="14" borderId="6" xfId="0" applyFont="1" applyFill="1" applyBorder="1" applyAlignment="1">
      <alignment horizontal="center" vertical="center"/>
    </xf>
    <xf numFmtId="0" fontId="16" fillId="14" borderId="5" xfId="0" applyFont="1" applyFill="1" applyBorder="1" applyAlignment="1">
      <alignment horizontal="center" vertical="center"/>
    </xf>
    <xf numFmtId="0" fontId="16" fillId="12" borderId="3" xfId="0" applyFont="1" applyFill="1" applyBorder="1" applyAlignment="1">
      <alignment horizontal="center" vertical="center" wrapText="1"/>
    </xf>
    <xf numFmtId="0" fontId="16" fillId="33" borderId="3" xfId="0" applyFont="1" applyFill="1" applyBorder="1" applyAlignment="1">
      <alignment horizontal="center" vertical="center" wrapText="1"/>
    </xf>
    <xf numFmtId="0" fontId="16" fillId="18" borderId="3" xfId="0" applyFont="1" applyFill="1" applyBorder="1" applyAlignment="1">
      <alignment horizontal="center" vertical="center" wrapText="1"/>
    </xf>
    <xf numFmtId="0" fontId="16" fillId="33" borderId="4" xfId="0" applyFont="1" applyFill="1" applyBorder="1" applyAlignment="1">
      <alignment horizontal="center" vertical="center" wrapText="1"/>
    </xf>
    <xf numFmtId="0" fontId="16" fillId="33" borderId="6" xfId="0" applyFont="1" applyFill="1" applyBorder="1" applyAlignment="1">
      <alignment horizontal="center" vertical="center" wrapText="1"/>
    </xf>
    <xf numFmtId="0" fontId="16" fillId="33" borderId="5" xfId="0" applyFont="1" applyFill="1" applyBorder="1" applyAlignment="1">
      <alignment horizontal="center" vertical="center" wrapText="1"/>
    </xf>
    <xf numFmtId="0" fontId="6" fillId="0" borderId="6" xfId="0" applyFont="1" applyBorder="1" applyAlignment="1">
      <alignment horizontal="center"/>
    </xf>
    <xf numFmtId="0" fontId="6" fillId="0" borderId="5" xfId="0" applyFont="1" applyBorder="1" applyAlignment="1">
      <alignment horizontal="center"/>
    </xf>
  </cellXfs>
  <cellStyles count="17">
    <cellStyle name="Calculation" xfId="16" builtinId="22"/>
    <cellStyle name="Comma 3" xfId="13" xr:uid="{2671D297-2F0C-4CD1-903C-1AD4CCDD6F34}"/>
    <cellStyle name="Followed Hyperlink" xfId="3" builtinId="9" hidden="1"/>
    <cellStyle name="Followed Hyperlink" xfId="4" builtinId="9" hidden="1"/>
    <cellStyle name="Followed Hyperlink" xfId="5" builtinId="9" hidden="1"/>
    <cellStyle name="Hyperlink" xfId="14" builtinId="8"/>
    <cellStyle name="Hyperlink 2" xfId="9" xr:uid="{EFE9AACC-63B3-490E-903C-F32E75E2D45A}"/>
    <cellStyle name="Input" xfId="1" builtinId="20"/>
    <cellStyle name="Normal" xfId="0" builtinId="0"/>
    <cellStyle name="Normal 2" xfId="2" xr:uid="{00000000-0005-0000-0000-00000B000000}"/>
    <cellStyle name="Normal 3" xfId="6" xr:uid="{553EFB0B-A81B-4D5A-BD3B-CD7C1B8CD232}"/>
    <cellStyle name="Normal 3 2" xfId="7" xr:uid="{04D6BDDE-F221-4221-942D-DF02E9F376CA}"/>
    <cellStyle name="Normal 4" xfId="8" xr:uid="{537C0E3B-E8D8-4D8A-A287-F76938C79A92}"/>
    <cellStyle name="Normal 5" xfId="11" xr:uid="{B22278E0-B28F-42AE-9947-EA802B038C0A}"/>
    <cellStyle name="Output" xfId="10" builtinId="21"/>
    <cellStyle name="Percent" xfId="15" builtinId="5"/>
    <cellStyle name="常规_Sheet1" xfId="12" xr:uid="{38E2337C-EE7A-4BFD-AB8A-5D85E62421DB}"/>
  </cellStyles>
  <dxfs count="119">
    <dxf>
      <font>
        <color theme="0"/>
      </font>
      <border>
        <left style="thin">
          <color auto="1"/>
        </left>
        <right/>
        <top/>
        <bottom/>
        <vertical/>
        <horizontal/>
      </border>
    </dxf>
    <dxf>
      <font>
        <color theme="0"/>
      </font>
      <border>
        <left/>
        <right/>
        <top/>
        <bottom/>
        <vertical/>
        <horizontal/>
      </border>
    </dxf>
    <dxf>
      <font>
        <color theme="0"/>
      </font>
      <fill>
        <patternFill>
          <bgColor theme="0"/>
        </patternFill>
      </fill>
      <border>
        <left/>
        <right/>
        <top/>
        <bottom/>
        <vertical/>
        <horizontal/>
      </border>
    </dxf>
    <dxf>
      <border>
        <left/>
        <right/>
        <top/>
        <bottom/>
        <vertical/>
        <horizontal/>
      </border>
    </dxf>
    <dxf>
      <font>
        <color theme="0"/>
      </font>
      <border>
        <left style="thin">
          <color rgb="FF7F7F7F"/>
        </left>
        <right/>
        <top/>
        <bottom/>
      </border>
    </dxf>
    <dxf>
      <font>
        <color theme="0"/>
      </font>
      <fill>
        <patternFill>
          <bgColor theme="0"/>
        </patternFill>
      </fill>
      <border>
        <left/>
        <right/>
        <top/>
        <bottom/>
        <vertical/>
        <horizontal/>
      </border>
    </dxf>
    <dxf>
      <font>
        <color theme="0"/>
      </font>
      <fill>
        <patternFill>
          <bgColor theme="0"/>
        </patternFill>
      </fill>
      <border>
        <left style="thin">
          <color rgb="FF7F7F7F"/>
        </left>
        <right/>
        <top/>
        <bottom style="thin">
          <color theme="0"/>
        </bottom>
        <vertical/>
        <horizontal/>
      </border>
    </dxf>
    <dxf>
      <font>
        <color theme="0"/>
      </font>
      <fill>
        <patternFill>
          <bgColor theme="0"/>
        </patternFill>
      </fill>
      <border>
        <left/>
        <right/>
        <top style="thin">
          <color rgb="FF7F7F7F"/>
        </top>
        <bottom/>
        <vertical/>
        <horizontal/>
      </border>
    </dxf>
    <dxf>
      <font>
        <color theme="0"/>
      </font>
      <fill>
        <patternFill>
          <bgColor theme="0"/>
        </patternFill>
      </fill>
      <border>
        <left/>
        <right/>
        <top/>
        <bottom style="thin">
          <color rgb="FF7F7F7F"/>
        </bottom>
      </border>
    </dxf>
    <dxf>
      <font>
        <color theme="0"/>
      </font>
      <fill>
        <patternFill>
          <bgColor theme="0"/>
        </patternFill>
      </fill>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fgColor theme="0"/>
          <bgColor theme="0"/>
        </patternFill>
      </fill>
      <border>
        <left/>
        <right/>
        <top/>
        <bottom/>
        <vertical/>
        <horizontal/>
      </border>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20" formatCode="d\-mmm\-yy"/>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auto="1"/>
        <name val="Calibri"/>
        <family val="2"/>
        <scheme val="minor"/>
      </font>
      <numFmt numFmtId="20" formatCode="d\-mmm\-yy"/>
      <alignment horizontal="center" vertical="bottom" textRotation="0" wrapText="0" indent="0" justifyLastLine="0" shrinkToFit="0" readingOrder="0"/>
      <border diagonalUp="0" diagonalDown="0">
        <left/>
        <right style="thin">
          <color auto="1"/>
        </right>
        <top style="thin">
          <color auto="1"/>
        </top>
        <bottom style="thin">
          <color auto="1"/>
        </bottom>
        <vertical/>
        <horizontal/>
      </border>
    </dxf>
    <dxf>
      <border outline="0">
        <left style="thin">
          <color auto="1"/>
        </left>
        <top style="thin">
          <color auto="1"/>
        </top>
      </border>
    </dxf>
    <dxf>
      <border outline="0">
        <bottom style="thin">
          <color auto="1"/>
        </bottom>
      </border>
    </dxf>
    <dxf>
      <font>
        <b val="0"/>
        <i val="0"/>
        <strike val="0"/>
        <condense val="0"/>
        <extend val="0"/>
        <outline val="0"/>
        <shadow val="0"/>
        <u val="none"/>
        <vertAlign val="baseline"/>
        <sz val="11"/>
        <color auto="1"/>
        <name val="Calibri"/>
        <family val="2"/>
        <scheme val="minor"/>
      </font>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style="thin">
          <color rgb="FF7F7F7F"/>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font>
        <b val="0"/>
        <i val="0"/>
        <strike val="0"/>
        <condense val="0"/>
        <extend val="0"/>
        <outline val="0"/>
        <shadow val="0"/>
        <u val="none"/>
        <vertAlign val="baseline"/>
        <sz val="11"/>
        <color rgb="FF3F3F76"/>
        <name val="Calibri"/>
        <family val="2"/>
        <scheme val="minor"/>
      </font>
      <fill>
        <patternFill patternType="solid">
          <fgColor indexed="64"/>
          <bgColor rgb="FFFFCC99"/>
        </patternFill>
      </fill>
      <alignment horizontal="center" vertical="bottom" textRotation="0" wrapText="0" indent="0" justifyLastLine="0" shrinkToFit="0" readingOrder="0"/>
      <border diagonalUp="0" diagonalDown="0">
        <left style="thin">
          <color rgb="FF7F7F7F"/>
        </left>
        <right style="thin">
          <color rgb="FF7F7F7F"/>
        </right>
        <top style="thin">
          <color rgb="FF7F7F7F"/>
        </top>
        <bottom style="thin">
          <color rgb="FF7F7F7F"/>
        </bottom>
        <vertical/>
        <horizontal/>
      </border>
    </dxf>
    <dxf>
      <font>
        <b val="0"/>
        <i val="0"/>
        <strike val="0"/>
        <condense val="0"/>
        <extend val="0"/>
        <outline val="0"/>
        <shadow val="0"/>
        <u val="none"/>
        <vertAlign val="baseline"/>
        <sz val="11"/>
        <color rgb="FF3F3F76"/>
        <name val="Calibri"/>
        <family val="2"/>
        <scheme val="minor"/>
      </font>
      <fill>
        <patternFill patternType="solid">
          <fgColor indexed="64"/>
          <bgColor rgb="FFFFCC99"/>
        </patternFill>
      </fill>
      <alignment horizontal="center" vertical="bottom" textRotation="0" wrapText="0" indent="0" justifyLastLine="0" shrinkToFit="0" readingOrder="0"/>
      <border diagonalUp="0" diagonalDown="0">
        <left style="thin">
          <color rgb="FF7F7F7F"/>
        </left>
        <right style="thin">
          <color rgb="FF7F7F7F"/>
        </right>
        <top style="thin">
          <color rgb="FF7F7F7F"/>
        </top>
        <bottom style="thin">
          <color rgb="FF7F7F7F"/>
        </bottom>
        <vertical/>
        <horizontal/>
      </border>
    </dxf>
    <dxf>
      <font>
        <b val="0"/>
        <i val="0"/>
        <strike val="0"/>
        <condense val="0"/>
        <extend val="0"/>
        <outline val="0"/>
        <shadow val="0"/>
        <u val="none"/>
        <vertAlign val="baseline"/>
        <sz val="11"/>
        <color rgb="FF3F3F76"/>
        <name val="Calibri"/>
        <family val="2"/>
        <scheme val="minor"/>
      </font>
      <fill>
        <patternFill patternType="solid">
          <fgColor indexed="64"/>
          <bgColor rgb="FFFFCC99"/>
        </patternFill>
      </fill>
      <alignment horizontal="center" vertical="bottom" textRotation="0" wrapText="0" indent="0" justifyLastLine="0" shrinkToFit="0" readingOrder="0"/>
      <border diagonalUp="0" diagonalDown="0">
        <left style="thin">
          <color rgb="FF7F7F7F"/>
        </left>
        <right style="thin">
          <color rgb="FF7F7F7F"/>
        </right>
        <top style="thin">
          <color rgb="FF7F7F7F"/>
        </top>
        <bottom style="thin">
          <color rgb="FF7F7F7F"/>
        </bottom>
        <vertical/>
        <horizontal/>
      </border>
    </dxf>
    <dxf>
      <font>
        <b val="0"/>
        <i val="0"/>
        <strike val="0"/>
        <condense val="0"/>
        <extend val="0"/>
        <outline val="0"/>
        <shadow val="0"/>
        <u val="none"/>
        <vertAlign val="baseline"/>
        <sz val="11"/>
        <color rgb="FF3F3F76"/>
        <name val="Calibri"/>
        <family val="2"/>
        <scheme val="minor"/>
      </font>
      <fill>
        <patternFill patternType="solid">
          <fgColor indexed="64"/>
          <bgColor rgb="FFFFCC99"/>
        </patternFill>
      </fill>
      <alignment horizontal="center" vertical="bottom" textRotation="0" wrapText="0" indent="0" justifyLastLine="0" shrinkToFit="0" readingOrder="0"/>
      <border diagonalUp="0" diagonalDown="0">
        <left style="thin">
          <color rgb="FF7F7F7F"/>
        </left>
        <right style="thin">
          <color rgb="FF7F7F7F"/>
        </right>
        <top style="thin">
          <color rgb="FF7F7F7F"/>
        </top>
        <bottom style="thin">
          <color rgb="FF7F7F7F"/>
        </bottom>
        <vertical/>
        <horizontal/>
      </border>
    </dxf>
    <dxf>
      <alignment horizontal="center" vertical="bottom" textRotation="0" wrapText="0" indent="0" justifyLastLine="0" shrinkToFit="0" readingOrder="0"/>
      <border diagonalUp="0" diagonalDown="0">
        <left/>
        <right style="thin">
          <color auto="1"/>
        </right>
        <top style="thin">
          <color auto="1"/>
        </top>
        <bottom style="thin">
          <color auto="1"/>
        </bottom>
        <vertical/>
        <horizontal/>
      </border>
    </dxf>
    <dxf>
      <alignment horizontal="center" vertical="bottom" textRotation="0" wrapText="0" indent="0" justifyLastLine="0" shrinkToFit="0" readingOrder="0"/>
      <border diagonalUp="0" diagonalDown="0">
        <left/>
        <right style="thin">
          <color indexed="64"/>
        </right>
        <top style="thin">
          <color indexed="64"/>
        </top>
        <bottom/>
        <vertical/>
        <horizontal/>
      </border>
    </dxf>
    <dxf>
      <border outline="0">
        <top style="thin">
          <color theme="4" tint="0.39997558519241921"/>
        </top>
      </border>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center" vertical="bottom" textRotation="0" wrapText="0" indent="0" justifyLastLine="0" shrinkToFit="0" readingOrder="0"/>
    </dxf>
    <dxf>
      <font>
        <b val="0"/>
        <i val="0"/>
        <strike val="0"/>
        <condense val="0"/>
        <extend val="0"/>
        <outline val="0"/>
        <shadow val="0"/>
        <u val="none"/>
        <vertAlign val="baseline"/>
        <sz val="11"/>
        <color rgb="FF3F3F76"/>
        <name val="Calibri"/>
        <family val="2"/>
        <scheme val="minor"/>
      </font>
      <fill>
        <patternFill patternType="solid">
          <fgColor indexed="64"/>
          <bgColor rgb="FFFFCC99"/>
        </patternFill>
      </fill>
      <alignment horizontal="center" vertical="bottom" textRotation="0" wrapText="0" indent="0" justifyLastLine="0" shrinkToFit="0" readingOrder="0"/>
      <border diagonalUp="0" diagonalDown="0" outline="0">
        <left style="thin">
          <color rgb="FF7F7F7F"/>
        </left>
        <right style="thin">
          <color rgb="FF7F7F7F"/>
        </right>
        <top style="thin">
          <color rgb="FF7F7F7F"/>
        </top>
        <bottom style="thin">
          <color rgb="FF7F7F7F"/>
        </bottom>
      </border>
    </dxf>
    <dxf>
      <alignment horizontal="center" vertical="bottom" textRotation="0" wrapText="0" indent="0" justifyLastLine="0" shrinkToFit="0" readingOrder="0"/>
      <border diagonalUp="0" diagonalDown="0" outline="0">
        <left/>
        <right style="thin">
          <color auto="1"/>
        </right>
        <top style="thin">
          <color auto="1"/>
        </top>
        <bottom style="thin">
          <color auto="1"/>
        </bottom>
      </border>
    </dxf>
    <dxf>
      <alignment horizontal="center" vertical="bottom" textRotation="0" wrapText="0" indent="0" justifyLastLine="0" shrinkToFit="0" readingOrder="0"/>
      <border diagonalUp="0" diagonalDown="0" outline="0">
        <left/>
        <right style="thin">
          <color indexed="64"/>
        </right>
        <top style="thin">
          <color indexed="64"/>
        </top>
        <bottom/>
      </border>
    </dxf>
    <dxf>
      <alignment horizontal="center"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1"/>
        <name val="Calibri"/>
        <family val="2"/>
        <scheme val="minor"/>
      </font>
    </dxf>
    <dxf>
      <font>
        <b val="0"/>
        <color rgb="FF3F3F76"/>
      </font>
      <fill>
        <patternFill patternType="solid">
          <fgColor indexed="64"/>
          <bgColor rgb="FFFFCC99"/>
        </patternFill>
      </fill>
      <alignment horizontal="center" vertical="bottom" textRotation="0" wrapText="0" indent="0" justifyLastLine="0" shrinkToFit="0" readingOrder="0"/>
      <border diagonalUp="0" diagonalDown="0">
        <left style="thin">
          <color rgb="FF7F7F7F"/>
        </left>
        <right style="thin">
          <color rgb="FF7F7F7F"/>
        </right>
        <top style="thin">
          <color rgb="FF7F7F7F"/>
        </top>
        <bottom style="thin">
          <color rgb="FF7F7F7F"/>
        </bottom>
        <vertical/>
        <horizontal/>
      </border>
    </dxf>
    <dxf>
      <font>
        <b val="0"/>
        <color rgb="FF3F3F76"/>
      </font>
      <fill>
        <patternFill patternType="solid">
          <fgColor indexed="64"/>
          <bgColor rgb="FFFFCC99"/>
        </patternFill>
      </fill>
      <alignment horizontal="center" vertical="bottom" textRotation="0" wrapText="0" indent="0" justifyLastLine="0" shrinkToFit="0" readingOrder="0"/>
      <border diagonalUp="0" diagonalDown="0">
        <left style="thin">
          <color rgb="FF7F7F7F"/>
        </left>
        <right style="thin">
          <color rgb="FF7F7F7F"/>
        </right>
        <top style="thin">
          <color rgb="FF7F7F7F"/>
        </top>
        <bottom style="thin">
          <color rgb="FF7F7F7F"/>
        </bottom>
        <vertical/>
        <horizontal/>
      </border>
    </dxf>
    <dxf>
      <font>
        <b val="0"/>
        <color rgb="FF3F3F76"/>
      </font>
      <fill>
        <patternFill patternType="solid">
          <fgColor indexed="64"/>
          <bgColor rgb="FFFFCC99"/>
        </patternFill>
      </fill>
      <alignment horizontal="center" vertical="bottom" textRotation="0" wrapText="0" indent="0" justifyLastLine="0" shrinkToFit="0" readingOrder="0"/>
      <border diagonalUp="0" diagonalDown="0">
        <left style="thin">
          <color rgb="FF7F7F7F"/>
        </left>
        <right style="thin">
          <color rgb="FF7F7F7F"/>
        </right>
        <top style="thin">
          <color rgb="FF7F7F7F"/>
        </top>
        <bottom style="thin">
          <color rgb="FF7F7F7F"/>
        </bottom>
        <vertical/>
        <horizontal/>
      </border>
    </dxf>
    <dxf>
      <font>
        <b/>
        <i val="0"/>
        <strike val="0"/>
        <condense val="0"/>
        <extend val="0"/>
        <outline val="0"/>
        <shadow val="0"/>
        <u val="none"/>
        <vertAlign val="baseline"/>
        <sz val="11"/>
        <color rgb="FFFA7D00"/>
        <name val="Calibri"/>
        <family val="2"/>
        <scheme val="minor"/>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rgb="FFFA7D00"/>
        <name val="Calibri"/>
        <family val="2"/>
        <scheme val="minor"/>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font>
      <alignment horizontal="center" vertical="bottom" textRotation="0" wrapText="0" indent="0" justifyLastLine="0" shrinkToFit="0" readingOrder="0"/>
      <border diagonalUp="0" diagonalDown="0" outline="0">
        <left style="thin">
          <color auto="1"/>
        </left>
        <right style="thin">
          <color auto="1"/>
        </right>
        <top style="thin">
          <color auto="1"/>
        </top>
        <bottom style="thin">
          <color auto="1"/>
        </bottom>
      </border>
    </dxf>
    <dxf>
      <font>
        <b val="0"/>
      </font>
      <alignment horizontal="center" vertical="bottom" textRotation="0" wrapText="0" indent="0" justifyLastLine="0" shrinkToFit="0" readingOrder="0"/>
      <border diagonalUp="0" diagonalDown="0" outline="0">
        <left style="thin">
          <color auto="1"/>
        </left>
        <right style="thin">
          <color auto="1"/>
        </right>
        <top style="thin">
          <color auto="1"/>
        </top>
        <bottom style="thin">
          <color auto="1"/>
        </bottom>
      </border>
    </dxf>
    <dxf>
      <font>
        <b val="0"/>
      </font>
      <alignment horizontal="center" vertical="bottom" textRotation="0" wrapText="0"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1"/>
        <color rgb="FF3F3F76"/>
        <name val="Calibri"/>
        <family val="2"/>
        <scheme val="minor"/>
      </font>
      <fill>
        <patternFill patternType="solid">
          <fgColor indexed="64"/>
          <bgColor rgb="FFFFCC99"/>
        </patternFill>
      </fill>
      <border diagonalUp="0" diagonalDown="0">
        <left style="thin">
          <color rgb="FF7F7F7F"/>
        </left>
        <right style="thin">
          <color rgb="FF7F7F7F"/>
        </right>
        <top style="thin">
          <color rgb="FF7F7F7F"/>
        </top>
        <bottom style="thin">
          <color rgb="FF7F7F7F"/>
        </bottom>
        <vertical/>
        <horizontal/>
      </border>
    </dxf>
    <dxf>
      <font>
        <b val="0"/>
        <i val="0"/>
        <strike val="0"/>
        <condense val="0"/>
        <extend val="0"/>
        <outline val="0"/>
        <shadow val="0"/>
        <u val="none"/>
        <vertAlign val="baseline"/>
        <sz val="11"/>
        <color rgb="FF3F3F76"/>
        <name val="Calibri"/>
        <family val="2"/>
        <scheme val="minor"/>
      </font>
      <fill>
        <patternFill patternType="solid">
          <fgColor indexed="64"/>
          <bgColor rgb="FFFFCC99"/>
        </patternFill>
      </fill>
      <border diagonalUp="0" diagonalDown="0">
        <left style="thin">
          <color rgb="FF7F7F7F"/>
        </left>
        <right style="thin">
          <color rgb="FF7F7F7F"/>
        </right>
        <top style="thin">
          <color rgb="FF7F7F7F"/>
        </top>
        <bottom style="thin">
          <color rgb="FF7F7F7F"/>
        </bottom>
        <vertical/>
        <horizontal/>
      </border>
    </dxf>
    <dxf>
      <font>
        <b val="0"/>
      </font>
      <alignment horizontal="center" vertical="bottom" textRotation="0" wrapText="0" indent="0" justifyLastLine="0" shrinkToFit="0" readingOrder="0"/>
      <border diagonalUp="0" diagonalDown="0" outline="0">
        <left style="thin">
          <color auto="1"/>
        </left>
        <right style="thin">
          <color auto="1"/>
        </right>
        <top style="thin">
          <color auto="1"/>
        </top>
        <bottom style="thin">
          <color auto="1"/>
        </bottom>
      </border>
    </dxf>
    <dxf>
      <font>
        <b val="0"/>
      </font>
      <alignment horizontal="center" vertical="bottom" textRotation="0" wrapText="0" indent="0" justifyLastLine="0" shrinkToFit="0" readingOrder="0"/>
      <border diagonalUp="0" diagonalDown="0" outline="0">
        <left style="thin">
          <color auto="1"/>
        </left>
        <right style="thin">
          <color auto="1"/>
        </right>
        <top style="thin">
          <color auto="1"/>
        </top>
        <bottom style="thin">
          <color auto="1"/>
        </bottom>
      </border>
    </dxf>
    <dxf>
      <font>
        <b val="0"/>
      </font>
      <alignment horizontal="center" vertical="bottom" textRotation="0" wrapText="0" indent="0" justifyLastLine="0" shrinkToFit="0" readingOrder="0"/>
      <border diagonalUp="0" diagonalDown="0" outline="0">
        <left style="thin">
          <color auto="1"/>
        </left>
        <right style="thin">
          <color auto="1"/>
        </right>
        <top style="thin">
          <color auto="1"/>
        </top>
        <bottom style="thin">
          <color auto="1"/>
        </bottom>
      </border>
    </dxf>
    <dxf>
      <font>
        <b val="0"/>
      </font>
      <alignment horizontal="center" vertical="bottom" textRotation="0" wrapText="0"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style="thin">
          <color auto="1"/>
        </left>
        <right style="thin">
          <color auto="1"/>
        </right>
        <top style="thin">
          <color auto="1"/>
        </top>
        <bottom style="thin">
          <color auto="1"/>
        </bottom>
      </border>
    </dxf>
    <dxf>
      <font>
        <b val="0"/>
      </font>
      <alignment horizontal="center" vertical="bottom" textRotation="0" wrapText="0" indent="0" justifyLastLine="0" shrinkToFit="0" readingOrder="0"/>
    </dxf>
    <dxf>
      <border>
        <bottom style="thin">
          <color auto="1"/>
        </bottom>
      </border>
    </dxf>
    <dxf>
      <border diagonalUp="0" diagonalDown="0">
        <left style="thin">
          <color auto="1"/>
        </left>
        <right style="thin">
          <color auto="1"/>
        </right>
        <top/>
        <bottom/>
        <vertical style="thin">
          <color auto="1"/>
        </vertical>
        <horizontal style="thin">
          <color auto="1"/>
        </horizontal>
      </border>
    </dxf>
    <dxf>
      <font>
        <b val="0"/>
        <i val="0"/>
        <strike val="0"/>
        <condense val="0"/>
        <extend val="0"/>
        <outline val="0"/>
        <shadow val="0"/>
        <u val="none"/>
        <vertAlign val="baseline"/>
        <sz val="11"/>
        <color rgb="FF3F3F76"/>
        <name val="Calibri"/>
        <family val="2"/>
        <scheme val="minor"/>
      </font>
      <fill>
        <patternFill patternType="solid">
          <fgColor indexed="64"/>
          <bgColor rgb="FFFFCC99"/>
        </patternFill>
      </fill>
      <border diagonalUp="0" diagonalDown="0">
        <left style="thin">
          <color rgb="FF7F7F7F"/>
        </left>
        <right style="thin">
          <color rgb="FF7F7F7F"/>
        </right>
        <top style="thin">
          <color rgb="FF7F7F7F"/>
        </top>
        <bottom style="thin">
          <color rgb="FF7F7F7F"/>
        </bottom>
        <vertical/>
        <horizontal/>
      </border>
    </dxf>
    <dxf>
      <font>
        <b val="0"/>
        <i val="0"/>
        <strike val="0"/>
        <condense val="0"/>
        <extend val="0"/>
        <outline val="0"/>
        <shadow val="0"/>
        <u val="none"/>
        <vertAlign val="baseline"/>
        <sz val="11"/>
        <color rgb="FF3F3F76"/>
        <name val="Calibri"/>
        <family val="2"/>
        <scheme val="minor"/>
      </font>
      <fill>
        <patternFill patternType="solid">
          <fgColor indexed="64"/>
          <bgColor rgb="FFFFCC99"/>
        </patternFill>
      </fill>
      <border diagonalUp="0" diagonalDown="0">
        <left style="thin">
          <color rgb="FF7F7F7F"/>
        </left>
        <right style="thin">
          <color rgb="FF7F7F7F"/>
        </right>
        <top style="thin">
          <color rgb="FF7F7F7F"/>
        </top>
        <bottom style="thin">
          <color rgb="FF7F7F7F"/>
        </bottom>
        <vertical/>
        <horizontal/>
      </border>
    </dxf>
    <dxf>
      <font>
        <b val="0"/>
        <i val="0"/>
        <strike val="0"/>
        <condense val="0"/>
        <extend val="0"/>
        <outline val="0"/>
        <shadow val="0"/>
        <u val="none"/>
        <vertAlign val="baseline"/>
        <sz val="11"/>
        <color rgb="FF3F3F76"/>
        <name val="Calibri"/>
        <family val="2"/>
        <scheme val="minor"/>
      </font>
      <numFmt numFmtId="0" formatCode="General"/>
      <fill>
        <patternFill patternType="solid">
          <fgColor indexed="64"/>
          <bgColor rgb="FFFFCC99"/>
        </patternFill>
      </fill>
      <border diagonalUp="0" diagonalDown="0">
        <left style="thin">
          <color rgb="FF7F7F7F"/>
        </left>
        <right style="thin">
          <color rgb="FF7F7F7F"/>
        </right>
        <top style="thin">
          <color rgb="FF7F7F7F"/>
        </top>
        <bottom style="thin">
          <color rgb="FF7F7F7F"/>
        </bottom>
        <vertical/>
        <horizontal/>
      </border>
    </dxf>
    <dxf>
      <font>
        <b val="0"/>
        <i val="0"/>
        <strike val="0"/>
        <condense val="0"/>
        <extend val="0"/>
        <outline val="0"/>
        <shadow val="0"/>
        <u val="none"/>
        <vertAlign val="baseline"/>
        <sz val="11"/>
        <color rgb="FF3F3F76"/>
        <name val="Calibri"/>
        <family val="2"/>
        <scheme val="minor"/>
      </font>
      <numFmt numFmtId="0" formatCode="General"/>
      <fill>
        <patternFill patternType="solid">
          <fgColor indexed="64"/>
          <bgColor rgb="FFFFCC99"/>
        </patternFill>
      </fill>
      <border diagonalUp="0" diagonalDown="0">
        <left style="thin">
          <color rgb="FF7F7F7F"/>
        </left>
        <right style="thin">
          <color rgb="FF7F7F7F"/>
        </right>
        <top style="thin">
          <color rgb="FF7F7F7F"/>
        </top>
        <bottom style="thin">
          <color rgb="FF7F7F7F"/>
        </bottom>
        <vertical/>
        <horizontal/>
      </border>
    </dxf>
    <dxf>
      <font>
        <b val="0"/>
        <i val="0"/>
        <strike val="0"/>
        <condense val="0"/>
        <extend val="0"/>
        <outline val="0"/>
        <shadow val="0"/>
        <u val="none"/>
        <vertAlign val="baseline"/>
        <sz val="11"/>
        <color rgb="FF3F3F76"/>
        <name val="Calibri"/>
        <family val="2"/>
        <scheme val="minor"/>
      </font>
      <numFmt numFmtId="0" formatCode="General"/>
      <fill>
        <patternFill patternType="solid">
          <fgColor indexed="64"/>
          <bgColor rgb="FFFFCC99"/>
        </patternFill>
      </fill>
      <border diagonalUp="0" diagonalDown="0">
        <left style="thin">
          <color rgb="FF7F7F7F"/>
        </left>
        <right style="thin">
          <color rgb="FF7F7F7F"/>
        </right>
        <top style="thin">
          <color rgb="FF7F7F7F"/>
        </top>
        <bottom style="thin">
          <color rgb="FF7F7F7F"/>
        </bottom>
        <vertical/>
        <horizontal/>
      </border>
    </dxf>
    <dxf>
      <font>
        <b val="0"/>
        <i val="0"/>
        <strike val="0"/>
        <condense val="0"/>
        <extend val="0"/>
        <outline val="0"/>
        <shadow val="0"/>
        <u val="none"/>
        <vertAlign val="baseline"/>
        <sz val="11"/>
        <color rgb="FF3F3F76"/>
        <name val="Calibri"/>
        <family val="2"/>
        <scheme val="minor"/>
      </font>
      <numFmt numFmtId="0" formatCode="General"/>
      <fill>
        <patternFill patternType="solid">
          <fgColor indexed="64"/>
          <bgColor rgb="FFFFCC99"/>
        </patternFill>
      </fill>
      <border diagonalUp="0" diagonalDown="0">
        <left style="thin">
          <color rgb="FF7F7F7F"/>
        </left>
        <right style="thin">
          <color rgb="FF7F7F7F"/>
        </right>
        <top style="thin">
          <color rgb="FF7F7F7F"/>
        </top>
        <bottom style="thin">
          <color rgb="FF7F7F7F"/>
        </bottom>
        <vertical/>
        <horizontal/>
      </border>
    </dxf>
    <dxf>
      <font>
        <b val="0"/>
        <i val="0"/>
        <strike val="0"/>
        <condense val="0"/>
        <extend val="0"/>
        <outline val="0"/>
        <shadow val="0"/>
        <u val="none"/>
        <vertAlign val="baseline"/>
        <sz val="11"/>
        <color rgb="FF3F3F76"/>
        <name val="Calibri"/>
        <family val="2"/>
        <scheme val="minor"/>
      </font>
      <numFmt numFmtId="0" formatCode="General"/>
      <fill>
        <patternFill patternType="solid">
          <fgColor indexed="64"/>
          <bgColor rgb="FFFFCC99"/>
        </patternFill>
      </fill>
      <border diagonalUp="0" diagonalDown="0">
        <left style="thin">
          <color rgb="FF7F7F7F"/>
        </left>
        <right style="thin">
          <color rgb="FF7F7F7F"/>
        </right>
        <top style="thin">
          <color rgb="FF7F7F7F"/>
        </top>
        <bottom style="thin">
          <color rgb="FF7F7F7F"/>
        </bottom>
        <vertical/>
        <horizontal/>
      </border>
    </dxf>
    <dxf>
      <font>
        <b val="0"/>
        <i val="0"/>
        <strike val="0"/>
        <condense val="0"/>
        <extend val="0"/>
        <outline val="0"/>
        <shadow val="0"/>
        <u val="none"/>
        <vertAlign val="baseline"/>
        <sz val="11"/>
        <color rgb="FF3F3F76"/>
        <name val="Calibri"/>
        <family val="2"/>
        <scheme val="minor"/>
      </font>
      <numFmt numFmtId="0" formatCode="General"/>
      <fill>
        <patternFill patternType="solid">
          <fgColor indexed="64"/>
          <bgColor rgb="FFFFCC99"/>
        </patternFill>
      </fill>
      <border diagonalUp="0" diagonalDown="0">
        <left style="thin">
          <color rgb="FF7F7F7F"/>
        </left>
        <right style="thin">
          <color rgb="FF7F7F7F"/>
        </right>
        <top style="thin">
          <color rgb="FF7F7F7F"/>
        </top>
        <bottom style="thin">
          <color rgb="FF7F7F7F"/>
        </bottom>
        <vertical/>
        <horizontal/>
      </border>
    </dxf>
    <dxf>
      <font>
        <b val="0"/>
        <i val="0"/>
        <strike val="0"/>
        <condense val="0"/>
        <extend val="0"/>
        <outline val="0"/>
        <shadow val="0"/>
        <u val="none"/>
        <vertAlign val="baseline"/>
        <sz val="11"/>
        <color rgb="FF3F3F76"/>
        <name val="Calibri"/>
        <family val="2"/>
        <scheme val="minor"/>
      </font>
      <fill>
        <patternFill patternType="solid">
          <fgColor indexed="64"/>
          <bgColor rgb="FFFFCC99"/>
        </patternFill>
      </fill>
      <border diagonalUp="0" diagonalDown="0">
        <left style="thin">
          <color rgb="FF7F7F7F"/>
        </left>
        <right style="thin">
          <color rgb="FF7F7F7F"/>
        </right>
        <top style="thin">
          <color rgb="FF7F7F7F"/>
        </top>
        <bottom style="thin">
          <color rgb="FF7F7F7F"/>
        </bottom>
        <vertical/>
        <horizontal/>
      </border>
    </dxf>
    <dxf>
      <font>
        <b val="0"/>
        <i val="0"/>
        <strike val="0"/>
        <condense val="0"/>
        <extend val="0"/>
        <outline val="0"/>
        <shadow val="0"/>
        <u val="none"/>
        <vertAlign val="baseline"/>
        <sz val="11"/>
        <color rgb="FF3F3F76"/>
        <name val="Calibri"/>
        <family val="2"/>
        <scheme val="minor"/>
      </font>
      <fill>
        <patternFill patternType="solid">
          <fgColor indexed="64"/>
          <bgColor rgb="FFFFCC99"/>
        </patternFill>
      </fill>
      <border diagonalUp="0" diagonalDown="0">
        <left style="thin">
          <color rgb="FF7F7F7F"/>
        </left>
        <right style="thin">
          <color rgb="FF7F7F7F"/>
        </right>
        <top style="thin">
          <color rgb="FF7F7F7F"/>
        </top>
        <bottom style="thin">
          <color rgb="FF7F7F7F"/>
        </bottom>
        <vertical/>
        <horizontal/>
      </border>
    </dxf>
    <dxf>
      <font>
        <b val="0"/>
        <i val="0"/>
        <strike val="0"/>
        <condense val="0"/>
        <extend val="0"/>
        <outline val="0"/>
        <shadow val="0"/>
        <u val="none"/>
        <vertAlign val="baseline"/>
        <sz val="11"/>
        <color rgb="FF3F3F76"/>
        <name val="Calibri"/>
        <family val="2"/>
        <scheme val="minor"/>
      </font>
      <fill>
        <patternFill patternType="solid">
          <fgColor indexed="64"/>
          <bgColor rgb="FFFFCC99"/>
        </patternFill>
      </fill>
      <border diagonalUp="0" diagonalDown="0">
        <left style="thin">
          <color rgb="FF7F7F7F"/>
        </left>
        <right style="thin">
          <color rgb="FF7F7F7F"/>
        </right>
        <top style="thin">
          <color rgb="FF7F7F7F"/>
        </top>
        <bottom style="thin">
          <color rgb="FF7F7F7F"/>
        </bottom>
        <vertical/>
        <horizontal/>
      </border>
    </dxf>
    <dxf>
      <font>
        <b val="0"/>
        <i val="0"/>
        <strike val="0"/>
        <condense val="0"/>
        <extend val="0"/>
        <outline val="0"/>
        <shadow val="0"/>
        <u val="none"/>
        <vertAlign val="baseline"/>
        <sz val="11"/>
        <color rgb="FF3F3F76"/>
        <name val="Calibri"/>
        <family val="2"/>
        <scheme val="minor"/>
      </font>
      <fill>
        <patternFill patternType="solid">
          <fgColor indexed="64"/>
          <bgColor rgb="FFFFCC99"/>
        </patternFill>
      </fill>
      <border diagonalUp="0" diagonalDown="0">
        <left style="thin">
          <color rgb="FF7F7F7F"/>
        </left>
        <right style="thin">
          <color rgb="FF7F7F7F"/>
        </right>
        <top style="thin">
          <color rgb="FF7F7F7F"/>
        </top>
        <bottom style="thin">
          <color rgb="FF7F7F7F"/>
        </bottom>
        <vertical/>
        <horizontal/>
      </border>
    </dxf>
    <dxf>
      <font>
        <b val="0"/>
        <i val="0"/>
        <strike val="0"/>
        <condense val="0"/>
        <extend val="0"/>
        <outline val="0"/>
        <shadow val="0"/>
        <u val="none"/>
        <vertAlign val="baseline"/>
        <sz val="11"/>
        <color rgb="FF3F3F76"/>
        <name val="Calibri"/>
        <family val="2"/>
        <scheme val="minor"/>
      </font>
      <fill>
        <patternFill patternType="solid">
          <fgColor indexed="64"/>
          <bgColor rgb="FFFFCC99"/>
        </patternFill>
      </fill>
      <border diagonalUp="0" diagonalDown="0">
        <left style="thin">
          <color rgb="FF7F7F7F"/>
        </left>
        <right style="thin">
          <color rgb="FF7F7F7F"/>
        </right>
        <top style="thin">
          <color rgb="FF7F7F7F"/>
        </top>
        <bottom style="thin">
          <color rgb="FF7F7F7F"/>
        </bottom>
        <vertical/>
        <horizontal/>
      </border>
    </dxf>
    <dxf>
      <border diagonalUp="0" diagonalDown="0">
        <left style="thin">
          <color auto="1"/>
        </left>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right style="thin">
          <color auto="1"/>
        </right>
        <top style="thin">
          <color auto="1"/>
        </top>
        <bottom style="thin">
          <color auto="1"/>
        </bottom>
        <vertical/>
        <horizontal/>
      </border>
    </dxf>
    <dxf>
      <border outline="0">
        <left style="thin">
          <color auto="1"/>
        </left>
        <top style="thin">
          <color indexed="64"/>
        </top>
      </border>
    </dxf>
    <dxf>
      <font>
        <b val="0"/>
        <i val="0"/>
        <strike val="0"/>
        <condense val="0"/>
        <extend val="0"/>
        <outline val="0"/>
        <shadow val="0"/>
        <u val="none"/>
        <vertAlign val="baseline"/>
        <sz val="11"/>
        <color rgb="FF3F3F76"/>
        <name val="Calibri"/>
        <family val="2"/>
        <scheme val="minor"/>
      </font>
      <fill>
        <patternFill patternType="solid">
          <fgColor indexed="64"/>
          <bgColor rgb="FFFFCC99"/>
        </patternFill>
      </fill>
    </dxf>
    <dxf>
      <font>
        <b/>
        <i val="0"/>
        <strike val="0"/>
        <condense val="0"/>
        <extend val="0"/>
        <outline val="0"/>
        <shadow val="0"/>
        <u val="none"/>
        <vertAlign val="baseline"/>
        <sz val="11"/>
        <color theme="1"/>
        <name val="Calibri"/>
        <family val="2"/>
        <scheme val="minor"/>
      </font>
      <border diagonalUp="0" diagonalDown="0" outline="0">
        <left style="thin">
          <color auto="1"/>
        </left>
        <right style="thin">
          <color auto="1"/>
        </right>
        <top/>
        <bottom/>
      </border>
    </dxf>
    <dxf>
      <font>
        <strike val="0"/>
        <outline val="0"/>
        <shadow val="0"/>
        <u val="none"/>
        <vertAlign val="baseline"/>
        <sz val="11"/>
        <color rgb="FF3F3F76"/>
        <name val="Calibri"/>
        <family val="2"/>
        <scheme val="minor"/>
      </font>
      <fill>
        <patternFill patternType="solid">
          <fgColor indexed="64"/>
          <bgColor rgb="FFFFCC99"/>
        </patternFill>
      </fill>
      <border diagonalUp="0" diagonalDown="0" outline="0">
        <left style="thin">
          <color rgb="FF3F3F76"/>
        </left>
        <right style="thin">
          <color rgb="FF3F3F76"/>
        </right>
        <top style="thin">
          <color rgb="FF3F3F76"/>
        </top>
        <bottom style="thin">
          <color rgb="FF3F3F76"/>
        </bottom>
      </border>
    </dxf>
    <dxf>
      <font>
        <strike val="0"/>
        <outline val="0"/>
        <shadow val="0"/>
        <u val="none"/>
        <vertAlign val="baseline"/>
        <sz val="11"/>
        <color rgb="FF3F3F76"/>
        <name val="Calibri"/>
        <family val="2"/>
        <scheme val="minor"/>
      </font>
      <fill>
        <patternFill patternType="solid">
          <fgColor indexed="64"/>
          <bgColor rgb="FFFFCC99"/>
        </patternFill>
      </fill>
      <border diagonalUp="0" diagonalDown="0" outline="0">
        <left style="thin">
          <color rgb="FF3F3F76"/>
        </left>
        <right style="thin">
          <color rgb="FF3F3F76"/>
        </right>
        <top style="thin">
          <color rgb="FF3F3F76"/>
        </top>
        <bottom style="thin">
          <color rgb="FF3F3F76"/>
        </bottom>
      </border>
    </dxf>
    <dxf>
      <font>
        <strike val="0"/>
        <outline val="0"/>
        <shadow val="0"/>
        <u val="none"/>
        <vertAlign val="baseline"/>
        <sz val="11"/>
        <color rgb="FF3F3F76"/>
        <name val="Calibri"/>
        <family val="2"/>
        <scheme val="minor"/>
      </font>
      <numFmt numFmtId="0" formatCode="General"/>
      <fill>
        <patternFill patternType="solid">
          <fgColor indexed="64"/>
          <bgColor rgb="FFFFCC99"/>
        </patternFill>
      </fill>
      <border diagonalUp="0" diagonalDown="0" outline="0">
        <left style="thin">
          <color rgb="FF3F3F76"/>
        </left>
        <right style="thin">
          <color rgb="FF3F3F76"/>
        </right>
        <top style="thin">
          <color rgb="FF3F3F76"/>
        </top>
        <bottom style="thin">
          <color rgb="FF3F3F76"/>
        </bottom>
      </border>
    </dxf>
    <dxf>
      <font>
        <strike val="0"/>
        <outline val="0"/>
        <shadow val="0"/>
        <u val="none"/>
        <vertAlign val="baseline"/>
        <sz val="11"/>
        <color rgb="FF3F3F76"/>
        <name val="Calibri"/>
        <family val="2"/>
        <scheme val="minor"/>
      </font>
      <numFmt numFmtId="0" formatCode="General"/>
      <fill>
        <patternFill patternType="solid">
          <fgColor indexed="64"/>
          <bgColor rgb="FFFFCC99"/>
        </patternFill>
      </fill>
      <border diagonalUp="0" diagonalDown="0" outline="0">
        <left style="thin">
          <color rgb="FF3F3F76"/>
        </left>
        <right style="thin">
          <color rgb="FF3F3F76"/>
        </right>
        <top style="thin">
          <color rgb="FF3F3F76"/>
        </top>
        <bottom style="thin">
          <color rgb="FF3F3F76"/>
        </bottom>
      </border>
    </dxf>
    <dxf>
      <border diagonalUp="0" diagonalDown="0" outline="0">
        <left style="thin">
          <color auto="1"/>
        </left>
        <right style="thin">
          <color rgb="FF3F3F76"/>
        </right>
        <top style="thin">
          <color auto="1"/>
        </top>
        <bottom style="thin">
          <color auto="1"/>
        </bottom>
      </border>
    </dxf>
    <dxf>
      <border diagonalUp="0" diagonalDown="0">
        <left style="thin">
          <color auto="1"/>
        </left>
        <right style="thin">
          <color auto="1"/>
        </right>
        <top style="thin">
          <color auto="1"/>
        </top>
        <bottom style="thin">
          <color auto="1"/>
        </bottom>
        <vertical/>
        <horizontal style="thin">
          <color auto="1"/>
        </horizontal>
      </border>
    </dxf>
    <dxf>
      <border diagonalUp="0" diagonalDown="0">
        <left/>
        <right style="thin">
          <color auto="1"/>
        </right>
        <top style="thin">
          <color auto="1"/>
        </top>
        <bottom style="thin">
          <color auto="1"/>
        </bottom>
        <vertical/>
        <horizontal/>
      </border>
    </dxf>
    <dxf>
      <border outline="0">
        <left style="thin">
          <color auto="1"/>
        </left>
        <right style="thin">
          <color auto="1"/>
        </right>
        <top style="thin">
          <color auto="1"/>
        </top>
      </border>
    </dxf>
    <dxf>
      <border outline="0">
        <bottom style="thin">
          <color indexed="64"/>
        </bottom>
      </border>
    </dxf>
    <dxf>
      <font>
        <b/>
      </font>
      <border diagonalUp="0" diagonalDown="0" outline="0">
        <left style="thin">
          <color auto="1"/>
        </left>
        <right style="thin">
          <color auto="1"/>
        </right>
        <top/>
        <bottom/>
      </border>
    </dxf>
    <dxf>
      <font>
        <strike val="0"/>
        <outline val="0"/>
        <shadow val="0"/>
        <u val="none"/>
        <vertAlign val="baseline"/>
        <sz val="11"/>
        <color rgb="FF3F3F76"/>
        <name val="Calibri"/>
        <family val="2"/>
        <scheme val="minor"/>
      </font>
      <fill>
        <patternFill patternType="solid">
          <fgColor indexed="64"/>
          <bgColor rgb="FFFFCC99"/>
        </patternFill>
      </fill>
      <border diagonalUp="0" diagonalDown="0" outline="0">
        <left style="thin">
          <color indexed="64"/>
        </left>
        <right/>
        <top style="thin">
          <color indexed="64"/>
        </top>
        <bottom style="thin">
          <color indexed="64"/>
        </bottom>
      </border>
    </dxf>
    <dxf>
      <font>
        <strike val="0"/>
        <outline val="0"/>
        <shadow val="0"/>
        <u val="none"/>
        <vertAlign val="baseline"/>
        <sz val="11"/>
        <color rgb="FF3F3F76"/>
        <name val="Calibri"/>
        <family val="2"/>
        <scheme val="minor"/>
      </font>
      <fill>
        <patternFill patternType="solid">
          <fgColor indexed="64"/>
          <bgColor rgb="FFFFCC99"/>
        </patternFill>
      </fill>
      <border diagonalUp="0" diagonalDown="0" outline="0">
        <left style="thin">
          <color indexed="64"/>
        </left>
        <right style="thin">
          <color auto="1"/>
        </right>
        <top style="thin">
          <color indexed="64"/>
        </top>
        <bottom style="thin">
          <color indexed="64"/>
        </bottom>
      </border>
    </dxf>
    <dxf>
      <font>
        <strike val="0"/>
        <outline val="0"/>
        <shadow val="0"/>
        <u val="none"/>
        <vertAlign val="baseline"/>
        <sz val="11"/>
        <color rgb="FF3F3F76"/>
        <name val="Calibri"/>
        <family val="2"/>
        <scheme val="minor"/>
      </font>
      <fill>
        <patternFill patternType="solid">
          <fgColor indexed="64"/>
          <bgColor rgb="FFFFCC99"/>
        </patternFill>
      </fill>
      <border diagonalUp="0" diagonalDown="0" outline="0">
        <left style="thin">
          <color indexed="64"/>
        </left>
        <right style="thin">
          <color auto="1"/>
        </right>
        <top style="thin">
          <color indexed="64"/>
        </top>
        <bottom style="thin">
          <color indexed="64"/>
        </bottom>
      </border>
    </dxf>
    <dxf>
      <border diagonalUp="0" diagonalDown="0" outline="0">
        <left style="thin">
          <color indexed="64"/>
        </left>
        <right style="thin">
          <color auto="1"/>
        </right>
        <top style="thin">
          <color indexed="64"/>
        </top>
        <bottom style="thin">
          <color indexed="64"/>
        </bottom>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bottom/>
        <vertical style="thin">
          <color indexed="64"/>
        </vertical>
        <horizontal style="thin">
          <color indexed="64"/>
        </horizontal>
      </border>
    </dxf>
    <dxf>
      <fill>
        <patternFill patternType="solid">
          <fgColor indexed="64"/>
          <bgColor rgb="FFFFCC99"/>
        </patternFill>
      </fill>
      <alignment horizontal="center" vertical="center" textRotation="0" wrapText="0" indent="0" justifyLastLine="0" shrinkToFit="0" readingOrder="0"/>
      <border diagonalUp="0" diagonalDown="0" outline="0">
        <left style="thin">
          <color auto="1"/>
        </left>
        <right/>
        <top style="thin">
          <color auto="1"/>
        </top>
        <bottom style="thin">
          <color auto="1"/>
        </bottom>
      </border>
    </dxf>
    <dxf>
      <alignment horizontal="center" vertical="bottom"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left style="thin">
          <color auto="1"/>
        </left>
        <right style="thin">
          <color auto="1"/>
        </right>
        <top style="thin">
          <color auto="1"/>
        </top>
        <bottom style="thin">
          <color auto="1"/>
        </bottom>
      </border>
    </dxf>
    <dxf>
      <border outline="0">
        <bottom style="thin">
          <color indexed="64"/>
        </bottom>
      </border>
    </dxf>
    <dxf>
      <alignment horizontal="center" vertical="bottom" textRotation="0" wrapText="0" indent="0" justifyLastLine="0" shrinkToFit="0" readingOrder="0"/>
    </dxf>
    <dxf>
      <fill>
        <patternFill patternType="solid">
          <fgColor indexed="64"/>
          <bgColor rgb="FFFFCC99"/>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ill>
        <patternFill patternType="solid">
          <fgColor indexed="64"/>
          <bgColor rgb="FFFFCC99"/>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rgb="FFFFCC99"/>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s>
  <tableStyles count="0" defaultTableStyle="TableStyleMedium9" defaultPivotStyle="PivotStyleLight16"/>
  <colors>
    <mruColors>
      <color rgb="FFF2DAEC"/>
      <color rgb="FF0000FF"/>
      <color rgb="FF7F7F7F"/>
      <color rgb="FFD8E4BC"/>
      <color rgb="FFEBF1DE"/>
      <color rgb="FFD9D9D9"/>
      <color rgb="FF8DB4E2"/>
      <color rgb="FFF2F2F2"/>
      <color rgb="FFFFCC99"/>
      <color rgb="FF3F3F7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owerPivotData" Target="model/item.data"/><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32"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 Id="rId27" Type="http://schemas.microsoft.com/office/2017/10/relationships/person" Target="persons/person.xml"/><Relationship Id="rId30"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4" Type="http://schemas.openxmlformats.org/officeDocument/2006/relationships/image" Target="../media/image10.png"/></Relationships>
</file>

<file path=xl/drawings/_rels/drawing7.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7.png"/></Relationships>
</file>

<file path=xl/drawings/_rels/drawing9.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oneCellAnchor>
    <xdr:from>
      <xdr:col>0</xdr:col>
      <xdr:colOff>381000</xdr:colOff>
      <xdr:row>0</xdr:row>
      <xdr:rowOff>0</xdr:rowOff>
    </xdr:from>
    <xdr:ext cx="1739900" cy="535036"/>
    <xdr:pic>
      <xdr:nvPicPr>
        <xdr:cNvPr id="2" name="Picture 1">
          <a:extLst>
            <a:ext uri="{FF2B5EF4-FFF2-40B4-BE49-F238E27FC236}">
              <a16:creationId xmlns:a16="http://schemas.microsoft.com/office/drawing/2014/main" id="{1B881D4E-8C06-48F2-B503-0EC60A0227C1}"/>
            </a:ext>
          </a:extLst>
        </xdr:cNvPr>
        <xdr:cNvPicPr>
          <a:picLocks noChangeAspect="1"/>
        </xdr:cNvPicPr>
      </xdr:nvPicPr>
      <xdr:blipFill>
        <a:blip xmlns:r="http://schemas.openxmlformats.org/officeDocument/2006/relationships" r:embed="rId1"/>
        <a:stretch>
          <a:fillRect/>
        </a:stretch>
      </xdr:blipFill>
      <xdr:spPr>
        <a:xfrm>
          <a:off x="381000" y="0"/>
          <a:ext cx="1739900" cy="535036"/>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205740</xdr:colOff>
      <xdr:row>0</xdr:row>
      <xdr:rowOff>45721</xdr:rowOff>
    </xdr:from>
    <xdr:to>
      <xdr:col>1</xdr:col>
      <xdr:colOff>1225601</xdr:colOff>
      <xdr:row>1</xdr:row>
      <xdr:rowOff>37466</xdr:rowOff>
    </xdr:to>
    <xdr:pic>
      <xdr:nvPicPr>
        <xdr:cNvPr id="2" name="Picture 1">
          <a:extLst>
            <a:ext uri="{FF2B5EF4-FFF2-40B4-BE49-F238E27FC236}">
              <a16:creationId xmlns:a16="http://schemas.microsoft.com/office/drawing/2014/main" id="{E4F8A7AD-760B-4D1C-920B-67CE395C7475}"/>
            </a:ext>
          </a:extLst>
        </xdr:cNvPr>
        <xdr:cNvPicPr>
          <a:picLocks noChangeAspect="1"/>
        </xdr:cNvPicPr>
      </xdr:nvPicPr>
      <xdr:blipFill>
        <a:blip xmlns:r="http://schemas.openxmlformats.org/officeDocument/2006/relationships" r:embed="rId1"/>
        <a:stretch>
          <a:fillRect/>
        </a:stretch>
      </xdr:blipFill>
      <xdr:spPr>
        <a:xfrm>
          <a:off x="205740" y="45721"/>
          <a:ext cx="1629461" cy="42037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101600</xdr:colOff>
      <xdr:row>0</xdr:row>
      <xdr:rowOff>66675</xdr:rowOff>
    </xdr:from>
    <xdr:to>
      <xdr:col>7</xdr:col>
      <xdr:colOff>524374</xdr:colOff>
      <xdr:row>1</xdr:row>
      <xdr:rowOff>158573</xdr:rowOff>
    </xdr:to>
    <xdr:pic>
      <xdr:nvPicPr>
        <xdr:cNvPr id="6" name="Picture 5">
          <a:extLst>
            <a:ext uri="{FF2B5EF4-FFF2-40B4-BE49-F238E27FC236}">
              <a16:creationId xmlns:a16="http://schemas.microsoft.com/office/drawing/2014/main" id="{363E4B68-DBBE-49CF-8F6C-7B3309C36809}"/>
            </a:ext>
          </a:extLst>
        </xdr:cNvPr>
        <xdr:cNvPicPr>
          <a:picLocks noChangeAspect="1"/>
        </xdr:cNvPicPr>
      </xdr:nvPicPr>
      <xdr:blipFill>
        <a:blip xmlns:r="http://schemas.openxmlformats.org/officeDocument/2006/relationships" r:embed="rId1"/>
        <a:stretch>
          <a:fillRect/>
        </a:stretch>
      </xdr:blipFill>
      <xdr:spPr>
        <a:xfrm>
          <a:off x="10090150" y="66675"/>
          <a:ext cx="1632449" cy="42209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19</xdr:col>
      <xdr:colOff>323850</xdr:colOff>
      <xdr:row>3</xdr:row>
      <xdr:rowOff>104775</xdr:rowOff>
    </xdr:from>
    <xdr:to>
      <xdr:col>31</xdr:col>
      <xdr:colOff>41642</xdr:colOff>
      <xdr:row>7</xdr:row>
      <xdr:rowOff>31785</xdr:rowOff>
    </xdr:to>
    <xdr:pic>
      <xdr:nvPicPr>
        <xdr:cNvPr id="3" name="Picture 2">
          <a:extLst>
            <a:ext uri="{FF2B5EF4-FFF2-40B4-BE49-F238E27FC236}">
              <a16:creationId xmlns:a16="http://schemas.microsoft.com/office/drawing/2014/main" id="{6FE2BA07-213C-4974-A4DB-3ECFB47FF55E}"/>
            </a:ext>
          </a:extLst>
        </xdr:cNvPr>
        <xdr:cNvPicPr>
          <a:picLocks noChangeAspect="1"/>
        </xdr:cNvPicPr>
      </xdr:nvPicPr>
      <xdr:blipFill>
        <a:blip xmlns:r="http://schemas.openxmlformats.org/officeDocument/2006/relationships" r:embed="rId1"/>
        <a:stretch>
          <a:fillRect/>
        </a:stretch>
      </xdr:blipFill>
      <xdr:spPr>
        <a:xfrm>
          <a:off x="17151350" y="762000"/>
          <a:ext cx="7147292" cy="67631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20</xdr:col>
      <xdr:colOff>292100</xdr:colOff>
      <xdr:row>47</xdr:row>
      <xdr:rowOff>50800</xdr:rowOff>
    </xdr:from>
    <xdr:to>
      <xdr:col>32</xdr:col>
      <xdr:colOff>16243</xdr:colOff>
      <xdr:row>51</xdr:row>
      <xdr:rowOff>7656</xdr:rowOff>
    </xdr:to>
    <xdr:pic>
      <xdr:nvPicPr>
        <xdr:cNvPr id="4" name="Picture 3">
          <a:extLst>
            <a:ext uri="{FF2B5EF4-FFF2-40B4-BE49-F238E27FC236}">
              <a16:creationId xmlns:a16="http://schemas.microsoft.com/office/drawing/2014/main" id="{498BC56F-AAEC-444A-BD46-5C7B922554F1}"/>
            </a:ext>
          </a:extLst>
        </xdr:cNvPr>
        <xdr:cNvPicPr>
          <a:picLocks noChangeAspect="1"/>
        </xdr:cNvPicPr>
      </xdr:nvPicPr>
      <xdr:blipFill>
        <a:blip xmlns:r="http://schemas.openxmlformats.org/officeDocument/2006/relationships" r:embed="rId1"/>
        <a:stretch>
          <a:fillRect/>
        </a:stretch>
      </xdr:blipFill>
      <xdr:spPr>
        <a:xfrm>
          <a:off x="17732375" y="3105150"/>
          <a:ext cx="7153643" cy="701711"/>
        </a:xfrm>
        <a:prstGeom prst="rect">
          <a:avLst/>
        </a:prstGeom>
      </xdr:spPr>
    </xdr:pic>
    <xdr:clientData/>
  </xdr:twoCellAnchor>
  <xdr:twoCellAnchor editAs="oneCell">
    <xdr:from>
      <xdr:col>18</xdr:col>
      <xdr:colOff>466725</xdr:colOff>
      <xdr:row>107</xdr:row>
      <xdr:rowOff>130175</xdr:rowOff>
    </xdr:from>
    <xdr:to>
      <xdr:col>30</xdr:col>
      <xdr:colOff>419479</xdr:colOff>
      <xdr:row>111</xdr:row>
      <xdr:rowOff>152440</xdr:rowOff>
    </xdr:to>
    <xdr:pic>
      <xdr:nvPicPr>
        <xdr:cNvPr id="5" name="Picture 4">
          <a:extLst>
            <a:ext uri="{FF2B5EF4-FFF2-40B4-BE49-F238E27FC236}">
              <a16:creationId xmlns:a16="http://schemas.microsoft.com/office/drawing/2014/main" id="{59B9FC8B-FCFD-472E-86C1-C8DB347B41E5}"/>
            </a:ext>
          </a:extLst>
        </xdr:cNvPr>
        <xdr:cNvPicPr>
          <a:picLocks noChangeAspect="1"/>
        </xdr:cNvPicPr>
      </xdr:nvPicPr>
      <xdr:blipFill>
        <a:blip xmlns:r="http://schemas.openxmlformats.org/officeDocument/2006/relationships" r:embed="rId2"/>
        <a:stretch>
          <a:fillRect/>
        </a:stretch>
      </xdr:blipFill>
      <xdr:spPr>
        <a:xfrm>
          <a:off x="16668750" y="2613025"/>
          <a:ext cx="7382254" cy="771565"/>
        </a:xfrm>
        <a:prstGeom prst="rect">
          <a:avLst/>
        </a:prstGeom>
      </xdr:spPr>
    </xdr:pic>
    <xdr:clientData/>
  </xdr:twoCellAnchor>
  <xdr:twoCellAnchor editAs="oneCell">
    <xdr:from>
      <xdr:col>18</xdr:col>
      <xdr:colOff>377825</xdr:colOff>
      <xdr:row>101</xdr:row>
      <xdr:rowOff>79375</xdr:rowOff>
    </xdr:from>
    <xdr:to>
      <xdr:col>30</xdr:col>
      <xdr:colOff>194047</xdr:colOff>
      <xdr:row>105</xdr:row>
      <xdr:rowOff>80683</xdr:rowOff>
    </xdr:to>
    <xdr:pic>
      <xdr:nvPicPr>
        <xdr:cNvPr id="6" name="Picture 5">
          <a:extLst>
            <a:ext uri="{FF2B5EF4-FFF2-40B4-BE49-F238E27FC236}">
              <a16:creationId xmlns:a16="http://schemas.microsoft.com/office/drawing/2014/main" id="{76DF5A24-9A4B-C1B1-4351-4AA5D8070835}"/>
            </a:ext>
          </a:extLst>
        </xdr:cNvPr>
        <xdr:cNvPicPr>
          <a:picLocks noChangeAspect="1"/>
        </xdr:cNvPicPr>
      </xdr:nvPicPr>
      <xdr:blipFill>
        <a:blip xmlns:r="http://schemas.openxmlformats.org/officeDocument/2006/relationships" r:embed="rId3"/>
        <a:stretch>
          <a:fillRect/>
        </a:stretch>
      </xdr:blipFill>
      <xdr:spPr>
        <a:xfrm>
          <a:off x="16579850" y="1438275"/>
          <a:ext cx="7245722" cy="74616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15</xdr:col>
      <xdr:colOff>55279</xdr:colOff>
      <xdr:row>31</xdr:row>
      <xdr:rowOff>108240</xdr:rowOff>
    </xdr:from>
    <xdr:to>
      <xdr:col>27</xdr:col>
      <xdr:colOff>176338</xdr:colOff>
      <xdr:row>39</xdr:row>
      <xdr:rowOff>159556</xdr:rowOff>
    </xdr:to>
    <xdr:pic>
      <xdr:nvPicPr>
        <xdr:cNvPr id="2" name="Picture 1">
          <a:extLst>
            <a:ext uri="{FF2B5EF4-FFF2-40B4-BE49-F238E27FC236}">
              <a16:creationId xmlns:a16="http://schemas.microsoft.com/office/drawing/2014/main" id="{C4073024-E00C-CCC7-EAE2-3A4C2010654D}"/>
            </a:ext>
          </a:extLst>
        </xdr:cNvPr>
        <xdr:cNvPicPr>
          <a:picLocks noChangeAspect="1"/>
        </xdr:cNvPicPr>
      </xdr:nvPicPr>
      <xdr:blipFill>
        <a:blip xmlns:r="http://schemas.openxmlformats.org/officeDocument/2006/relationships" r:embed="rId1"/>
        <a:stretch>
          <a:fillRect/>
        </a:stretch>
      </xdr:blipFill>
      <xdr:spPr>
        <a:xfrm>
          <a:off x="15879768" y="5642842"/>
          <a:ext cx="7567877" cy="1552225"/>
        </a:xfrm>
        <a:prstGeom prst="rect">
          <a:avLst/>
        </a:prstGeom>
      </xdr:spPr>
    </xdr:pic>
    <xdr:clientData/>
  </xdr:twoCellAnchor>
  <xdr:twoCellAnchor editAs="oneCell">
    <xdr:from>
      <xdr:col>6</xdr:col>
      <xdr:colOff>619228</xdr:colOff>
      <xdr:row>13</xdr:row>
      <xdr:rowOff>162358</xdr:rowOff>
    </xdr:from>
    <xdr:to>
      <xdr:col>9</xdr:col>
      <xdr:colOff>1529788</xdr:colOff>
      <xdr:row>23</xdr:row>
      <xdr:rowOff>140780</xdr:rowOff>
    </xdr:to>
    <xdr:pic>
      <xdr:nvPicPr>
        <xdr:cNvPr id="3" name="Picture 2">
          <a:extLst>
            <a:ext uri="{FF2B5EF4-FFF2-40B4-BE49-F238E27FC236}">
              <a16:creationId xmlns:a16="http://schemas.microsoft.com/office/drawing/2014/main" id="{49BB32B1-FB95-F8C5-B5BA-F7962F621D6C}"/>
            </a:ext>
          </a:extLst>
        </xdr:cNvPr>
        <xdr:cNvPicPr>
          <a:picLocks noChangeAspect="1"/>
        </xdr:cNvPicPr>
      </xdr:nvPicPr>
      <xdr:blipFill rotWithShape="1">
        <a:blip xmlns:r="http://schemas.openxmlformats.org/officeDocument/2006/relationships" r:embed="rId2"/>
        <a:srcRect b="66546"/>
        <a:stretch/>
      </xdr:blipFill>
      <xdr:spPr>
        <a:xfrm>
          <a:off x="6839342" y="2319915"/>
          <a:ext cx="4886526" cy="1854558"/>
        </a:xfrm>
        <a:prstGeom prst="rect">
          <a:avLst/>
        </a:prstGeom>
      </xdr:spPr>
    </xdr:pic>
    <xdr:clientData/>
  </xdr:twoCellAnchor>
  <xdr:twoCellAnchor editAs="oneCell">
    <xdr:from>
      <xdr:col>16</xdr:col>
      <xdr:colOff>54117</xdr:colOff>
      <xdr:row>13</xdr:row>
      <xdr:rowOff>7217</xdr:rowOff>
    </xdr:from>
    <xdr:to>
      <xdr:col>25</xdr:col>
      <xdr:colOff>431959</xdr:colOff>
      <xdr:row>31</xdr:row>
      <xdr:rowOff>81573</xdr:rowOff>
    </xdr:to>
    <xdr:pic>
      <xdr:nvPicPr>
        <xdr:cNvPr id="4" name="Picture 3">
          <a:extLst>
            <a:ext uri="{FF2B5EF4-FFF2-40B4-BE49-F238E27FC236}">
              <a16:creationId xmlns:a16="http://schemas.microsoft.com/office/drawing/2014/main" id="{F08A4D13-3DB8-21D4-2B47-361363D3F74F}"/>
            </a:ext>
          </a:extLst>
        </xdr:cNvPr>
        <xdr:cNvPicPr>
          <a:picLocks noChangeAspect="1"/>
        </xdr:cNvPicPr>
      </xdr:nvPicPr>
      <xdr:blipFill>
        <a:blip xmlns:r="http://schemas.openxmlformats.org/officeDocument/2006/relationships" r:embed="rId3"/>
        <a:stretch>
          <a:fillRect/>
        </a:stretch>
      </xdr:blipFill>
      <xdr:spPr>
        <a:xfrm>
          <a:off x="16499174" y="2164774"/>
          <a:ext cx="5962956" cy="3451402"/>
        </a:xfrm>
        <a:prstGeom prst="rect">
          <a:avLst/>
        </a:prstGeom>
      </xdr:spPr>
    </xdr:pic>
    <xdr:clientData/>
  </xdr:twoCellAnchor>
  <xdr:twoCellAnchor editAs="oneCell">
    <xdr:from>
      <xdr:col>3</xdr:col>
      <xdr:colOff>663864</xdr:colOff>
      <xdr:row>13</xdr:row>
      <xdr:rowOff>107589</xdr:rowOff>
    </xdr:from>
    <xdr:to>
      <xdr:col>6</xdr:col>
      <xdr:colOff>323501</xdr:colOff>
      <xdr:row>24</xdr:row>
      <xdr:rowOff>68239</xdr:rowOff>
    </xdr:to>
    <xdr:pic>
      <xdr:nvPicPr>
        <xdr:cNvPr id="6" name="Picture 5">
          <a:extLst>
            <a:ext uri="{FF2B5EF4-FFF2-40B4-BE49-F238E27FC236}">
              <a16:creationId xmlns:a16="http://schemas.microsoft.com/office/drawing/2014/main" id="{9BC20B6A-33D1-82FB-423B-A8FB79D99EA2}"/>
            </a:ext>
          </a:extLst>
        </xdr:cNvPr>
        <xdr:cNvPicPr>
          <a:picLocks noChangeAspect="1"/>
        </xdr:cNvPicPr>
      </xdr:nvPicPr>
      <xdr:blipFill>
        <a:blip xmlns:r="http://schemas.openxmlformats.org/officeDocument/2006/relationships" r:embed="rId4"/>
        <a:stretch>
          <a:fillRect/>
        </a:stretch>
      </xdr:blipFill>
      <xdr:spPr>
        <a:xfrm>
          <a:off x="3131705" y="2265146"/>
          <a:ext cx="3411910" cy="20244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14</xdr:col>
      <xdr:colOff>350368</xdr:colOff>
      <xdr:row>17</xdr:row>
      <xdr:rowOff>84964</xdr:rowOff>
    </xdr:from>
    <xdr:to>
      <xdr:col>26</xdr:col>
      <xdr:colOff>282696</xdr:colOff>
      <xdr:row>25</xdr:row>
      <xdr:rowOff>139735</xdr:rowOff>
    </xdr:to>
    <xdr:pic>
      <xdr:nvPicPr>
        <xdr:cNvPr id="2" name="Picture 1">
          <a:extLst>
            <a:ext uri="{FF2B5EF4-FFF2-40B4-BE49-F238E27FC236}">
              <a16:creationId xmlns:a16="http://schemas.microsoft.com/office/drawing/2014/main" id="{2DE5C1EA-5DBA-411B-ACD6-05D4314E6F3F}"/>
            </a:ext>
          </a:extLst>
        </xdr:cNvPr>
        <xdr:cNvPicPr>
          <a:picLocks noChangeAspect="1"/>
        </xdr:cNvPicPr>
      </xdr:nvPicPr>
      <xdr:blipFill>
        <a:blip xmlns:r="http://schemas.openxmlformats.org/officeDocument/2006/relationships" r:embed="rId1"/>
        <a:stretch>
          <a:fillRect/>
        </a:stretch>
      </xdr:blipFill>
      <xdr:spPr>
        <a:xfrm>
          <a:off x="15536706" y="3376232"/>
          <a:ext cx="7570215" cy="1557306"/>
        </a:xfrm>
        <a:prstGeom prst="rect">
          <a:avLst/>
        </a:prstGeom>
      </xdr:spPr>
    </xdr:pic>
    <xdr:clientData/>
  </xdr:twoCellAnchor>
  <xdr:twoCellAnchor editAs="oneCell">
    <xdr:from>
      <xdr:col>9</xdr:col>
      <xdr:colOff>278521</xdr:colOff>
      <xdr:row>8</xdr:row>
      <xdr:rowOff>33373</xdr:rowOff>
    </xdr:from>
    <xdr:to>
      <xdr:col>12</xdr:col>
      <xdr:colOff>3535148</xdr:colOff>
      <xdr:row>29</xdr:row>
      <xdr:rowOff>58432</xdr:rowOff>
    </xdr:to>
    <xdr:pic>
      <xdr:nvPicPr>
        <xdr:cNvPr id="3" name="Picture 2">
          <a:extLst>
            <a:ext uri="{FF2B5EF4-FFF2-40B4-BE49-F238E27FC236}">
              <a16:creationId xmlns:a16="http://schemas.microsoft.com/office/drawing/2014/main" id="{60171468-5BCA-0C29-9962-554C25380A10}"/>
            </a:ext>
          </a:extLst>
        </xdr:cNvPr>
        <xdr:cNvPicPr>
          <a:picLocks noChangeAspect="1"/>
        </xdr:cNvPicPr>
      </xdr:nvPicPr>
      <xdr:blipFill rotWithShape="1">
        <a:blip xmlns:r="http://schemas.openxmlformats.org/officeDocument/2006/relationships" r:embed="rId2"/>
        <a:srcRect b="3780"/>
        <a:stretch/>
      </xdr:blipFill>
      <xdr:spPr>
        <a:xfrm>
          <a:off x="9002663" y="1644567"/>
          <a:ext cx="8450359" cy="400565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11</xdr:col>
      <xdr:colOff>1321765</xdr:colOff>
      <xdr:row>16</xdr:row>
      <xdr:rowOff>161620</xdr:rowOff>
    </xdr:from>
    <xdr:to>
      <xdr:col>17</xdr:col>
      <xdr:colOff>34439</xdr:colOff>
      <xdr:row>25</xdr:row>
      <xdr:rowOff>17587</xdr:rowOff>
    </xdr:to>
    <xdr:pic>
      <xdr:nvPicPr>
        <xdr:cNvPr id="2" name="Picture 1">
          <a:extLst>
            <a:ext uri="{FF2B5EF4-FFF2-40B4-BE49-F238E27FC236}">
              <a16:creationId xmlns:a16="http://schemas.microsoft.com/office/drawing/2014/main" id="{845B6AA8-7A68-4E76-9905-C5A46AD83A65}"/>
            </a:ext>
          </a:extLst>
        </xdr:cNvPr>
        <xdr:cNvPicPr>
          <a:picLocks noChangeAspect="1"/>
        </xdr:cNvPicPr>
      </xdr:nvPicPr>
      <xdr:blipFill>
        <a:blip xmlns:r="http://schemas.openxmlformats.org/officeDocument/2006/relationships" r:embed="rId1"/>
        <a:stretch>
          <a:fillRect/>
        </a:stretch>
      </xdr:blipFill>
      <xdr:spPr>
        <a:xfrm>
          <a:off x="11999040" y="3279541"/>
          <a:ext cx="7559865" cy="1557625"/>
        </a:xfrm>
        <a:prstGeom prst="rect">
          <a:avLst/>
        </a:prstGeom>
      </xdr:spPr>
    </xdr:pic>
    <xdr:clientData/>
  </xdr:twoCellAnchor>
  <xdr:twoCellAnchor editAs="oneCell">
    <xdr:from>
      <xdr:col>4</xdr:col>
      <xdr:colOff>96320</xdr:colOff>
      <xdr:row>8</xdr:row>
      <xdr:rowOff>124638</xdr:rowOff>
    </xdr:from>
    <xdr:to>
      <xdr:col>7</xdr:col>
      <xdr:colOff>490279</xdr:colOff>
      <xdr:row>34</xdr:row>
      <xdr:rowOff>187250</xdr:rowOff>
    </xdr:to>
    <xdr:pic>
      <xdr:nvPicPr>
        <xdr:cNvPr id="4" name="Picture 3">
          <a:extLst>
            <a:ext uri="{FF2B5EF4-FFF2-40B4-BE49-F238E27FC236}">
              <a16:creationId xmlns:a16="http://schemas.microsoft.com/office/drawing/2014/main" id="{5C9DFA7F-A7D8-BBFA-4D7E-EE4CE93F7564}"/>
            </a:ext>
          </a:extLst>
        </xdr:cNvPr>
        <xdr:cNvPicPr>
          <a:picLocks noChangeAspect="1"/>
        </xdr:cNvPicPr>
      </xdr:nvPicPr>
      <xdr:blipFill>
        <a:blip xmlns:r="http://schemas.openxmlformats.org/officeDocument/2006/relationships" r:embed="rId2"/>
        <a:stretch>
          <a:fillRect/>
        </a:stretch>
      </xdr:blipFill>
      <xdr:spPr>
        <a:xfrm>
          <a:off x="3285590" y="1729975"/>
          <a:ext cx="3939970" cy="497851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234438</xdr:colOff>
      <xdr:row>19</xdr:row>
      <xdr:rowOff>86933</xdr:rowOff>
    </xdr:from>
    <xdr:to>
      <xdr:col>8</xdr:col>
      <xdr:colOff>834241</xdr:colOff>
      <xdr:row>27</xdr:row>
      <xdr:rowOff>124988</xdr:rowOff>
    </xdr:to>
    <xdr:pic>
      <xdr:nvPicPr>
        <xdr:cNvPr id="2" name="Picture 1">
          <a:extLst>
            <a:ext uri="{FF2B5EF4-FFF2-40B4-BE49-F238E27FC236}">
              <a16:creationId xmlns:a16="http://schemas.microsoft.com/office/drawing/2014/main" id="{C1A51750-FBE9-4629-A9E6-CE271E4F0104}"/>
            </a:ext>
          </a:extLst>
        </xdr:cNvPr>
        <xdr:cNvPicPr>
          <a:picLocks noChangeAspect="1"/>
        </xdr:cNvPicPr>
      </xdr:nvPicPr>
      <xdr:blipFill>
        <a:blip xmlns:r="http://schemas.openxmlformats.org/officeDocument/2006/relationships" r:embed="rId1"/>
        <a:stretch>
          <a:fillRect/>
        </a:stretch>
      </xdr:blipFill>
      <xdr:spPr>
        <a:xfrm>
          <a:off x="854319" y="3768421"/>
          <a:ext cx="7581023" cy="1549960"/>
        </a:xfrm>
        <a:prstGeom prst="rect">
          <a:avLst/>
        </a:prstGeom>
      </xdr:spPr>
    </xdr:pic>
    <xdr:clientData/>
  </xdr:twoCellAnchor>
  <xdr:twoCellAnchor editAs="oneCell">
    <xdr:from>
      <xdr:col>1</xdr:col>
      <xdr:colOff>389370</xdr:colOff>
      <xdr:row>10</xdr:row>
      <xdr:rowOff>26459</xdr:rowOff>
    </xdr:from>
    <xdr:to>
      <xdr:col>8</xdr:col>
      <xdr:colOff>841811</xdr:colOff>
      <xdr:row>18</xdr:row>
      <xdr:rowOff>31080</xdr:rowOff>
    </xdr:to>
    <xdr:pic>
      <xdr:nvPicPr>
        <xdr:cNvPr id="4" name="Picture 3">
          <a:extLst>
            <a:ext uri="{FF2B5EF4-FFF2-40B4-BE49-F238E27FC236}">
              <a16:creationId xmlns:a16="http://schemas.microsoft.com/office/drawing/2014/main" id="{E6250737-55C7-ACDC-51FB-1EAB8B1604BE}"/>
            </a:ext>
          </a:extLst>
        </xdr:cNvPr>
        <xdr:cNvPicPr>
          <a:picLocks noChangeAspect="1"/>
        </xdr:cNvPicPr>
      </xdr:nvPicPr>
      <xdr:blipFill>
        <a:blip xmlns:r="http://schemas.openxmlformats.org/officeDocument/2006/relationships" r:embed="rId2"/>
        <a:stretch>
          <a:fillRect/>
        </a:stretch>
      </xdr:blipFill>
      <xdr:spPr>
        <a:xfrm>
          <a:off x="1009251" y="2007054"/>
          <a:ext cx="7433661" cy="151652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energyae2.sharepoint.com/Files/Projects06/AE426_ApricusCalculator/03-TRNSYS/AE000_TRNSYS_Tool_V2.33.xlsm" TargetMode="External"/><Relationship Id="rId1" Type="http://schemas.openxmlformats.org/officeDocument/2006/relationships/externalLinkPath" Target="/Files/Projects06/AE428_Accredited_Power_Saver_Co/02-Client_Material/AE000_TRNSYS_Tool_V2.33.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omHPdata"/>
      <sheetName val="PumpFlow"/>
      <sheetName val="Start Here"/>
      <sheetName val="Contacts"/>
      <sheetName val="Changes Log"/>
      <sheetName val="FAM_PCG"/>
      <sheetName val="FAM_PCHX"/>
      <sheetName val="FAM_TSE"/>
      <sheetName val="FAM_TSG"/>
      <sheetName val="FAM_TSHX"/>
      <sheetName val="FAM_HP"/>
      <sheetName val="FAM_COM"/>
      <sheetName val="1D_Analyser"/>
      <sheetName val="Res_Results"/>
      <sheetName val="CertificateSummary"/>
      <sheetName val="ResultsSummary_HP"/>
      <sheetName val="Com_Results"/>
      <sheetName val="ResultsSummary_Com"/>
      <sheetName val="FAM_HPS"/>
      <sheetName val="Sheet1"/>
      <sheetName val="FAM_PCE"/>
      <sheetName val="ComHPdata_CHP80-90"/>
      <sheetName val="DTHX_DATA"/>
      <sheetName val="FP_DATA"/>
      <sheetName val="Control_Logic"/>
      <sheetName val="Factors"/>
      <sheetName val="Templates"/>
      <sheetName val="DTHX_Solution"/>
      <sheetName val="Calibration_Report"/>
      <sheetName val="TDS"/>
      <sheetName val="COP Compare"/>
      <sheetName val="Power Compare"/>
      <sheetName val="Cap Compare"/>
      <sheetName val="TDS_Com"/>
      <sheetName val="2D_Analyser"/>
      <sheetName val="CPL_Solution"/>
      <sheetName val="TankHeatLoss"/>
      <sheetName val="Regression"/>
      <sheetName val="COPs"/>
      <sheetName val="COP"/>
      <sheetName val="Tank Volumes"/>
      <sheetName val="DTHX_EE-HWS-RCHP_EE-HWS-200"/>
      <sheetName val="FP_EE-HWS-RCHP_EE-HWS-200"/>
    </sheetNames>
    <sheetDataSet>
      <sheetData sheetId="0" refreshError="1"/>
      <sheetData sheetId="1" refreshError="1"/>
      <sheetData sheetId="2"/>
      <sheetData sheetId="3"/>
      <sheetData sheetId="4"/>
      <sheetData sheetId="5" refreshError="1"/>
      <sheetData sheetId="6" refreshError="1"/>
      <sheetData sheetId="7" refreshError="1"/>
      <sheetData sheetId="8" refreshError="1"/>
      <sheetData sheetId="9" refreshError="1"/>
      <sheetData sheetId="10" refreshError="1"/>
      <sheetData sheetId="11">
        <row r="6">
          <cell r="D6" t="str">
            <v>SystemType</v>
          </cell>
          <cell r="E6" t="str">
            <v>Separate_HP_Map_VariableFlow</v>
          </cell>
          <cell r="F6" t="str">
            <v>Separate_HP_Map_VariableFlow</v>
          </cell>
          <cell r="G6" t="str">
            <v>Separate_HP_Map_VariableFlow</v>
          </cell>
          <cell r="H6" t="str">
            <v>Separate_HP_Map_VariableFlow</v>
          </cell>
          <cell r="I6" t="str">
            <v>Separate_HP_Map_VariableFlow</v>
          </cell>
          <cell r="J6" t="str">
            <v>Separate_HP_Map_VariableFlow</v>
          </cell>
          <cell r="K6" t="str">
            <v>Separate_HP_Map_VariableFlow</v>
          </cell>
          <cell r="L6" t="str">
            <v>Separate_HP_Map_VariableFlow</v>
          </cell>
          <cell r="M6" t="str">
            <v>Separate_HP_Map_VariableFlow</v>
          </cell>
          <cell r="N6" t="str">
            <v>Separate_HP_Map_VariableFlow</v>
          </cell>
          <cell r="O6" t="str">
            <v>Separate_HP_Map_VariableFlow</v>
          </cell>
          <cell r="P6" t="str">
            <v>Separate_HP_Map_VariableFlow</v>
          </cell>
          <cell r="Q6" t="str">
            <v>Separate_HP_Map_VariableFlow</v>
          </cell>
          <cell r="R6" t="str">
            <v>Separate_HP_Map_VariableFlow</v>
          </cell>
          <cell r="S6" t="str">
            <v>Separate_HP_Map_VariableFlow</v>
          </cell>
          <cell r="T6" t="str">
            <v>Separate_HP_Map_VariableFlow</v>
          </cell>
          <cell r="U6" t="str">
            <v>Separate_HP_Map_VariableFlow</v>
          </cell>
          <cell r="V6" t="str">
            <v>Separate_HP_Map_VariableFlow</v>
          </cell>
          <cell r="W6" t="str">
            <v>Separate_HP_Map_VariableFlow</v>
          </cell>
          <cell r="X6" t="str">
            <v>Separate_HP_Map_VariableFlow</v>
          </cell>
        </row>
      </sheetData>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persons/person.xml><?xml version="1.0" encoding="utf-8"?>
<personList xmlns="http://schemas.microsoft.com/office/spreadsheetml/2018/threadedcomments" xmlns:x="http://schemas.openxmlformats.org/spreadsheetml/2006/main">
  <person displayName="Hannah Murphy" id="{65DFA5CF-F96B-464A-B68D-0E4368D32AFB}" userId="S::hannah.murphy@energyae.com::c179313f-52a7-4b16-8764-cc5a71321237"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14D57E0-BCDB-4C09-A0B1-5F75CC8B29D2}" name="VEU_Activities" displayName="VEU_Activities" ref="A3:G13" totalsRowShown="0" headerRowDxfId="118" headerRowBorderDxfId="117" tableBorderDxfId="116" totalsRowBorderDxfId="115">
  <autoFilter ref="A3:G13" xr:uid="{314D57E0-BCDB-4C09-A0B1-5F75CC8B29D2}"/>
  <tableColumns count="7">
    <tableColumn id="1" xr3:uid="{7FBE7AB6-4982-40BE-BC25-8C015F0CE22D}" name="Activity" dataDxfId="114"/>
    <tableColumn id="2" xr3:uid="{5C0637CB-04A4-4B56-B9F4-8794693D9C0C}" name="Description" dataDxfId="113"/>
    <tableColumn id="3" xr3:uid="{8488A79D-BC0D-411D-94BC-F21804F22C3B}" name="Region" dataDxfId="112"/>
    <tableColumn id="4" xr3:uid="{4B3192C3-361F-4736-BCB1-F8096A17D11E}" name="Load Size" dataDxfId="111"/>
    <tableColumn id="5" xr3:uid="{E12FEEA4-CF9D-4B86-94E0-1FDF7DE6D5EC}" name="Abatement" dataDxfId="110" dataCellStyle="Input"/>
    <tableColumn id="6" xr3:uid="{33133E0E-1555-4959-84A3-C321F57D6511}" name="SEF" dataDxfId="109" dataCellStyle="Input"/>
    <tableColumn id="7" xr3:uid="{0BCD32DE-F5AB-4E83-9031-6E37D6E7FFCE}" name="AEF" dataDxfId="108" dataCellStyle="Input"/>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4C89850-34E7-41D8-9BC8-0780266C52AE}" name="GWP_Refrigerants" displayName="GWP_Refrigerants" ref="V10:W110" totalsRowShown="0" headerRowDxfId="107" headerRowBorderDxfId="106" tableBorderDxfId="105" totalsRowBorderDxfId="104">
  <autoFilter ref="V10:W110" xr:uid="{24C89850-34E7-41D8-9BC8-0780266C52AE}"/>
  <tableColumns count="2">
    <tableColumn id="1" xr3:uid="{95F05C13-03A7-4E40-99AB-379B0796A766}" name="Refrigerant Type" dataDxfId="103"/>
    <tableColumn id="3" xr3:uid="{3B7532D7-5C33-45E7-A70C-69262524159C}" name="GWP" dataDxfId="102" dataCellStyle="Input"/>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55C825F-36FB-4ECC-84F6-3D037FE172FD}" name="Table3" displayName="Table3" ref="AI4:AM12" totalsRowShown="0" headerRowDxfId="101" headerRowBorderDxfId="100" tableBorderDxfId="99" totalsRowBorderDxfId="98">
  <autoFilter ref="AI4:AM12" xr:uid="{B55C825F-36FB-4ECC-84F6-3D037FE172FD}"/>
  <tableColumns count="5">
    <tableColumn id="1" xr3:uid="{D81DD73E-EFB1-446C-9682-532BE2483587}" name="Existing Lamp and/or Luminaire" dataDxfId="97"/>
    <tableColumn id="3" xr3:uid="{B247A1CC-3351-4DFF-AC40-B35DC54B320A}" name="New Lamp and/or Luminaire" dataDxfId="96"/>
    <tableColumn id="4" xr3:uid="{308D9752-27C1-4D67-9FD7-421D8CC8AA81}" name="New Lamp Circuit Power ≤5 W" dataDxfId="95"/>
    <tableColumn id="5" xr3:uid="{6BDEC418-5653-4794-89E9-812E741B40D2}" name="5W &lt; New Lamp Circuit Power ≤10 W" dataDxfId="94"/>
    <tableColumn id="6" xr3:uid="{A3B7582E-4DC9-47AB-AE3A-0E05ACD8BF9F}" name="10W &lt; New Lamp Circuit Power ≤15 W" dataDxfId="93"/>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FA4CDDC-6F0B-495F-8A1E-0D18AB6F3331}" name="Table_E3_Residential_Building_Electricity_Savings_Factor" displayName="Table_E3_Residential_Building_Electricity_Savings_Factor" ref="AI15:AO19" totalsRowShown="0" headerRowDxfId="92" headerRowBorderDxfId="91" tableBorderDxfId="90">
  <autoFilter ref="AI15:AO19" xr:uid="{0FA4CDDC-6F0B-495F-8A1E-0D18AB6F3331}"/>
  <tableColumns count="7">
    <tableColumn id="1" xr3:uid="{484AFB4B-DABE-475F-8A82-B24B8B80947A}" name="Minimum LCP of Existing Lamp (W)" dataDxfId="89"/>
    <tableColumn id="2" xr3:uid="{CF4D8C4F-DCD8-4AE6-B0A6-40B116DD74FB}" name="Max LCP of Existing Lamp (W)" dataDxfId="88"/>
    <tableColumn id="3" xr3:uid="{C66AC9D1-30E4-475A-B586-03A1A623A9E0}" name="Minimum Light output of new End-User Equipment (lm)" dataDxfId="87"/>
    <tableColumn id="4" xr3:uid="{A787DEAB-F1F2-4176-9D1D-F570CDD46127}" name="Replacement Lamp LCP ≤15 W" dataDxfId="86"/>
    <tableColumn id="5" xr3:uid="{33C6F122-2296-4FD8-A13F-7063E85EE275}" name="Replacement Lamp LCP ≤ 25 W" dataDxfId="85"/>
    <tableColumn id="6" xr3:uid="{D5F240D9-6D4E-4CCF-A246-A6F911C6DF17}" name="Replacement Lamp LCP ≤ 30 W" dataDxfId="84"/>
    <tableColumn id="7" xr3:uid="{F18BF856-6D14-48C2-B013-2DAC53A80EDA}" name="Replacement Lamp LCP ≤ 40 W" dataDxfId="83"/>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B4929345-D9BA-43D3-A0AA-AF6FBD173524}" name="Table_E5.1" displayName="Table_E5.1" ref="AI23:AY35" totalsRowShown="0" headerRowDxfId="82" dataDxfId="81" tableBorderDxfId="80">
  <autoFilter ref="AI23:AY35" xr:uid="{B4929345-D9BA-43D3-A0AA-AF6FBD173524}"/>
  <tableColumns count="17">
    <tableColumn id="1" xr3:uid="{2223AC84-0609-4F7F-AB2B-71768739DE8F}" name="Minimum Length (mm)" dataDxfId="79"/>
    <tableColumn id="2" xr3:uid="{B281971C-FE21-482F-B126-7EF696EC9B06}" name="Max Length (mm)" dataDxfId="78"/>
    <tableColumn id="3" xr3:uid="{B4BBE2AA-DB35-427C-BDE1-1C4AA2A7CDF0}" name="Number of Lamps" dataDxfId="77"/>
    <tableColumn id="4" xr3:uid="{B308A75F-7140-4B2B-8C49-959823C2AA82}" name="Min Light Output of new End-User Equipment (lm)" dataDxfId="76"/>
    <tableColumn id="5" xr3:uid="{23145F94-D3E0-4AA8-A476-FD4D36AD64A4}" name="Replacement Lamp LCP ≤10 W" dataDxfId="75"/>
    <tableColumn id="6" xr3:uid="{655D5FA2-965D-40AE-91B9-1927B548D197}" name="Replacement Lamp LCP ≤15_x000a_W" dataDxfId="74"/>
    <tableColumn id="7" xr3:uid="{E66364BE-4722-4C7A-AC04-0381721C6E76}" name="Replacement Lamp LCP ≤20_x000a_W" dataDxfId="73"/>
    <tableColumn id="8" xr3:uid="{A8C96E78-EF4C-4CA7-BDAC-94F2A34406D9}" name="Replacement Lamp LCP ≤25_x000a_W" dataDxfId="72"/>
    <tableColumn id="9" xr3:uid="{710F45BB-C90F-4EB9-85AC-331B8B4B24DA}" name="Replacement Lamp LCP ≤30_x000a_W" dataDxfId="71"/>
    <tableColumn id="10" xr3:uid="{5812E398-B4E2-4D69-9ED2-1DCD1873F9ED}" name="Replacement Lamp LCP ≤35_x000a_W" dataDxfId="70"/>
    <tableColumn id="11" xr3:uid="{691545BD-7455-4358-8698-E2526FE725D6}" name="Replacement Lamp LCP ≤40_x000a_W" dataDxfId="69"/>
    <tableColumn id="12" xr3:uid="{6763D7EB-5024-43E5-B331-574D86191E2B}" name="Replacement Lamp LCP ≤45_x000a_W" dataDxfId="68"/>
    <tableColumn id="13" xr3:uid="{379D9605-B89D-4AEE-B744-9910550BA6AA}" name="Replacement Lamp LCP ≤50_x000a_W" dataDxfId="67"/>
    <tableColumn id="14" xr3:uid="{48A1E0C8-37DA-4319-A6DA-181AA6BABC86}" name="Replacement Lamp LCP ≤60_x000a_W" dataDxfId="66"/>
    <tableColumn id="15" xr3:uid="{BA5E1761-1E88-433D-8559-403D4602CA52}" name="Replacement Lamp LCP ≤70_x000a_W" dataDxfId="65"/>
    <tableColumn id="16" xr3:uid="{55AD14D6-9B0D-41E7-AAF7-5DE99B2ADE98}" name="Replacement Lamp LCP ≤80_x000a_W" dataDxfId="64"/>
    <tableColumn id="17" xr3:uid="{B3551CD0-09B4-4DA0-B251-A93C1965A0BB}" name="Replacement Lamp LCP ≤90_x000a_W" dataDxfId="63"/>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3596AA8-3C9C-4813-839F-559DB4EC0942}" name="Table_6.11" displayName="Table_6.11" ref="BB5:BO16" totalsRowShown="0" headerRowDxfId="62" dataDxfId="60" headerRowBorderDxfId="61" tableBorderDxfId="59" totalsRowBorderDxfId="58">
  <autoFilter ref="BB5:BO16" xr:uid="{00000000-0009-0000-0100-000004000000}"/>
  <tableColumns count="14">
    <tableColumn id="1" xr3:uid="{00000000-0010-0000-0100-000001000000}" name="Scenario" dataDxfId="57"/>
    <tableColumn id="2" xr3:uid="{00000000-0010-0000-0100-000002000000}" name="GIHbase" dataDxfId="56"/>
    <tableColumn id="3" xr3:uid="{00000000-0010-0000-0100-000003000000}" name="Deemed HSPFBase GEMS Cold Zone" dataDxfId="55"/>
    <tableColumn id="4" xr3:uid="{00000000-0010-0000-0100-000004000000}" name="Deemed HSPFBase GEMS Mixed Zone" dataDxfId="54"/>
    <tableColumn id="16" xr3:uid="{3407DCE0-AE9A-42DB-942C-D63742C129FF}" name="Deemed HSPFBase GEMS Cold Zone Business" dataDxfId="53"/>
    <tableColumn id="17" xr3:uid="{610BBC2C-59A3-4D17-B120-87577C69AAF2}" name="Deemed HSPFBase GEMS Mixed Zone Business" dataDxfId="52"/>
    <tableColumn id="5" xr3:uid="{00000000-0010-0000-0100-000005000000}" name="GICbase" dataDxfId="51"/>
    <tableColumn id="6" xr3:uid="{00000000-0010-0000-0100-000006000000}" name="Deemed TCSPFBase GEMS Cold Zone" dataDxfId="50"/>
    <tableColumn id="7" xr3:uid="{00000000-0010-0000-0100-000007000000}" name="Deemed TCSPFBase GEMS Mixed Zone" dataDxfId="49"/>
    <tableColumn id="14" xr3:uid="{DA43EB47-9063-4740-8EEE-A2314D1E2304}" name="Deemed TCSPFBase GEMS Cold Zone BUSINESS" dataDxfId="48" dataCellStyle="Calculation"/>
    <tableColumn id="15" xr3:uid="{484D3DF5-13AE-477D-B464-0CBDA792BC73}" name="Deemed TCSPFBase GEMS Mixed Zone BUSINESS" dataDxfId="47" dataCellStyle="Calculation"/>
    <tableColumn id="8" xr3:uid="{00000000-0010-0000-0100-000008000000}" name="GIHupgrade and GICupgrade" dataDxfId="46"/>
    <tableColumn id="9" xr3:uid="{77B9EFE9-A5FC-49AF-B214-D15A25469CA2}" name="Max Heating Capacity (kW)" dataDxfId="45"/>
    <tableColumn id="10" xr3:uid="{78E99FEA-3708-4ECF-B280-77B86EF5FB55}" name="Max Cooling Capacity (kW)" dataDxfId="44"/>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64F004F-4E7B-4853-8751-91F5D095EC46}" name="Table_6.10" displayName="Table_6.10" ref="BB19:BD24" totalsRowShown="0" headerRowDxfId="43" dataDxfId="41" headerRowBorderDxfId="42">
  <autoFilter ref="BB19:BD24" xr:uid="{00000000-0009-0000-0100-000005000000}"/>
  <tableColumns count="3">
    <tableColumn id="1" xr3:uid="{00000000-0010-0000-0200-000001000000}" name="Victoria Region" dataDxfId="40"/>
    <tableColumn id="2" xr3:uid="{00000000-0010-0000-0200-000002000000}" name="Climatic region" dataDxfId="39"/>
    <tableColumn id="3" xr3:uid="{00000000-0010-0000-0200-000003000000}" name="GEMS 2019 Climate Zone" dataDxfId="38"/>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7930628E-7BE8-40DD-83DB-01483F2AF828}" name="Table_6.15" displayName="Table_6.15" ref="BB27:BG30" totalsRowShown="0" headerRowDxfId="37" headerRowBorderDxfId="36" tableBorderDxfId="35">
  <autoFilter ref="BB27:BG30" xr:uid="{F0410FEF-118D-4E84-B38B-D8BCDF047D1F}"/>
  <tableColumns count="6">
    <tableColumn id="4" xr3:uid="{C3F7758D-FAC9-45B9-8664-14E0F2FA0C52}" name="Cat." dataDxfId="34"/>
    <tableColumn id="1" xr3:uid="{24A67047-F110-4306-9E36-414A27628545}" name="Climatic region" dataDxfId="33"/>
    <tableColumn id="2" xr3:uid="{27E13002-923C-464F-A536-6D75C450ED68}" name="Residential Heating CFH" dataDxfId="32"/>
    <tableColumn id="3" xr3:uid="{17662830-BE72-457F-9E54-21663650BB71}" name="Residential Cooling CFC" dataDxfId="31"/>
    <tableColumn id="5" xr3:uid="{3503FE4A-0BC3-4129-8433-3D7911483A8F}" name="Business Heating CFH" dataDxfId="30"/>
    <tableColumn id="6" xr3:uid="{DE80F047-BE02-47AC-B023-752E6E6526DE}" name="Business Cooling CFC" dataDxfId="29"/>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8182EBD-2174-40A7-A6F3-55531208E32C}" name="Table_6.5" displayName="Table_6.5" ref="BB33:BD44" totalsRowShown="0" headerRowDxfId="28" dataDxfId="26" headerRowBorderDxfId="27" tableBorderDxfId="25" totalsRowBorderDxfId="24">
  <autoFilter ref="BB33:BD44" xr:uid="{1531233F-C29A-4402-8111-4B7326EE659C}"/>
  <tableColumns count="3">
    <tableColumn id="1" xr3:uid="{8F275760-B284-476F-96F2-7C7D67D698D6}" name="Scenario" dataDxfId="23"/>
    <tableColumn id="2" xr3:uid="{C5536D74-5344-41E8-A2B1-5F865D5367CD}" name="Lifetime (years)" dataDxfId="22"/>
    <tableColumn id="3" xr3:uid="{EBBE0E8F-4646-4B53-B705-A3146BA27292}" name="Decommissioned Product" dataDxfId="21"/>
  </tableColumns>
  <tableStyleInfo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C006831F-B259-4C2C-9B52-DE239871CE95}" name="VEU_Electricity_Emissions_Factors" displayName="VEU_Electricity_Emissions_Factors" ref="Q10:T15" totalsRowShown="0" headerRowDxfId="20" headerRowBorderDxfId="19" tableBorderDxfId="18">
  <autoFilter ref="Q10:T15" xr:uid="{C006831F-B259-4C2C-9B52-DE239871CE95}"/>
  <tableColumns count="4">
    <tableColumn id="1" xr3:uid="{84F500D7-8006-4435-8378-32AF3AD9B87E}" name="Start Date" dataDxfId="17">
      <calculatedColumnFormula>R10+1</calculatedColumnFormula>
    </tableColumn>
    <tableColumn id="2" xr3:uid="{7CAD7242-E102-461C-AF97-C5917C8D4FC2}" name="End Date" dataDxfId="16"/>
    <tableColumn id="3" xr3:uid="{2EA7C222-0780-44E3-B6FE-2D15D68C3EAB}" name="EEFs" dataDxfId="15" dataCellStyle="Input"/>
    <tableColumn id="4" xr3:uid="{74354FBE-C224-485E-AACB-A5F8C657EF51}" name="EEFm" dataDxfId="14" dataCellStyle="Input"/>
  </tableColumns>
  <tableStyleInfo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L6" dT="2024-05-29T06:05:58.69" personId="{65DFA5CF-F96B-464A-B68D-0E4368D32AFB}" id="{AC02C712-E1C1-4D8E-A712-5939F553257D}">
    <text>Not sure about lamp replaced, is it 1 for 1</text>
  </threadedComment>
</ThreadedComments>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demandmanager.com.au/certificate-prices/"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energyae.com/resources/calculators/ess-d17-19" TargetMode="External"/><Relationship Id="rId2" Type="http://schemas.openxmlformats.org/officeDocument/2006/relationships/hyperlink" Target="https://www.energyae.com/resources/calculators/sres" TargetMode="External"/><Relationship Id="rId1" Type="http://schemas.openxmlformats.org/officeDocument/2006/relationships/hyperlink" Target="https://www.energyae.com/resources/calculators/veu-1d-3c"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www.energyae.com/resources/calculators/ess-f16-17-calculator" TargetMode="External"/><Relationship Id="rId2" Type="http://schemas.openxmlformats.org/officeDocument/2006/relationships/hyperlink" Target="https://www.energyae.com/resources/calculators/veu-44" TargetMode="External"/><Relationship Id="rId1" Type="http://schemas.openxmlformats.org/officeDocument/2006/relationships/hyperlink" Target="https://www.energyae.com/resources/calculators/sres" TargetMode="Externa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6.xml"/><Relationship Id="rId1" Type="http://schemas.openxmlformats.org/officeDocument/2006/relationships/printerSettings" Target="../printerSettings/printerSettings12.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8" Type="http://schemas.openxmlformats.org/officeDocument/2006/relationships/hyperlink" Target="https://www.nathers.gov.au/sites/default/files/2023-06/WoH%20Calculation%20Method%20WIP%2020230609.pdf" TargetMode="External"/><Relationship Id="rId3" Type="http://schemas.openxmlformats.org/officeDocument/2006/relationships/hyperlink" Target="https://www.demandmanager.com.au/certificate-prices/" TargetMode="External"/><Relationship Id="rId7" Type="http://schemas.openxmlformats.org/officeDocument/2006/relationships/hyperlink" Target="https://www.cleanenergyregulator.gov.au/RET/Scheme-participants-and-industry/Agents-and-installers/Small-scale-systems-eligible-for-certificates/Register-of-solar-water-heaters" TargetMode="External"/><Relationship Id="rId2" Type="http://schemas.openxmlformats.org/officeDocument/2006/relationships/hyperlink" Target="https://www.energysustainabilityschemes.nsw.gov.au/Home/About-ESS/Legislation-ESS-Performance/ESS-Rule" TargetMode="External"/><Relationship Id="rId1" Type="http://schemas.openxmlformats.org/officeDocument/2006/relationships/hyperlink" Target="https://www.energy.vic.gov.au/__data/assets/pdf_file/0039/728985/victorian-energy-upgrades-specifications-2018-version-19.pdf" TargetMode="External"/><Relationship Id="rId6" Type="http://schemas.openxmlformats.org/officeDocument/2006/relationships/hyperlink" Target="https://emeraldplanet.com.au/product/br-bulb-series/" TargetMode="External"/><Relationship Id="rId5" Type="http://schemas.openxmlformats.org/officeDocument/2006/relationships/hyperlink" Target="https://emeraldplanet.com.au/newdata/pdf/Emerald_Planet_Traditional_Plus.pdf" TargetMode="External"/><Relationship Id="rId10" Type="http://schemas.openxmlformats.org/officeDocument/2006/relationships/hyperlink" Target="http://www.ecomatters.com.au/h-pd-90.html" TargetMode="External"/><Relationship Id="rId4" Type="http://schemas.openxmlformats.org/officeDocument/2006/relationships/hyperlink" Target="https://www.esc.vic.gov.au/sites/default/files/documents/PBL%20-%20Commercial%20and%20Industrial%20Air%20Source%20Heat%20Pump%20Water%20Heater%20Product%20Application%20Guide%20V1.3~%2020230629.pdf" TargetMode="External"/><Relationship Id="rId9" Type="http://schemas.openxmlformats.org/officeDocument/2006/relationships/hyperlink" Target="https://www.esc.vic.gov.au/sites/default/files/documents/C%2018%2024089%20%20Final%20-%20OTH%20-%20Water%20Heating%20and%20Space%20Heating%20Cooling%20Product%20Application%20Guide%20-%20V%202.7%20-20220919_0.pdf" TargetMode="External"/></Relationships>
</file>

<file path=xl/worksheets/_rels/sheet19.xml.rels><?xml version="1.0" encoding="UTF-8" standalone="yes"?>
<Relationships xmlns="http://schemas.openxmlformats.org/package/2006/relationships"><Relationship Id="rId8" Type="http://schemas.openxmlformats.org/officeDocument/2006/relationships/table" Target="../tables/table6.xml"/><Relationship Id="rId13" Type="http://schemas.openxmlformats.org/officeDocument/2006/relationships/comments" Target="../comments3.xml"/><Relationship Id="rId3" Type="http://schemas.openxmlformats.org/officeDocument/2006/relationships/table" Target="../tables/table1.xml"/><Relationship Id="rId7" Type="http://schemas.openxmlformats.org/officeDocument/2006/relationships/table" Target="../tables/table5.xml"/><Relationship Id="rId12" Type="http://schemas.openxmlformats.org/officeDocument/2006/relationships/table" Target="../tables/table10.xml"/><Relationship Id="rId2" Type="http://schemas.openxmlformats.org/officeDocument/2006/relationships/vmlDrawing" Target="../drawings/vmlDrawing3.vml"/><Relationship Id="rId1" Type="http://schemas.openxmlformats.org/officeDocument/2006/relationships/printerSettings" Target="../printerSettings/printerSettings17.bin"/><Relationship Id="rId6" Type="http://schemas.openxmlformats.org/officeDocument/2006/relationships/table" Target="../tables/table4.xml"/><Relationship Id="rId11" Type="http://schemas.openxmlformats.org/officeDocument/2006/relationships/table" Target="../tables/table9.xml"/><Relationship Id="rId5" Type="http://schemas.openxmlformats.org/officeDocument/2006/relationships/table" Target="../tables/table3.xml"/><Relationship Id="rId10" Type="http://schemas.openxmlformats.org/officeDocument/2006/relationships/table" Target="../tables/table8.xml"/><Relationship Id="rId4" Type="http://schemas.openxmlformats.org/officeDocument/2006/relationships/table" Target="../tables/table2.xml"/><Relationship Id="rId9"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F3CB57-2AA1-4EC9-8F12-5FE2A1BB1D50}">
  <sheetPr codeName="Sheet3">
    <tabColor rgb="FF92D050"/>
  </sheetPr>
  <dimension ref="B1:F47"/>
  <sheetViews>
    <sheetView topLeftCell="A32" zoomScale="66" zoomScaleNormal="85" workbookViewId="0">
      <selection activeCell="E58" sqref="E58"/>
    </sheetView>
  </sheetViews>
  <sheetFormatPr defaultColWidth="9.08984375" defaultRowHeight="14.75"/>
  <cols>
    <col min="1" max="1" width="9.08984375" style="65"/>
    <col min="2" max="2" width="12.36328125" style="65" customWidth="1"/>
    <col min="3" max="4" width="15.08984375" style="65" customWidth="1"/>
    <col min="5" max="5" width="88.81640625" style="65" customWidth="1"/>
    <col min="6" max="6" width="23.2265625" style="65" customWidth="1"/>
    <col min="7" max="16384" width="9.08984375" style="65"/>
  </cols>
  <sheetData>
    <row r="1" spans="2:5" ht="33.75">
      <c r="E1" s="110" t="s">
        <v>322</v>
      </c>
    </row>
    <row r="2" spans="2:5" ht="7.2" customHeight="1">
      <c r="C2" s="64"/>
      <c r="D2" s="64"/>
    </row>
    <row r="3" spans="2:5" ht="19.75">
      <c r="B3" s="109" t="s">
        <v>321</v>
      </c>
    </row>
    <row r="4" spans="2:5" ht="36" customHeight="1">
      <c r="B4" s="269" t="s">
        <v>323</v>
      </c>
      <c r="C4" s="269"/>
      <c r="D4" s="269"/>
      <c r="E4" s="269"/>
    </row>
    <row r="5" spans="2:5" ht="19.75">
      <c r="B5" s="109" t="s">
        <v>320</v>
      </c>
    </row>
    <row r="6" spans="2:5">
      <c r="B6" s="108" t="s">
        <v>379</v>
      </c>
    </row>
    <row r="7" spans="2:5" ht="33.450000000000003" customHeight="1">
      <c r="B7" s="270" t="s">
        <v>490</v>
      </c>
      <c r="C7" s="270"/>
      <c r="D7" s="270"/>
      <c r="E7" s="270"/>
    </row>
    <row r="8" spans="2:5" ht="3.65" customHeight="1"/>
    <row r="9" spans="2:5">
      <c r="B9" s="108" t="s">
        <v>380</v>
      </c>
    </row>
    <row r="10" spans="2:5" ht="41.7" customHeight="1">
      <c r="B10" s="270" t="s">
        <v>491</v>
      </c>
      <c r="C10" s="270"/>
      <c r="D10" s="270"/>
      <c r="E10" s="270"/>
    </row>
    <row r="11" spans="2:5" ht="3.65" customHeight="1"/>
    <row r="12" spans="2:5">
      <c r="B12" s="107" t="s">
        <v>324</v>
      </c>
    </row>
    <row r="13" spans="2:5" ht="26.7" customHeight="1">
      <c r="B13" s="270" t="s">
        <v>329</v>
      </c>
      <c r="C13" s="270"/>
      <c r="D13" s="270"/>
      <c r="E13" s="270"/>
    </row>
    <row r="14" spans="2:5" ht="6" customHeight="1"/>
    <row r="15" spans="2:5">
      <c r="B15" s="107" t="s">
        <v>703</v>
      </c>
    </row>
    <row r="16" spans="2:5">
      <c r="B16" s="270" t="s">
        <v>704</v>
      </c>
      <c r="C16" s="270"/>
      <c r="D16" s="270"/>
      <c r="E16" s="270"/>
    </row>
    <row r="17" spans="2:6" ht="6" customHeight="1">
      <c r="B17" s="106"/>
      <c r="C17" s="106"/>
      <c r="D17" s="106"/>
      <c r="E17" s="106"/>
    </row>
    <row r="18" spans="2:6">
      <c r="B18" s="107" t="s">
        <v>319</v>
      </c>
    </row>
    <row r="19" spans="2:6" ht="43" customHeight="1">
      <c r="B19" s="270" t="s">
        <v>702</v>
      </c>
      <c r="C19" s="270"/>
      <c r="D19" s="270"/>
      <c r="E19" s="270"/>
    </row>
    <row r="20" spans="2:6" ht="6.75" customHeight="1">
      <c r="B20" s="106"/>
      <c r="C20" s="106"/>
      <c r="D20" s="106"/>
      <c r="E20" s="106"/>
    </row>
    <row r="21" spans="2:6">
      <c r="B21" s="107" t="s">
        <v>554</v>
      </c>
      <c r="C21" s="106"/>
      <c r="D21" s="106"/>
      <c r="E21" s="106"/>
    </row>
    <row r="22" spans="2:6">
      <c r="B22" s="65" t="s">
        <v>556</v>
      </c>
      <c r="C22" s="106"/>
      <c r="D22" s="207"/>
      <c r="E22" s="206" t="s">
        <v>555</v>
      </c>
    </row>
    <row r="23" spans="2:6" ht="5" customHeight="1">
      <c r="B23" s="204"/>
      <c r="C23" s="106"/>
      <c r="D23" s="106"/>
      <c r="E23" s="106"/>
    </row>
    <row r="24" spans="2:6">
      <c r="B24" s="205" t="s">
        <v>354</v>
      </c>
      <c r="C24" s="205" t="s">
        <v>26</v>
      </c>
      <c r="D24" s="205" t="s">
        <v>553</v>
      </c>
    </row>
    <row r="25" spans="2:6">
      <c r="B25" s="21" t="s">
        <v>29</v>
      </c>
      <c r="C25" s="7">
        <v>39.9</v>
      </c>
      <c r="D25" s="203">
        <v>45674</v>
      </c>
    </row>
    <row r="26" spans="2:6">
      <c r="B26" s="21" t="s">
        <v>30</v>
      </c>
      <c r="C26" s="7">
        <v>112.5</v>
      </c>
      <c r="D26" s="203">
        <v>45674</v>
      </c>
    </row>
    <row r="27" spans="2:6">
      <c r="B27" s="21" t="s">
        <v>31</v>
      </c>
      <c r="C27" s="7">
        <v>14.45</v>
      </c>
      <c r="D27" s="203">
        <v>45674</v>
      </c>
    </row>
    <row r="28" spans="2:6">
      <c r="B28" s="21" t="s">
        <v>32</v>
      </c>
      <c r="C28" s="7">
        <v>2.5</v>
      </c>
      <c r="D28" s="203">
        <v>45674</v>
      </c>
    </row>
    <row r="30" spans="2:6">
      <c r="B30" s="105" t="s">
        <v>25</v>
      </c>
      <c r="C30" s="105" t="s">
        <v>66</v>
      </c>
      <c r="D30" s="275" t="s">
        <v>318</v>
      </c>
      <c r="E30" s="276"/>
      <c r="F30" s="105" t="s">
        <v>665</v>
      </c>
    </row>
    <row r="31" spans="2:6">
      <c r="B31" s="265" t="s">
        <v>39</v>
      </c>
      <c r="C31" s="102" t="s">
        <v>247</v>
      </c>
      <c r="D31" s="266" t="s">
        <v>352</v>
      </c>
      <c r="E31" s="213"/>
      <c r="F31" s="102" t="s">
        <v>707</v>
      </c>
    </row>
    <row r="32" spans="2:6">
      <c r="B32" s="272" t="s">
        <v>38</v>
      </c>
      <c r="C32" s="104" t="s">
        <v>16</v>
      </c>
      <c r="D32" s="103" t="s">
        <v>317</v>
      </c>
      <c r="E32" s="103"/>
      <c r="F32" s="102" t="s">
        <v>311</v>
      </c>
    </row>
    <row r="33" spans="2:6">
      <c r="B33" s="273"/>
      <c r="C33" s="104" t="s">
        <v>18</v>
      </c>
      <c r="D33" s="103" t="s">
        <v>316</v>
      </c>
      <c r="E33" s="103"/>
      <c r="F33" s="102" t="s">
        <v>311</v>
      </c>
    </row>
    <row r="34" spans="2:6">
      <c r="B34" s="273"/>
      <c r="C34" s="104" t="s">
        <v>190</v>
      </c>
      <c r="D34" s="103" t="s">
        <v>315</v>
      </c>
      <c r="E34" s="103"/>
      <c r="F34" s="102" t="s">
        <v>310</v>
      </c>
    </row>
    <row r="35" spans="2:6">
      <c r="B35" s="273"/>
      <c r="C35" s="104" t="s">
        <v>189</v>
      </c>
      <c r="D35" s="103" t="s">
        <v>315</v>
      </c>
      <c r="E35" s="103"/>
      <c r="F35" s="102" t="s">
        <v>310</v>
      </c>
    </row>
    <row r="36" spans="2:6">
      <c r="B36" s="273"/>
      <c r="C36" s="104" t="s">
        <v>188</v>
      </c>
      <c r="D36" s="103" t="s">
        <v>314</v>
      </c>
      <c r="E36" s="103"/>
      <c r="F36" s="102" t="s">
        <v>310</v>
      </c>
    </row>
    <row r="37" spans="2:6">
      <c r="B37" s="273"/>
      <c r="C37" s="104" t="s">
        <v>215</v>
      </c>
      <c r="D37" s="103" t="s">
        <v>325</v>
      </c>
      <c r="E37" s="103"/>
      <c r="F37" s="102" t="s">
        <v>311</v>
      </c>
    </row>
    <row r="38" spans="2:6">
      <c r="B38" s="273"/>
      <c r="C38" s="104" t="s">
        <v>244</v>
      </c>
      <c r="D38" s="103" t="s">
        <v>326</v>
      </c>
      <c r="E38" s="103"/>
      <c r="F38" s="102" t="s">
        <v>311</v>
      </c>
    </row>
    <row r="39" spans="2:6">
      <c r="B39" s="273"/>
      <c r="C39" s="104" t="s">
        <v>236</v>
      </c>
      <c r="D39" s="103" t="s">
        <v>327</v>
      </c>
      <c r="E39" s="103"/>
      <c r="F39" s="102" t="s">
        <v>311</v>
      </c>
    </row>
    <row r="40" spans="2:6">
      <c r="B40" s="274"/>
      <c r="C40" s="104" t="s">
        <v>241</v>
      </c>
      <c r="D40" s="103" t="s">
        <v>328</v>
      </c>
      <c r="E40" s="103"/>
      <c r="F40" s="102" t="s">
        <v>311</v>
      </c>
    </row>
    <row r="41" spans="2:6">
      <c r="B41" s="271" t="s">
        <v>37</v>
      </c>
      <c r="C41" s="104" t="s">
        <v>13</v>
      </c>
      <c r="D41" s="103" t="s">
        <v>313</v>
      </c>
      <c r="E41" s="103"/>
      <c r="F41" s="102" t="s">
        <v>311</v>
      </c>
    </row>
    <row r="42" spans="2:6">
      <c r="B42" s="271"/>
      <c r="C42" s="104" t="s">
        <v>68</v>
      </c>
      <c r="D42" s="103" t="s">
        <v>312</v>
      </c>
      <c r="E42" s="103"/>
      <c r="F42" s="102" t="s">
        <v>311</v>
      </c>
    </row>
    <row r="43" spans="2:6">
      <c r="B43" s="271"/>
      <c r="C43" s="104" t="s">
        <v>430</v>
      </c>
      <c r="D43" s="103" t="s">
        <v>443</v>
      </c>
      <c r="E43" s="103"/>
      <c r="F43" s="102" t="s">
        <v>310</v>
      </c>
    </row>
    <row r="44" spans="2:6">
      <c r="B44" s="271"/>
      <c r="C44" s="104" t="s">
        <v>431</v>
      </c>
      <c r="D44" s="103" t="s">
        <v>444</v>
      </c>
      <c r="E44" s="103"/>
      <c r="F44" s="102" t="s">
        <v>310</v>
      </c>
    </row>
    <row r="45" spans="2:6">
      <c r="B45" s="271"/>
      <c r="C45" s="77" t="s">
        <v>432</v>
      </c>
      <c r="D45" s="264" t="s">
        <v>445</v>
      </c>
      <c r="E45" s="103"/>
      <c r="F45" s="102" t="s">
        <v>310</v>
      </c>
    </row>
    <row r="46" spans="2:6">
      <c r="B46" s="271"/>
      <c r="C46" s="104" t="s">
        <v>706</v>
      </c>
      <c r="D46" s="103" t="s">
        <v>705</v>
      </c>
      <c r="E46" s="103"/>
      <c r="F46" s="102" t="s">
        <v>707</v>
      </c>
    </row>
    <row r="47" spans="2:6">
      <c r="B47" s="102" t="s">
        <v>429</v>
      </c>
      <c r="C47" s="102" t="s">
        <v>419</v>
      </c>
      <c r="D47" s="266" t="s">
        <v>315</v>
      </c>
      <c r="E47" s="213"/>
      <c r="F47" s="102" t="s">
        <v>310</v>
      </c>
    </row>
  </sheetData>
  <mergeCells count="9">
    <mergeCell ref="B4:E4"/>
    <mergeCell ref="B7:E7"/>
    <mergeCell ref="B13:E13"/>
    <mergeCell ref="B19:E19"/>
    <mergeCell ref="B41:B46"/>
    <mergeCell ref="B32:B40"/>
    <mergeCell ref="B10:E10"/>
    <mergeCell ref="D30:E30"/>
    <mergeCell ref="B16:E16"/>
  </mergeCells>
  <hyperlinks>
    <hyperlink ref="E22" r:id="rId1" display="Certificate prices fluctuate depending on supply and demand. Update certificate prices on Demand Manager to get the most accurate rebate." xr:uid="{691ED36E-E0E3-4C6A-A4BD-2552EB6380AB}"/>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0D100B-FCC3-41D4-891E-CDEEB2CEA68C}">
  <sheetPr codeName="Sheet1">
    <tabColor rgb="FF43CEFF"/>
  </sheetPr>
  <dimension ref="A1:I50"/>
  <sheetViews>
    <sheetView topLeftCell="A5" zoomScale="90" zoomScaleNormal="90" workbookViewId="0">
      <selection activeCell="G26" sqref="G26:G29"/>
    </sheetView>
  </sheetViews>
  <sheetFormatPr defaultColWidth="8.76953125" defaultRowHeight="14.75"/>
  <cols>
    <col min="1" max="1" width="8.76953125" style="123"/>
    <col min="2" max="2" width="28.86328125" style="123" bestFit="1" customWidth="1"/>
    <col min="3" max="3" width="30.6796875" style="123" bestFit="1" customWidth="1"/>
    <col min="4" max="4" width="18.2265625" style="123" bestFit="1" customWidth="1"/>
    <col min="5" max="5" width="14.90625" style="123" customWidth="1"/>
    <col min="6" max="6" width="9.31640625" style="123" bestFit="1" customWidth="1"/>
    <col min="7" max="7" width="51.31640625" style="123" bestFit="1" customWidth="1"/>
    <col min="8" max="8" width="14.31640625" style="123" customWidth="1"/>
    <col min="9" max="9" width="12.08984375" style="123" bestFit="1" customWidth="1"/>
    <col min="10" max="10" width="18.2265625" style="123" customWidth="1"/>
    <col min="11" max="11" width="13.76953125" style="123" bestFit="1" customWidth="1"/>
    <col min="12" max="12" width="13.86328125" style="123" bestFit="1" customWidth="1"/>
    <col min="13" max="13" width="12.76953125" style="123" bestFit="1" customWidth="1"/>
    <col min="14" max="14" width="13.2265625" style="123" bestFit="1" customWidth="1"/>
    <col min="15" max="15" width="13" style="123" customWidth="1"/>
    <col min="16" max="16384" width="8.76953125" style="123"/>
  </cols>
  <sheetData>
    <row r="1" spans="2:4" ht="26">
      <c r="B1" s="136" t="s">
        <v>715</v>
      </c>
    </row>
    <row r="2" spans="2:4" ht="26">
      <c r="B2" s="136"/>
    </row>
    <row r="3" spans="2:4">
      <c r="B3" s="131" t="s">
        <v>426</v>
      </c>
    </row>
    <row r="4" spans="2:4">
      <c r="B4" s="4" t="s">
        <v>362</v>
      </c>
      <c r="D4" s="133">
        <v>3000</v>
      </c>
    </row>
    <row r="5" spans="2:4">
      <c r="C5" s="160" t="s">
        <v>364</v>
      </c>
      <c r="D5" s="11" t="str">
        <f>INDEX(Factors!$Z$3:$AE$4756,MATCH('HP Residential Calculator'!$D$4,Postcodes,0),MATCH('HP Residential Calculator'!C5,Postcode_Headings,0))</f>
        <v>VIC</v>
      </c>
    </row>
    <row r="6" spans="2:4">
      <c r="C6" s="149" t="s">
        <v>71</v>
      </c>
      <c r="D6" s="11" t="str">
        <f>INDEX(Factors!$Z$3:$AE$4756,MATCH('HP Residential Calculator'!$D$4,Postcodes,0),MATCH('HP Residential Calculator'!C6,Postcode_Headings,0))</f>
        <v>Metropolitan</v>
      </c>
    </row>
    <row r="7" spans="2:4">
      <c r="C7" s="149" t="s">
        <v>386</v>
      </c>
      <c r="D7" s="11" t="str">
        <f>INDEX(Factors!$Z$3:$Z$4756,MATCH('HP Residential Calculator'!$D$4,Postcodes,0))</f>
        <v>HP4-AU</v>
      </c>
    </row>
    <row r="8" spans="2:4">
      <c r="C8" s="149" t="s">
        <v>381</v>
      </c>
      <c r="D8" s="11" t="str">
        <f>INDEX(Factors!$AA$3:$AA$4756,MATCH('HP Residential Calculator'!$D$4,Postcodes,0))</f>
        <v>-</v>
      </c>
    </row>
    <row r="9" spans="2:4">
      <c r="C9" s="149" t="s">
        <v>377</v>
      </c>
      <c r="D9" s="11" t="str">
        <f>INDEX(Factors!$AB$3:$AB$4756,MATCH('HP Residential Calculator'!$D$4,Postcodes,0))</f>
        <v>-</v>
      </c>
    </row>
    <row r="10" spans="2:4">
      <c r="C10" s="149" t="s">
        <v>378</v>
      </c>
      <c r="D10" s="11">
        <f>INDEX(Factors!$AC$3:$AC$4756,MATCH('HP Residential Calculator'!$D$4,Postcodes,0))</f>
        <v>4</v>
      </c>
    </row>
    <row r="11" spans="2:4">
      <c r="B11" s="135"/>
    </row>
    <row r="12" spans="2:4">
      <c r="B12" s="4" t="s">
        <v>487</v>
      </c>
      <c r="D12" s="189">
        <v>45715</v>
      </c>
    </row>
    <row r="13" spans="2:4" hidden="1">
      <c r="C13" s="149" t="s">
        <v>406</v>
      </c>
      <c r="D13" s="11">
        <f>MIN((2031-YEAR(D12))/10,1)</f>
        <v>0.6</v>
      </c>
    </row>
    <row r="15" spans="2:4">
      <c r="B15" s="4" t="s">
        <v>361</v>
      </c>
      <c r="D15" s="133" t="s">
        <v>495</v>
      </c>
    </row>
    <row r="16" spans="2:4">
      <c r="B16" s="123" t="s">
        <v>360</v>
      </c>
      <c r="D16" s="133" t="s">
        <v>350</v>
      </c>
    </row>
    <row r="18" spans="2:9" hidden="1">
      <c r="B18" s="164" t="s">
        <v>427</v>
      </c>
    </row>
    <row r="19" spans="2:9" hidden="1">
      <c r="C19" s="6" t="s">
        <v>37</v>
      </c>
      <c r="G19" s="179" t="s">
        <v>38</v>
      </c>
    </row>
    <row r="20" spans="2:9" hidden="1">
      <c r="C20" s="165" t="s">
        <v>342</v>
      </c>
      <c r="D20" s="78">
        <f>_xlfn.IFNA(INDEX('VEU-1D'!$E$6:$H$35,MATCH(Residential_Product,'VEU-1D'!$C$6:$C$35,0),MATCH(C20,'VEU-1D'!$E$5:$H$5,0)),"-")</f>
        <v>4.9099999999999998E-2</v>
      </c>
      <c r="G20" s="165" t="s">
        <v>332</v>
      </c>
      <c r="H20" s="78" t="str" cm="1">
        <f t="array" ref="H20">_xlfn.IFNA(_xlfn.IFS(HP_residential_installation_date&lt;45462,INDEX('ESS OLD'!$I$6:$I$37,MATCH('HP Residential Calculator'!Residential_Product,'ESS OLD'!$C$6:$C$37,0)),AND(HP_residential_installation_date&gt;=45462,ESS_Climate_Zone_Residential=3),INDEX('ESS NEW'!$I$6:$I$37,MATCH('HP Residential Calculator'!Residential_Product,'ESS OLD'!$C$6:$C$37,0)),AND(HP_residential_installation_date&gt;=45462,ESS_Climate_Zone_Residential=5),INDEX('ESS NEW'!$M$6:$M$37,MATCH('HP Residential Calculator'!Residential_Product,'ESS NEW'!$C$6:$C$37,0))),"-")</f>
        <v>-</v>
      </c>
      <c r="I20" s="193"/>
    </row>
    <row r="21" spans="2:9" hidden="1">
      <c r="C21" s="165" t="s">
        <v>343</v>
      </c>
      <c r="D21" s="78">
        <f>_xlfn.IFNA(INDEX('VEU-1D'!$E$6:$H$35,MATCH(Residential_Product,'VEU-1D'!$C$6:$C$35,0),MATCH(C21,'VEU-1D'!$E$5:$H$5,0)),"-")</f>
        <v>3.5680000000000001</v>
      </c>
      <c r="G21" s="165" t="s">
        <v>333</v>
      </c>
      <c r="H21" s="78">
        <f>_xlfn.IFNA(VLOOKUP(Residential_Product,'ESS OLD'!$C$6:$X$49,MATCH("Zone 3 Be",'ESS OLD'!$C$5:$X$5,0),0),"-")</f>
        <v>4.7600000000000003E-2</v>
      </c>
    </row>
    <row r="22" spans="2:9" hidden="1">
      <c r="C22" s="165" t="s">
        <v>344</v>
      </c>
      <c r="D22" s="78">
        <f>_xlfn.IFNA(INDEX('VEU-1D'!$E$6:$H$35,MATCH(Residential_Product,'VEU-1D'!$C$6:$C$35,0),MATCH(C22,'VEU-1D'!$E$5:$H$5,0)),"-")</f>
        <v>4.7600000000000003E-2</v>
      </c>
      <c r="G22" s="165" t="s">
        <v>334</v>
      </c>
      <c r="H22" s="78">
        <f>_xlfn.IFNA(VLOOKUP(Residential_Product,'ESS OLD'!$C$6:$X$49,MATCH("Zone 5 Be",'ESS OLD'!$C$5:$X$5,0),0),"-")</f>
        <v>4.36E-2</v>
      </c>
    </row>
    <row r="23" spans="2:9" hidden="1">
      <c r="C23" s="165" t="s">
        <v>345</v>
      </c>
      <c r="D23" s="78">
        <f>_xlfn.IFNA(INDEX('VEU-1D'!$E$6:$H$35,MATCH(Residential_Product,'VEU-1D'!$C$6:$C$35,0),MATCH(C23,'VEU-1D'!$E$5:$H$5,0)),"-")</f>
        <v>4.3620000000000001</v>
      </c>
      <c r="G23" s="165" t="s">
        <v>335</v>
      </c>
      <c r="H23" s="78">
        <f>_xlfn.IFNA(VLOOKUP(Residential_Product,'ESS OLD'!$C$6:$X$49,MATCH("Zone 3 Bs",'ESS OLD'!$C$5:$X$5,0),0),"-")</f>
        <v>4.2866</v>
      </c>
    </row>
    <row r="24" spans="2:9" hidden="1">
      <c r="G24" s="165" t="s">
        <v>336</v>
      </c>
      <c r="H24" s="78">
        <f>_xlfn.IFNA(VLOOKUP(Residential_Product,'ESS OLD'!$C$6:$X$49,MATCH("Zone 5 Bs",'ESS OLD'!$C$5:$X$5,0),0),"-")</f>
        <v>6.0236999999999998</v>
      </c>
    </row>
    <row r="25" spans="2:9">
      <c r="B25" s="131" t="s">
        <v>713</v>
      </c>
    </row>
    <row r="26" spans="2:9">
      <c r="C26" s="167" t="s">
        <v>354</v>
      </c>
      <c r="D26" s="167" t="s">
        <v>712</v>
      </c>
      <c r="E26" s="166" t="s">
        <v>355</v>
      </c>
      <c r="F26" s="166" t="s">
        <v>369</v>
      </c>
      <c r="G26" s="167" t="s">
        <v>717</v>
      </c>
    </row>
    <row r="27" spans="2:9">
      <c r="C27" s="134" t="s">
        <v>29</v>
      </c>
      <c r="D27" s="181">
        <f>STCprice</f>
        <v>39.9</v>
      </c>
      <c r="E27" s="141">
        <f>_xlfn.IFNA(INDEX($G$35:$G$39,MATCH(D7,$D$35:$D$39)),0)</f>
        <v>18</v>
      </c>
      <c r="F27" s="132">
        <f>E27*D27</f>
        <v>718.19999999999993</v>
      </c>
      <c r="G27" s="267" t="s">
        <v>719</v>
      </c>
    </row>
    <row r="28" spans="2:9">
      <c r="C28" s="134" t="s">
        <v>30</v>
      </c>
      <c r="D28" s="181">
        <f>VEECprice</f>
        <v>112.5</v>
      </c>
      <c r="E28" s="183">
        <f>IF(Decommissioned_Residential_Product="Electric Water Heater",SUMIF($D$44:$D$45,ESS_Climate_Zone_Residential,$G$44:$G$45),SUMIF($D$46:$D$47,ESS_Climate_Zone_Residential,$G$46:$G$47))</f>
        <v>0</v>
      </c>
      <c r="F28" s="132">
        <f t="shared" ref="F28:F29" si="0">E28*D28</f>
        <v>0</v>
      </c>
      <c r="G28" s="267" t="s">
        <v>718</v>
      </c>
    </row>
    <row r="29" spans="2:9">
      <c r="C29" s="21" t="s">
        <v>31</v>
      </c>
      <c r="D29" s="182">
        <f>ESCprice</f>
        <v>14.45</v>
      </c>
      <c r="E29" s="183">
        <f>IF(Decommissioned_Residential_Product="Electric Water Heater",SUMIF($D$40:$D$41,D10,$G$40:$G$41),SUMIF($D$42:$D$43,D10,$G$42:$G$43))</f>
        <v>8.4778286189999985</v>
      </c>
      <c r="F29" s="132">
        <f t="shared" si="0"/>
        <v>122.50462354454997</v>
      </c>
      <c r="G29" s="268" t="s">
        <v>720</v>
      </c>
    </row>
    <row r="30" spans="2:9">
      <c r="E30" s="153" t="s">
        <v>358</v>
      </c>
      <c r="F30" s="130">
        <f>SUM(F27:F29)</f>
        <v>840.70462354454992</v>
      </c>
    </row>
    <row r="31" spans="2:9">
      <c r="C31" s="124"/>
      <c r="G31" s="163"/>
      <c r="H31" s="163"/>
    </row>
    <row r="32" spans="2:9" hidden="1">
      <c r="B32" s="168" t="s">
        <v>428</v>
      </c>
    </row>
    <row r="33" spans="1:9" hidden="1"/>
    <row r="34" spans="1:9" hidden="1">
      <c r="B34" s="121" t="s">
        <v>25</v>
      </c>
      <c r="C34" s="121" t="s">
        <v>357</v>
      </c>
      <c r="D34" s="121" t="s">
        <v>365</v>
      </c>
      <c r="E34" s="286" t="s">
        <v>356</v>
      </c>
      <c r="F34" s="287"/>
      <c r="G34" s="98" t="s">
        <v>355</v>
      </c>
      <c r="H34" s="98" t="s">
        <v>354</v>
      </c>
      <c r="I34" s="129" t="s">
        <v>353</v>
      </c>
    </row>
    <row r="35" spans="1:9" hidden="1">
      <c r="B35" s="277" t="s">
        <v>39</v>
      </c>
      <c r="C35" s="277" t="s">
        <v>247</v>
      </c>
      <c r="D35" s="127" t="s">
        <v>408</v>
      </c>
      <c r="E35" s="280" t="s">
        <v>352</v>
      </c>
      <c r="F35" s="281"/>
      <c r="G35" s="154">
        <f>ROUNDDOWN(INDEX(Residential_STCs,MATCH('HP Residential Calculator'!Residential_Product,Residential_HPs,0),MATCH(D35,SRES!$D$4:$H$4,0))*$D$13,0)</f>
        <v>15</v>
      </c>
      <c r="H35" s="277" t="s">
        <v>29</v>
      </c>
      <c r="I35" s="192"/>
    </row>
    <row r="36" spans="1:9" hidden="1">
      <c r="B36" s="278"/>
      <c r="C36" s="278"/>
      <c r="D36" s="127" t="s">
        <v>409</v>
      </c>
      <c r="E36" s="282"/>
      <c r="F36" s="283"/>
      <c r="G36" s="154">
        <f>ROUNDDOWN(INDEX(Residential_STCs,MATCH('HP Residential Calculator'!Residential_Product,Residential_HPs,0),MATCH(D36,SRES!$D$4:$H$4,0))*$D$13,0)</f>
        <v>14</v>
      </c>
      <c r="H36" s="278"/>
      <c r="I36" s="129"/>
    </row>
    <row r="37" spans="1:9" s="125" customFormat="1" ht="14.7" hidden="1" customHeight="1">
      <c r="A37" s="123"/>
      <c r="B37" s="278"/>
      <c r="C37" s="278"/>
      <c r="D37" s="127" t="s">
        <v>410</v>
      </c>
      <c r="E37" s="282"/>
      <c r="F37" s="283"/>
      <c r="G37" s="154">
        <f>ROUNDDOWN(INDEX(Residential_STCs,MATCH('HP Residential Calculator'!Residential_Product,Residential_HPs,0),MATCH(D37,SRES!$D$4:$H$4,0))*$D$13,0)</f>
        <v>18</v>
      </c>
      <c r="H37" s="278"/>
      <c r="I37" s="128"/>
    </row>
    <row r="38" spans="1:9" s="125" customFormat="1" hidden="1">
      <c r="A38" s="123"/>
      <c r="B38" s="278"/>
      <c r="C38" s="278"/>
      <c r="D38" s="127" t="s">
        <v>411</v>
      </c>
      <c r="E38" s="282"/>
      <c r="F38" s="283"/>
      <c r="G38" s="154">
        <f>ROUNDDOWN(INDEX(Residential_STCs,MATCH('HP Residential Calculator'!Residential_Product,Residential_HPs,0),MATCH(D38,SRES!$D$4:$H$4,0))*$D$13,0)</f>
        <v>18</v>
      </c>
      <c r="H38" s="278"/>
      <c r="I38" s="128"/>
    </row>
    <row r="39" spans="1:9" s="125" customFormat="1" hidden="1">
      <c r="A39" s="123"/>
      <c r="B39" s="279"/>
      <c r="C39" s="279"/>
      <c r="D39" s="127" t="s">
        <v>407</v>
      </c>
      <c r="E39" s="284"/>
      <c r="F39" s="285"/>
      <c r="G39" s="154">
        <f>ROUNDDOWN(INDEX(Residential_STCs,MATCH('HP Residential Calculator'!Residential_Product,Residential_HPs,0),MATCH(D39,SRES!$D$4:$H$4,0))*$D$13,0)</f>
        <v>17</v>
      </c>
      <c r="H39" s="279"/>
      <c r="I39" s="128"/>
    </row>
    <row r="40" spans="1:9" s="125" customFormat="1" ht="14.9" hidden="1" customHeight="1">
      <c r="A40" s="123"/>
      <c r="B40" s="289" t="s">
        <v>37</v>
      </c>
      <c r="C40" s="289" t="s">
        <v>13</v>
      </c>
      <c r="D40" s="126">
        <v>4</v>
      </c>
      <c r="E40" s="288" t="s">
        <v>351</v>
      </c>
      <c r="F40" s="288"/>
      <c r="G40" s="140" cm="1">
        <f t="array" ref="G40">_xlfn.IFNA(INDEX('VEU-1D'!$L$6:$R$35,MATCH('HP Residential Calculator'!Residential_Product,'VEU-1D'!$C$6:$C$35,0),MATCH(1,('HP Residential Calculator'!Region='VEU-1D'!$L$3:$R$3)*("Zone 4" = 'VEU-1D'!$L$5:$R$5),0)),"-")</f>
        <v>8.4778286189999985</v>
      </c>
      <c r="H40" s="289" t="s">
        <v>30</v>
      </c>
      <c r="I40" s="202"/>
    </row>
    <row r="41" spans="1:9" s="125" customFormat="1" ht="14.9" hidden="1" customHeight="1">
      <c r="A41" s="123"/>
      <c r="B41" s="289"/>
      <c r="C41" s="289"/>
      <c r="D41" s="126">
        <v>5</v>
      </c>
      <c r="E41" s="288"/>
      <c r="F41" s="288"/>
      <c r="G41" s="140" cm="1">
        <f t="array" ref="G41">_xlfn.IFNA(INDEX('VEU-1D'!$L$6:$R$35,MATCH('HP Residential Calculator'!Residential_Product,'VEU-1D'!$C$6:$C$35,0),MATCH(1,('HP Residential Calculator'!Region='VEU-1D'!$L$3:$R$3)*("Zone 5" = 'VEU-1D'!$L$5:$R$5),0)),"-")</f>
        <v>7.459378944</v>
      </c>
      <c r="H41" s="289"/>
      <c r="I41" s="128"/>
    </row>
    <row r="42" spans="1:9" s="125" customFormat="1" ht="14.9" hidden="1" customHeight="1">
      <c r="B42" s="289"/>
      <c r="C42" s="289" t="s">
        <v>68</v>
      </c>
      <c r="D42" s="126">
        <v>4</v>
      </c>
      <c r="E42" s="288" t="s">
        <v>312</v>
      </c>
      <c r="F42" s="288"/>
      <c r="G42" s="140" cm="1">
        <f t="array" ref="G42">_xlfn.IFNA(INDEX('VEU-3C'!$L$6:$R$35,MATCH('HP Residential Calculator'!Residential_Product,'VEU-3C'!$C$6:$C$35,0),MATCH(1,('HP Residential Calculator'!Region='VEU-3C'!$L$3:$R$3)*("Zone 4" = 'VEU-3C'!$L$5:$R$5),0)),"-")</f>
        <v>7.302260349</v>
      </c>
      <c r="H42" s="289"/>
      <c r="I42" s="128"/>
    </row>
    <row r="43" spans="1:9" s="125" customFormat="1" hidden="1">
      <c r="B43" s="289"/>
      <c r="C43" s="289"/>
      <c r="D43" s="126">
        <v>5</v>
      </c>
      <c r="E43" s="288"/>
      <c r="F43" s="288"/>
      <c r="G43" s="140" cm="1">
        <f t="array" ref="G43">_xlfn.IFNA(INDEX('VEU-3C'!$L$6:$R$35,MATCH('HP Residential Calculator'!Residential_Product,'VEU-3C'!$C$6:$C$35,0),MATCH(1,('HP Residential Calculator'!Region='VEU-3C'!$L$3:$R$3)*("Zone 5" = 'VEU-3C'!$L$5:$R$5),0)),"-")</f>
        <v>6.0035034239999989</v>
      </c>
      <c r="H43" s="289"/>
      <c r="I43" s="128"/>
    </row>
    <row r="44" spans="1:9" s="125" customFormat="1" ht="14.9" hidden="1" customHeight="1">
      <c r="B44" s="277" t="s">
        <v>38</v>
      </c>
      <c r="C44" s="292" t="s">
        <v>16</v>
      </c>
      <c r="D44" s="126">
        <v>3</v>
      </c>
      <c r="E44" s="280" t="s">
        <v>317</v>
      </c>
      <c r="F44" s="290"/>
      <c r="G44" s="140" cm="1">
        <f t="array" ref="G44">_xlfn.IFNA(IF(HP_residential_installation_date&gt;=45462,INDEX('ESS NEW'!$K$6:$L$37,MATCH('HP Residential Calculator'!Residential_Product,'ESS NEW'!$C$6:$C$37,0),MATCH('HP Residential Calculator'!Region,'ESS NEW'!$K$5:$L$5,0)),INDEX('ESS OLD'!$K$6:$N$37,MATCH('HP Residential Calculator'!Residential_Product,'ESS OLD'!$C$6:$C$37,0),MATCH(1,('HP Residential Calculator'!Region='ESS OLD'!$K$2:$N$2)*("Zone 3" = 'ESS OLD'!$K$5:$N$5),0))),"-")</f>
        <v>26.722968668000004</v>
      </c>
      <c r="H44" s="277" t="s">
        <v>31</v>
      </c>
      <c r="I44" s="128"/>
    </row>
    <row r="45" spans="1:9" s="125" customFormat="1" ht="14.9" hidden="1" customHeight="1">
      <c r="B45" s="278"/>
      <c r="C45" s="293"/>
      <c r="D45" s="127">
        <v>5</v>
      </c>
      <c r="E45" s="284"/>
      <c r="F45" s="291"/>
      <c r="G45" s="140" cm="1">
        <f t="array" ref="G45">_xlfn.IFNA(IF(HP_residential_installation_date&gt;=45462,INDEX('ESS NEW'!$O$6:$P$37,MATCH('HP Residential Calculator'!Residential_Product,'ESS NEW'!$C$6:$C$37,0),MATCH('HP Residential Calculator'!Region,'ESS NEW'!$O$5:$P$5,0)),INDEX('ESS OLD'!$K$6:$N$37,MATCH('HP Residential Calculator'!Residential_Product,'ESS OLD'!$C$6:$C$37,0),MATCH(1,('HP Residential Calculator'!Region='ESS OLD'!$K$2:$N$2)*("Zone 5" = 'ESS OLD'!$K$5:$N$5),0))),"-")</f>
        <v>25.943009220000008</v>
      </c>
      <c r="H45" s="278"/>
      <c r="I45" s="128"/>
    </row>
    <row r="46" spans="1:9" s="125" customFormat="1" ht="14.9" hidden="1" customHeight="1">
      <c r="B46" s="278"/>
      <c r="C46" s="277" t="s">
        <v>18</v>
      </c>
      <c r="D46" s="126">
        <v>3</v>
      </c>
      <c r="E46" s="280" t="s">
        <v>316</v>
      </c>
      <c r="F46" s="290"/>
      <c r="G46" s="140" cm="1">
        <f t="array" ref="G46">_xlfn.IFNA(IF(HP_residential_installation_date&gt;=45462,INDEX('ESS NEW'!$V$6:$W$37,MATCH('HP Residential Calculator'!Residential_Product,'ESS NEW'!$C$6:$C$37,0),MATCH('HP Residential Calculator'!Region,'ESS NEW'!$V$5:$W$5,0)),INDEX('ESS OLD'!$U$6:$X$37,MATCH('HP Residential Calculator'!Residential_Product,'ESS OLD'!$C$6:$C$37,0),MATCH(1,('HP Residential Calculator'!Region='ESS OLD'!$U$2:$X$2)*("Zone 3" = 'ESS OLD'!$U$5:$X$5),0))),"-")</f>
        <v>12.337758668000001</v>
      </c>
      <c r="H46" s="278"/>
      <c r="I46" s="128"/>
    </row>
    <row r="47" spans="1:9" ht="14.9" hidden="1" customHeight="1">
      <c r="B47" s="279"/>
      <c r="C47" s="279"/>
      <c r="D47" s="127">
        <v>5</v>
      </c>
      <c r="E47" s="284"/>
      <c r="F47" s="291"/>
      <c r="G47" s="140" cm="1">
        <f t="array" ref="G47">_xlfn.IFNA(IF(HP_residential_installation_date&gt;=45462,INDEX('ESS NEW'!$AC$6:$AD$37,MATCH('HP Residential Calculator'!Residential_Product,'ESS NEW'!$C$6:$C$37,0),MATCH('HP Residential Calculator'!Region,'ESS NEW'!$AC$5:$AD$5,0)),INDEX('ESS OLD'!$U$6:$X$37,MATCH('HP Residential Calculator'!Residential_Product,'ESS OLD'!$C$6:$C$37,0),MATCH(1,('HP Residential Calculator'!Region='ESS OLD'!$U$2:$X$2)*("Zone 5" = 'ESS OLD'!$U$5:$X$5),0))),"-")</f>
        <v>10.550909219999998</v>
      </c>
      <c r="H47" s="279"/>
      <c r="I47" s="128"/>
    </row>
    <row r="48" spans="1:9">
      <c r="I48" s="128"/>
    </row>
    <row r="49" spans="1:9">
      <c r="A49" s="123" t="s">
        <v>714</v>
      </c>
      <c r="I49" s="128"/>
    </row>
    <row r="50" spans="1:9">
      <c r="I50" s="128"/>
    </row>
  </sheetData>
  <mergeCells count="17">
    <mergeCell ref="H44:H47"/>
    <mergeCell ref="E44:F45"/>
    <mergeCell ref="B44:B47"/>
    <mergeCell ref="C44:C45"/>
    <mergeCell ref="C46:C47"/>
    <mergeCell ref="E46:F47"/>
    <mergeCell ref="E40:F41"/>
    <mergeCell ref="C40:C41"/>
    <mergeCell ref="B40:B43"/>
    <mergeCell ref="C42:C43"/>
    <mergeCell ref="H40:H43"/>
    <mergeCell ref="E42:F43"/>
    <mergeCell ref="B35:B39"/>
    <mergeCell ref="C35:C39"/>
    <mergeCell ref="E35:F39"/>
    <mergeCell ref="H35:H39"/>
    <mergeCell ref="E34:F34"/>
  </mergeCells>
  <conditionalFormatting sqref="C20:D23">
    <cfRule type="expression" dxfId="13" priority="2">
      <formula>#REF!=3</formula>
    </cfRule>
  </conditionalFormatting>
  <conditionalFormatting sqref="G20:H24">
    <cfRule type="expression" dxfId="12" priority="1">
      <formula>#REF!=4</formula>
    </cfRule>
  </conditionalFormatting>
  <dataValidations count="4">
    <dataValidation type="list" allowBlank="1" showInputMessage="1" showErrorMessage="1" sqref="D15" xr:uid="{CC83925D-8EF1-414B-A8B9-1C65670F26CC}">
      <formula1>Residential_HPs</formula1>
    </dataValidation>
    <dataValidation type="list" allowBlank="1" showInputMessage="1" showErrorMessage="1" sqref="H40 H35 H44" xr:uid="{47ABD8C5-7C4D-45F6-B6A3-0537CAF7072A}">
      <formula1>Schemes</formula1>
    </dataValidation>
    <dataValidation type="list" allowBlank="1" showErrorMessage="1" errorTitle="Valid Postcodes" error="Postcode must be from list" promptTitle="Enter Postcode" prompt="800" sqref="D4" xr:uid="{0D09568C-C0F9-4E32-85E3-CF116C01ECEF}">
      <formula1>Postcodes</formula1>
    </dataValidation>
    <dataValidation type="date" allowBlank="1" showInputMessage="1" showErrorMessage="1" errorTitle="Date Range" error="Date must be between 01 Jan 2022 and 31 Dec 2030" promptTitle="Installation Date" prompt="Input a date between 01 Jan 2022 and 31 Dec 2030" sqref="D12" xr:uid="{3F21A14D-1AAF-4766-9F43-1BD461BF5D58}">
      <formula1>44562</formula1>
      <formula2>47848</formula2>
    </dataValidation>
  </dataValidations>
  <hyperlinks>
    <hyperlink ref="G28" r:id="rId1" xr:uid="{C5820637-5881-4276-998C-FFB344EBFDE8}"/>
    <hyperlink ref="G27" r:id="rId2" xr:uid="{DC63DC1F-73DA-4B67-826F-3E0BB58122BD}"/>
    <hyperlink ref="G29" r:id="rId3" xr:uid="{C27CF3B8-0F71-4922-A26F-8670BF87AF69}"/>
  </hyperlinks>
  <pageMargins left="0.7" right="0.7" top="0.75" bottom="0.75" header="0.3" footer="0.3"/>
  <pageSetup orientation="portrait" r:id="rId4"/>
  <extLst>
    <ext xmlns:x14="http://schemas.microsoft.com/office/spreadsheetml/2009/9/main" uri="{CCE6A557-97BC-4b89-ADB6-D9C93CAAB3DF}">
      <x14:dataValidations xmlns:xm="http://schemas.microsoft.com/office/excel/2006/main" count="1">
        <x14:dataValidation type="list" allowBlank="1" showInputMessage="1" showErrorMessage="1" xr:uid="{975477E6-6C85-4CA5-8485-9EEE31BBE24E}">
          <x14:formula1>
            <xm:f>Factors!$S$23:$S$24</xm:f>
          </x14:formula1>
          <xm:sqref>D16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099E1D-5F89-4C58-BDDD-D6A6368347D2}">
  <sheetPr codeName="Sheet11">
    <tabColor rgb="FF43CEFF"/>
  </sheetPr>
  <dimension ref="B1:I59"/>
  <sheetViews>
    <sheetView tabSelected="1" zoomScale="64" zoomScaleNormal="60" workbookViewId="0">
      <selection activeCell="E12" sqref="E12"/>
    </sheetView>
  </sheetViews>
  <sheetFormatPr defaultColWidth="8.76953125" defaultRowHeight="14.75"/>
  <cols>
    <col min="1" max="1" width="8.76953125" style="65"/>
    <col min="2" max="2" width="43.31640625" style="65" bestFit="1" customWidth="1"/>
    <col min="3" max="3" width="15.08984375" style="65" bestFit="1" customWidth="1"/>
    <col min="4" max="4" width="33.453125" style="65" bestFit="1" customWidth="1"/>
    <col min="5" max="5" width="48.2265625" style="65" bestFit="1" customWidth="1"/>
    <col min="6" max="6" width="15.453125" style="65" customWidth="1"/>
    <col min="7" max="7" width="60.1328125" style="65" bestFit="1" customWidth="1"/>
    <col min="8" max="8" width="11.453125" style="65" customWidth="1"/>
    <col min="9" max="9" width="13.2265625" style="65" bestFit="1" customWidth="1"/>
    <col min="10" max="10" width="13" style="65" customWidth="1"/>
    <col min="11" max="16384" width="8.76953125" style="65"/>
  </cols>
  <sheetData>
    <row r="1" spans="2:6" ht="26">
      <c r="B1" s="136" t="s">
        <v>716</v>
      </c>
    </row>
    <row r="2" spans="2:6" ht="14.9" customHeight="1">
      <c r="B2" s="136"/>
    </row>
    <row r="3" spans="2:6">
      <c r="B3" s="131" t="s">
        <v>426</v>
      </c>
      <c r="E3"/>
      <c r="F3" s="66"/>
    </row>
    <row r="4" spans="2:6">
      <c r="B4" s="67" t="s">
        <v>301</v>
      </c>
      <c r="D4" s="133">
        <v>2299</v>
      </c>
    </row>
    <row r="5" spans="2:6">
      <c r="B5" s="67"/>
      <c r="C5" s="160" t="s">
        <v>364</v>
      </c>
      <c r="D5" s="11" t="str">
        <f>INDEX(Factors!$Z$3:$AE$4756,MATCH($D$4,Postcodes,0),MATCH(C5,Postcode_Headings,0))</f>
        <v>NSW</v>
      </c>
    </row>
    <row r="6" spans="2:6">
      <c r="B6" s="67"/>
      <c r="C6" s="149" t="s">
        <v>71</v>
      </c>
      <c r="D6" s="11" t="str">
        <f>INDEX(Factors!$AD$3:$AD$4756,MATCH($D$4,Postcodes,0))</f>
        <v>Metropolitan</v>
      </c>
    </row>
    <row r="7" spans="2:6">
      <c r="B7" s="67"/>
      <c r="C7" s="149" t="s">
        <v>386</v>
      </c>
      <c r="D7" s="11" t="str">
        <f>INDEX(Factors!$Z$3:$Z$4756,MATCH($D$4,Postcodes,0))</f>
        <v>HP3-AU</v>
      </c>
    </row>
    <row r="8" spans="2:6">
      <c r="B8" s="67"/>
      <c r="C8" s="149" t="s">
        <v>381</v>
      </c>
      <c r="D8" s="11">
        <f>INDEX(Factors!$AA$3:$AA$4756,MATCH($D$4,Postcodes,0))</f>
        <v>5</v>
      </c>
    </row>
    <row r="9" spans="2:6">
      <c r="B9" s="67"/>
      <c r="C9" s="149" t="s">
        <v>377</v>
      </c>
      <c r="D9" s="11">
        <f>INDEX(Factors!$AB$3:$AB$4756,MATCH($D$4,Postcodes,0))</f>
        <v>3</v>
      </c>
    </row>
    <row r="10" spans="2:6">
      <c r="B10" s="67"/>
      <c r="C10" s="149" t="s">
        <v>378</v>
      </c>
      <c r="D10" s="11" t="str">
        <f>INDEX(Factors!$AC$3:$AC$4756,MATCH('HP Commercial Calculator'!D4,Postcodes,0))</f>
        <v>-</v>
      </c>
    </row>
    <row r="11" spans="2:6">
      <c r="B11" s="67"/>
      <c r="C11" s="149"/>
      <c r="D11"/>
    </row>
    <row r="12" spans="2:6">
      <c r="B12" s="67" t="s">
        <v>511</v>
      </c>
      <c r="D12" s="189">
        <v>45566</v>
      </c>
      <c r="E12" s="196"/>
    </row>
    <row r="13" spans="2:6">
      <c r="C13" s="149" t="s">
        <v>367</v>
      </c>
      <c r="D13" s="11">
        <f>MIN((2031-YEAR(D12))/10,1)</f>
        <v>0.7</v>
      </c>
      <c r="F13" s="66"/>
    </row>
    <row r="14" spans="2:6">
      <c r="B14" s="123"/>
      <c r="C14" s="123"/>
      <c r="F14" s="66"/>
    </row>
    <row r="15" spans="2:6">
      <c r="B15" s="67" t="s">
        <v>366</v>
      </c>
      <c r="D15" s="133" t="s">
        <v>452</v>
      </c>
    </row>
    <row r="16" spans="2:6" hidden="1">
      <c r="B16" s="67"/>
      <c r="C16" s="149" t="s">
        <v>512</v>
      </c>
      <c r="D16" s="11">
        <f>VLOOKUP(Commercial_Product,Commercial!$C$8:$D$26,2,FALSE)</f>
        <v>285</v>
      </c>
    </row>
    <row r="17" spans="2:9">
      <c r="B17" s="123" t="s">
        <v>360</v>
      </c>
      <c r="C17" s="123"/>
      <c r="D17" s="133" t="s">
        <v>350</v>
      </c>
    </row>
    <row r="18" spans="2:9">
      <c r="B18" s="65" t="s">
        <v>368</v>
      </c>
      <c r="D18" s="133">
        <v>3.6</v>
      </c>
    </row>
    <row r="19" spans="2:9">
      <c r="B19" s="65" t="s">
        <v>442</v>
      </c>
      <c r="D19" s="133" t="s">
        <v>440</v>
      </c>
    </row>
    <row r="20" spans="2:9">
      <c r="G20" s="72"/>
    </row>
    <row r="21" spans="2:9" hidden="1">
      <c r="B21" s="164" t="s">
        <v>427</v>
      </c>
      <c r="G21" s="72"/>
    </row>
    <row r="22" spans="2:9" hidden="1">
      <c r="C22" s="165" t="s">
        <v>337</v>
      </c>
      <c r="D22" s="180">
        <f>INDEX(Commercial!H8:H26,MATCH(Commercial_Product,Commercial!$C$8:$C$26,0))</f>
        <v>0.748</v>
      </c>
    </row>
    <row r="23" spans="2:9" hidden="1">
      <c r="C23" s="165" t="s">
        <v>446</v>
      </c>
      <c r="D23" s="180">
        <f>INDEX(Commercial!L8:L26,MATCH(Commercial_Product,Commercial!$C$8:$C$26,0))</f>
        <v>0.73</v>
      </c>
    </row>
    <row r="24" spans="2:9" hidden="1">
      <c r="C24" s="165" t="s">
        <v>338</v>
      </c>
      <c r="D24" s="180">
        <f>INDEX(Commercial!P8:P26,MATCH(Commercial_Product,Commercial!$C$8:$C$26,0))</f>
        <v>0.70599999999999996</v>
      </c>
    </row>
    <row r="25" spans="2:9" hidden="1">
      <c r="C25" s="165" t="s">
        <v>339</v>
      </c>
      <c r="D25" s="78">
        <f>INDEX(Commercial!E8:E26,MATCH(Commercial_Product,Commercial!$C$8:$C$26,0))</f>
        <v>182</v>
      </c>
    </row>
    <row r="26" spans="2:9" hidden="1">
      <c r="C26" s="165" t="s">
        <v>447</v>
      </c>
      <c r="D26" s="78">
        <f>INDEX(Commercial!I8:I26,MATCH(Commercial_Product,Commercial!$C$8:$C$26,0))</f>
        <v>165</v>
      </c>
    </row>
    <row r="27" spans="2:9" hidden="1">
      <c r="C27" s="165" t="s">
        <v>340</v>
      </c>
      <c r="D27" s="78">
        <f>INDEX(Commercial!M8:M26,MATCH(Commercial_Product,Commercial!$C$8:$C$26,0))</f>
        <v>146</v>
      </c>
    </row>
    <row r="28" spans="2:9">
      <c r="C28" s="165"/>
      <c r="D28" s="165"/>
      <c r="G28" s="72"/>
    </row>
    <row r="29" spans="2:9">
      <c r="B29" s="131" t="s">
        <v>713</v>
      </c>
      <c r="C29" s="165"/>
      <c r="D29" s="165"/>
      <c r="G29" s="72"/>
    </row>
    <row r="30" spans="2:9">
      <c r="C30" s="167" t="s">
        <v>354</v>
      </c>
      <c r="D30" s="167" t="s">
        <v>712</v>
      </c>
      <c r="E30" s="166" t="s">
        <v>355</v>
      </c>
      <c r="F30" s="166" t="s">
        <v>369</v>
      </c>
      <c r="G30" s="167" t="s">
        <v>717</v>
      </c>
      <c r="I30" s="76" t="s">
        <v>513</v>
      </c>
    </row>
    <row r="31" spans="2:9">
      <c r="C31" s="169" t="s">
        <v>29</v>
      </c>
      <c r="D31" s="181">
        <f>STCprice</f>
        <v>39.9</v>
      </c>
      <c r="E31" s="141">
        <f>_xlfn.IFNA(IF(E33&gt;0,0,INDEX($G$40:$G$44,MATCH(D7,$D$40:$D$44))),0)</f>
        <v>21</v>
      </c>
      <c r="F31" s="132">
        <f>E31*D31</f>
        <v>837.9</v>
      </c>
      <c r="G31" s="267" t="s">
        <v>719</v>
      </c>
      <c r="I31" s="76" t="b">
        <f>OR(Commercial_Year&lt;45474,AND(CommercialProductTankVolume&lt;425,Commercial_Year&gt;=45474))</f>
        <v>1</v>
      </c>
    </row>
    <row r="32" spans="2:9">
      <c r="C32" s="139" t="s">
        <v>31</v>
      </c>
      <c r="D32" s="182">
        <f>ESCprice</f>
        <v>14.45</v>
      </c>
      <c r="E32" s="183">
        <f>IF(D5="NSW",SUMIFS($G$51:$G$56,$D$51:$D$56,Climate_Zone,$I$51:$I$56,$D$17),0)</f>
        <v>132.82119103725</v>
      </c>
      <c r="F32" s="132">
        <f t="shared" ref="F32:F33" si="0">E32*D32</f>
        <v>1919.2662104882625</v>
      </c>
      <c r="G32" s="267" t="s">
        <v>722</v>
      </c>
      <c r="I32" s="76"/>
    </row>
    <row r="33" spans="2:9">
      <c r="C33" s="139" t="s">
        <v>30</v>
      </c>
      <c r="D33" s="182">
        <f>VEECprice</f>
        <v>112.5</v>
      </c>
      <c r="E33" s="183">
        <f>IF(D5="VIC",SUMIFS($G$45:$G$50,$D$45:$D$50,D10,$I$45:$I$50,$D$17),0)</f>
        <v>0</v>
      </c>
      <c r="F33" s="132">
        <f t="shared" si="0"/>
        <v>0</v>
      </c>
      <c r="G33" s="268" t="s">
        <v>721</v>
      </c>
      <c r="I33" s="76"/>
    </row>
    <row r="34" spans="2:9">
      <c r="D34" s="165"/>
      <c r="E34" s="159" t="s">
        <v>358</v>
      </c>
      <c r="F34" s="130">
        <f>SUM(F31:F33)</f>
        <v>2757.1662104882625</v>
      </c>
      <c r="I34" s="76"/>
    </row>
    <row r="35" spans="2:9">
      <c r="D35" s="165"/>
      <c r="E35" s="165"/>
      <c r="G35" s="72"/>
      <c r="H35" s="72"/>
      <c r="I35" s="72"/>
    </row>
    <row r="36" spans="2:9">
      <c r="D36" s="165"/>
      <c r="E36" s="165"/>
      <c r="G36" s="72"/>
      <c r="H36" s="72"/>
      <c r="I36" s="72"/>
    </row>
    <row r="37" spans="2:9" hidden="1">
      <c r="B37" s="131" t="s">
        <v>428</v>
      </c>
      <c r="G37" s="72"/>
      <c r="H37" s="72"/>
      <c r="I37" s="72"/>
    </row>
    <row r="38" spans="2:9" ht="14.9" hidden="1" customHeight="1">
      <c r="E38" s="66"/>
    </row>
    <row r="39" spans="2:9" ht="14.9" hidden="1" customHeight="1">
      <c r="B39" s="121" t="s">
        <v>25</v>
      </c>
      <c r="C39" s="121" t="s">
        <v>357</v>
      </c>
      <c r="D39" s="121" t="s">
        <v>365</v>
      </c>
      <c r="E39" s="286" t="s">
        <v>356</v>
      </c>
      <c r="F39" s="286"/>
      <c r="G39" s="138" t="s">
        <v>355</v>
      </c>
      <c r="H39" s="138" t="s">
        <v>354</v>
      </c>
    </row>
    <row r="40" spans="2:9" ht="14.9" hidden="1" customHeight="1">
      <c r="B40" s="277" t="s">
        <v>39</v>
      </c>
      <c r="C40" s="277" t="s">
        <v>247</v>
      </c>
      <c r="D40" s="127" t="s">
        <v>408</v>
      </c>
      <c r="E40" s="280" t="s">
        <v>352</v>
      </c>
      <c r="F40" s="281"/>
      <c r="G40" s="154">
        <f>IF($I$31=TRUE,ROUNDDOWN(INDEX(Commercial_STCs,MATCH(Commercial_Product,Commercial_HPs,0),MATCH(D40,SRES!$D$4:$H$4,0))*$D$13,0),0)</f>
        <v>18</v>
      </c>
      <c r="H40" s="277" t="s">
        <v>29</v>
      </c>
    </row>
    <row r="41" spans="2:9" ht="14.9" hidden="1" customHeight="1">
      <c r="B41" s="278"/>
      <c r="C41" s="278"/>
      <c r="D41" s="127" t="s">
        <v>409</v>
      </c>
      <c r="E41" s="282"/>
      <c r="F41" s="283"/>
      <c r="G41" s="154">
        <f>IF($I$31=TRUE,ROUNDDOWN(INDEX(Commercial_STCs,MATCH(Commercial_Product,Commercial_HPs,0),MATCH(D41,SRES!$D$4:$H$4,0))*$D$13,0),0)</f>
        <v>17</v>
      </c>
      <c r="H41" s="278"/>
    </row>
    <row r="42" spans="2:9" hidden="1">
      <c r="B42" s="278"/>
      <c r="C42" s="278"/>
      <c r="D42" s="127" t="s">
        <v>410</v>
      </c>
      <c r="E42" s="282"/>
      <c r="F42" s="283"/>
      <c r="G42" s="154">
        <f>IF($I$31=TRUE,ROUNDDOWN(INDEX(Commercial_STCs,MATCH(Commercial_Product,Commercial_HPs,0),MATCH(D42,SRES!$D$4:$H$4,0))*$D$13,0),0)</f>
        <v>21</v>
      </c>
      <c r="H42" s="278"/>
    </row>
    <row r="43" spans="2:9" hidden="1">
      <c r="B43" s="278"/>
      <c r="C43" s="278"/>
      <c r="D43" s="127" t="s">
        <v>411</v>
      </c>
      <c r="E43" s="282"/>
      <c r="F43" s="283"/>
      <c r="G43" s="154">
        <f>IF($I$31=TRUE,ROUNDDOWN(INDEX(Commercial_STCs,MATCH(Commercial_Product,Commercial_HPs,0),MATCH(D43,SRES!$D$4:$H$4,0))*$D$13,0),0)</f>
        <v>22</v>
      </c>
      <c r="H43" s="278"/>
    </row>
    <row r="44" spans="2:9" hidden="1">
      <c r="B44" s="279"/>
      <c r="C44" s="279"/>
      <c r="D44" s="127" t="s">
        <v>407</v>
      </c>
      <c r="E44" s="284"/>
      <c r="F44" s="285"/>
      <c r="G44" s="154">
        <f>IF($I$31=TRUE,ROUNDDOWN(INDEX(Commercial_STCs,MATCH(Commercial_Product,Commercial_HPs,0),MATCH(D44,SRES!$D$4:$H$4,0))*$D$13,0),0)</f>
        <v>21</v>
      </c>
      <c r="H44" s="279"/>
    </row>
    <row r="45" spans="2:9" ht="14.9" hidden="1" customHeight="1">
      <c r="B45" s="277" t="s">
        <v>37</v>
      </c>
      <c r="C45" s="277" t="s">
        <v>430</v>
      </c>
      <c r="D45" s="126">
        <v>4</v>
      </c>
      <c r="E45" s="288" t="s">
        <v>443</v>
      </c>
      <c r="F45" s="288"/>
      <c r="G45" s="140" cm="1">
        <f t="array" ref="G45">_xlfn.IFNA(INDEX(Commercial!$AD$8:$AO$26,MATCH('HP Commercial Calculator'!Commercial_Product,Commercial!$C$8:$C$26,0),MATCH(1,('HP Commercial Calculator'!C45=Commercial!$AD$2:$AO$2)*('HP Commercial Calculator'!D45=Commercial!$AD$3:$AO$3)*('HP Commercial Calculator'!Region=Commercial!$AD$4:$AO$4),0)),"-")</f>
        <v>17.764220947624924</v>
      </c>
      <c r="H45" s="277" t="s">
        <v>30</v>
      </c>
      <c r="I45" s="76" t="s">
        <v>349</v>
      </c>
    </row>
    <row r="46" spans="2:9" hidden="1">
      <c r="B46" s="278"/>
      <c r="C46" s="279"/>
      <c r="D46" s="126">
        <v>5</v>
      </c>
      <c r="E46" s="288"/>
      <c r="F46" s="288"/>
      <c r="G46" s="140" cm="1">
        <f t="array" ref="G46">_xlfn.IFNA(INDEX(Commercial!$AD$8:$AO$26,MATCH('HP Commercial Calculator'!Commercial_Product,Commercial!$C$8:$C$26,0),MATCH(1,('HP Commercial Calculator'!C45=Commercial!$AD$2:$AO$2)*('HP Commercial Calculator'!D46=Commercial!$AD$3:$AO$3)*('HP Commercial Calculator'!Region=Commercial!$AD$4:$AO$4),0)),"-")</f>
        <v>14.319272758092362</v>
      </c>
      <c r="H46" s="278"/>
      <c r="I46" s="76" t="s">
        <v>349</v>
      </c>
    </row>
    <row r="47" spans="2:9" ht="14.9" hidden="1" customHeight="1">
      <c r="B47" s="278"/>
      <c r="C47" s="277" t="s">
        <v>431</v>
      </c>
      <c r="D47" s="126">
        <v>4</v>
      </c>
      <c r="E47" s="280" t="s">
        <v>444</v>
      </c>
      <c r="F47" s="290"/>
      <c r="G47" s="140" cm="1">
        <f t="array" ref="G47">_xlfn.IFNA(INDEX(Commercial!$AD$8:$AO$26,MATCH('HP Commercial Calculator'!Commercial_Product,Commercial!$C$8:$C$26,0),MATCH(1,('HP Commercial Calculator'!C47=Commercial!$AD$2:$AO$2)*('HP Commercial Calculator'!D47=Commercial!$AD$3:$AO$3)*('HP Commercial Calculator'!Region=Commercial!$AD$4:$AO$4),0)),"-")</f>
        <v>39.545201250126553</v>
      </c>
      <c r="H47" s="278"/>
      <c r="I47" s="76" t="s">
        <v>350</v>
      </c>
    </row>
    <row r="48" spans="2:9" hidden="1">
      <c r="B48" s="278"/>
      <c r="C48" s="279"/>
      <c r="D48" s="126">
        <v>5</v>
      </c>
      <c r="E48" s="284"/>
      <c r="F48" s="291"/>
      <c r="G48" s="140" cm="1">
        <f t="array" ref="G48">_xlfn.IFNA(INDEX(Commercial!$AD$8:$AO$26,MATCH('HP Commercial Calculator'!Commercial_Product,Commercial!$C$8:$C$26,0),MATCH(1,('HP Commercial Calculator'!C47=Commercial!$AD$2:$AO$2)*('HP Commercial Calculator'!D48=Commercial!$AD$3:$AO$3)*('HP Commercial Calculator'!Region=Commercial!$AD$4:$AO$4),0)),"-")</f>
        <v>33.592140177275624</v>
      </c>
      <c r="H48" s="278"/>
      <c r="I48" s="76" t="s">
        <v>350</v>
      </c>
    </row>
    <row r="49" spans="2:9" ht="14.9" hidden="1" customHeight="1">
      <c r="B49" s="278"/>
      <c r="C49" s="277" t="s">
        <v>432</v>
      </c>
      <c r="D49" s="126">
        <v>4</v>
      </c>
      <c r="E49" s="280" t="s">
        <v>445</v>
      </c>
      <c r="F49" s="290"/>
      <c r="G49" s="140" cm="1">
        <f t="array" ref="G49">_xlfn.IFNA(INDEX(Commercial!$AD$8:$AO$26,MATCH('HP Commercial Calculator'!Commercial_Product,Commercial!$C$8:$C$26,0),MATCH(1,('HP Commercial Calculator'!C49=Commercial!$AD$2:$AO$2)*('HP Commercial Calculator'!D49=Commercial!$AD$3:$AO$3)*('HP Commercial Calculator'!Region=Commercial!$AD$4:$AO$4),0)),"-")</f>
        <v>19.295075127696084</v>
      </c>
      <c r="H49" s="278"/>
      <c r="I49" s="76" t="s">
        <v>371</v>
      </c>
    </row>
    <row r="50" spans="2:9" hidden="1">
      <c r="B50" s="279"/>
      <c r="C50" s="279"/>
      <c r="D50" s="126">
        <v>5</v>
      </c>
      <c r="E50" s="284"/>
      <c r="F50" s="291"/>
      <c r="G50" s="140" cm="1">
        <f t="array" ref="G50">_xlfn.IFNA(INDEX(Commercial!$AD$8:$AO$26,MATCH('HP Commercial Calculator'!Commercial_Product,Commercial!$C$8:$C$26,0),MATCH(1,('HP Commercial Calculator'!C49=Commercial!$AD$2:$AO$2)*('HP Commercial Calculator'!D50=Commercial!$AD$3:$AO$3)*('HP Commercial Calculator'!Region=Commercial!$AD$4:$AO$4),0)),"-")</f>
        <v>15.306871363496739</v>
      </c>
      <c r="H50" s="279"/>
      <c r="I50" s="76" t="s">
        <v>371</v>
      </c>
    </row>
    <row r="51" spans="2:9" ht="14.9" hidden="1" customHeight="1">
      <c r="B51" s="294" t="s">
        <v>38</v>
      </c>
      <c r="C51" s="294" t="s">
        <v>190</v>
      </c>
      <c r="D51" s="137">
        <v>3</v>
      </c>
      <c r="E51" s="280" t="s">
        <v>315</v>
      </c>
      <c r="F51" s="281"/>
      <c r="G51" s="147" cm="1">
        <f t="array" ref="G51">INDEX(Commercial_certificates,MATCH('HP Commercial Calculator'!Commercial_Product,Commercial!$C$8:$C$26,0),MATCH(1,('HP Commercial Calculator'!Region=Commercial!$AP$4:$BA$4)*(D51=Commercial!$AP$3:$BA$3)*('HP Commercial Calculator'!C51=Commercial!$AP$2:$BA$2),0))</f>
        <v>55.130974342480954</v>
      </c>
      <c r="H51" s="294" t="s">
        <v>31</v>
      </c>
      <c r="I51" s="76" t="s">
        <v>349</v>
      </c>
    </row>
    <row r="52" spans="2:9" ht="14.9" hidden="1" customHeight="1">
      <c r="B52" s="299"/>
      <c r="C52" s="295"/>
      <c r="D52" s="137">
        <v>5</v>
      </c>
      <c r="E52" s="284"/>
      <c r="F52" s="285"/>
      <c r="G52" s="147" cm="1">
        <f t="array" ref="G52">INDEX(Commercial_certificates,MATCH('HP Commercial Calculator'!Commercial_Product,Commercial!$C$8:$C$26,0),MATCH(1,('HP Commercial Calculator'!Region=Commercial!$AP$4:$BA$4)*(D52=Commercial!$AP$3:$BA$3)*('HP Commercial Calculator'!C51=Commercial!$AP$2:$BA$2),0))</f>
        <v>38.34127607693528</v>
      </c>
      <c r="H52" s="299"/>
      <c r="I52" s="76" t="s">
        <v>349</v>
      </c>
    </row>
    <row r="53" spans="2:9" ht="14.9" hidden="1" customHeight="1">
      <c r="B53" s="299"/>
      <c r="C53" s="294" t="s">
        <v>189</v>
      </c>
      <c r="D53" s="137">
        <v>3</v>
      </c>
      <c r="E53" s="304" t="s">
        <v>315</v>
      </c>
      <c r="F53" s="305"/>
      <c r="G53" s="147" cm="1">
        <f t="array" ref="G53">INDEX(Commercial_certificates,MATCH('HP Commercial Calculator'!Commercial_Product,Commercial!$C$8:$C$26,0),MATCH(1,('HP Commercial Calculator'!Region=Commercial!$AP$4:$BA$4)*(D53=Commercial!$AP$3:$BA$3)*('HP Commercial Calculator'!C53=Commercial!$AP$2:$BA$2),0))</f>
        <v>132.82119103725</v>
      </c>
      <c r="H53" s="299"/>
      <c r="I53" s="76" t="s">
        <v>350</v>
      </c>
    </row>
    <row r="54" spans="2:9" ht="14.9" hidden="1" customHeight="1">
      <c r="B54" s="299"/>
      <c r="C54" s="295"/>
      <c r="D54" s="137">
        <v>5</v>
      </c>
      <c r="E54" s="306"/>
      <c r="F54" s="307"/>
      <c r="G54" s="147" cm="1">
        <f t="array" ref="G54">INDEX(Commercial_certificates,MATCH('HP Commercial Calculator'!Commercial_Product,Commercial!$C$8:$C$26,0),MATCH(1,('HP Commercial Calculator'!Region=Commercial!$AP$4:$BA$4)*(D54=Commercial!$AP$3:$BA$3)*('HP Commercial Calculator'!C53=Commercial!$AP$2:$BA$2),0))</f>
        <v>100.66419716175002</v>
      </c>
      <c r="H54" s="299"/>
      <c r="I54" s="76" t="s">
        <v>350</v>
      </c>
    </row>
    <row r="55" spans="2:9" hidden="1">
      <c r="B55" s="299"/>
      <c r="C55" s="294" t="s">
        <v>188</v>
      </c>
      <c r="D55" s="137">
        <v>3</v>
      </c>
      <c r="E55" s="300" t="s">
        <v>314</v>
      </c>
      <c r="F55" s="301"/>
      <c r="G55" s="147" cm="1">
        <f t="array" ref="G55">INDEX(Commercial_certificates,MATCH('HP Commercial Calculator'!Commercial_Product,Commercial!$C$8:$C$26,0),MATCH(1,('HP Commercial Calculator'!Region=Commercial!$AP$4:$BA$4)*(D55=Commercial!$AP$3:$BA$3)*('HP Commercial Calculator'!C55=Commercial!$AP$2:$BA$2),0))</f>
        <v>47.83957205161763</v>
      </c>
      <c r="H55" s="299"/>
      <c r="I55" s="76" t="s">
        <v>371</v>
      </c>
    </row>
    <row r="56" spans="2:9" hidden="1">
      <c r="B56" s="295"/>
      <c r="C56" s="295"/>
      <c r="D56" s="137">
        <v>5</v>
      </c>
      <c r="E56" s="302"/>
      <c r="F56" s="303"/>
      <c r="G56" s="147" cm="1">
        <f t="array" ref="G56">INDEX(Commercial_certificates,MATCH('HP Commercial Calculator'!Commercial_Product,Commercial!$C$8:$C$26,0),MATCH(1,('HP Commercial Calculator'!Region=Commercial!$AP$4:$BA$4)*(D56=Commercial!$AP$3:$BA$3)*('HP Commercial Calculator'!C55=Commercial!$AP$2:$BA$2),0))</f>
        <v>32.492129184264712</v>
      </c>
      <c r="H56" s="295"/>
      <c r="I56" s="76" t="s">
        <v>371</v>
      </c>
    </row>
    <row r="57" spans="2:9" hidden="1">
      <c r="B57" s="296" t="s">
        <v>429</v>
      </c>
      <c r="C57" s="294" t="s">
        <v>419</v>
      </c>
      <c r="D57" s="137">
        <v>3</v>
      </c>
      <c r="E57" s="280" t="s">
        <v>315</v>
      </c>
      <c r="F57" s="281"/>
      <c r="G57" s="147" t="e" cm="1">
        <f t="array" ref="G57">IF(#REF!=TRUE,INDEX(Commercial_certificates,MATCH('HP Commercial Calculator'!Commercial_Product,Commercial!$C$8:$C$26,0),MATCH(1,(D57=Commercial!$AP$3:$BC$3)*('HP Commercial Calculator'!C57=Commercial!$AP$2:$BC$2),0)),0)</f>
        <v>#REF!</v>
      </c>
      <c r="H57" s="298" t="s">
        <v>32</v>
      </c>
    </row>
    <row r="58" spans="2:9" hidden="1">
      <c r="B58" s="297"/>
      <c r="C58" s="295"/>
      <c r="D58" s="137">
        <v>5</v>
      </c>
      <c r="E58" s="284"/>
      <c r="F58" s="285"/>
      <c r="G58" s="147" t="e" cm="1">
        <f t="array" ref="G58">IF(#REF!=TRUE,INDEX(Commercial_certificates,MATCH('HP Commercial Calculator'!Commercial_Product,Commercial!$C$8:$C$26,0),MATCH(1,(D58=Commercial!$AP$3:$BC$3)*('HP Commercial Calculator'!C57=Commercial!$AP$2:$BC$2),0)),0)</f>
        <v>#REF!</v>
      </c>
      <c r="H58" s="298"/>
    </row>
    <row r="59" spans="2:9">
      <c r="B59" s="123" t="s">
        <v>714</v>
      </c>
    </row>
  </sheetData>
  <mergeCells count="25">
    <mergeCell ref="B40:B44"/>
    <mergeCell ref="C40:C44"/>
    <mergeCell ref="H40:H44"/>
    <mergeCell ref="E39:F39"/>
    <mergeCell ref="E53:F54"/>
    <mergeCell ref="H51:H56"/>
    <mergeCell ref="E51:F52"/>
    <mergeCell ref="E40:F44"/>
    <mergeCell ref="E45:F46"/>
    <mergeCell ref="B45:B50"/>
    <mergeCell ref="C45:C46"/>
    <mergeCell ref="C47:C48"/>
    <mergeCell ref="C49:C50"/>
    <mergeCell ref="E47:F48"/>
    <mergeCell ref="E49:F50"/>
    <mergeCell ref="H45:H50"/>
    <mergeCell ref="C57:C58"/>
    <mergeCell ref="E57:F58"/>
    <mergeCell ref="B57:B58"/>
    <mergeCell ref="H57:H58"/>
    <mergeCell ref="B51:B56"/>
    <mergeCell ref="C51:C52"/>
    <mergeCell ref="C53:C54"/>
    <mergeCell ref="C55:C56"/>
    <mergeCell ref="E55:F56"/>
  </mergeCells>
  <conditionalFormatting sqref="C22:D29 C30 C31:D33 D34:E36">
    <cfRule type="expression" dxfId="11" priority="2">
      <formula>#REF!=4</formula>
    </cfRule>
  </conditionalFormatting>
  <dataValidations count="4">
    <dataValidation type="list" allowBlank="1" showInputMessage="1" showErrorMessage="1" sqref="H51 H40" xr:uid="{1B5C9701-E0B4-44F1-A8B5-19E21DA501A3}">
      <formula1>Schemes</formula1>
    </dataValidation>
    <dataValidation type="list" allowBlank="1" showInputMessage="1" showErrorMessage="1" sqref="D15" xr:uid="{B634A52C-C85F-4A09-B2C0-342B19D9D800}">
      <formula1>Commercial_HPs</formula1>
    </dataValidation>
    <dataValidation type="list" allowBlank="1" showInputMessage="1" showErrorMessage="1" errorTitle="Valid Postcodes" error="Postcode must be from list" sqref="D4" xr:uid="{2C7B731B-3661-4664-9858-1B5B5B722832}">
      <formula1>Postcodes</formula1>
    </dataValidation>
    <dataValidation type="date" allowBlank="1" showInputMessage="1" showErrorMessage="1" errorTitle="Date Range" error="Date must be between 01 Jan 2022 and 31 Dec 2030" promptTitle="Installation Date" prompt="Input a date between 01 Jan 2022 and 31 Dec 2030" sqref="D12" xr:uid="{443C1F8C-CA30-4F84-AE69-5F529D2FD454}">
      <formula1>44562</formula1>
      <formula2>47848</formula2>
    </dataValidation>
  </dataValidations>
  <hyperlinks>
    <hyperlink ref="G31" r:id="rId1" xr:uid="{968FC0D5-E947-4341-8E77-C1266CB76D22}"/>
    <hyperlink ref="G33" r:id="rId2" xr:uid="{15302643-F28C-4CF6-8C74-F7F89D2F3902}"/>
    <hyperlink ref="G32" r:id="rId3" xr:uid="{6ADBCED8-527B-4DFF-B76A-FE43375AF49B}"/>
  </hyperlinks>
  <pageMargins left="0.7" right="0.7" top="0.75" bottom="0.75" header="0.3" footer="0.3"/>
  <pageSetup orientation="portrait" r:id="rId4"/>
  <extLst>
    <ext xmlns:x14="http://schemas.microsoft.com/office/spreadsheetml/2009/9/main" uri="{CCE6A557-97BC-4b89-ADB6-D9C93CAAB3DF}">
      <x14:dataValidations xmlns:xm="http://schemas.microsoft.com/office/excel/2006/main" count="2">
        <x14:dataValidation type="list" allowBlank="1" showInputMessage="1" showErrorMessage="1" xr:uid="{F59C2A06-52B1-4409-96B1-397EC564149D}">
          <x14:formula1>
            <xm:f>Factors!$S$23:$S$25</xm:f>
          </x14:formula1>
          <xm:sqref>D17</xm:sqref>
        </x14:dataValidation>
        <x14:dataValidation type="list" allowBlank="1" showInputMessage="1" showErrorMessage="1" xr:uid="{D16866F8-6FC1-496C-97EE-C708AF56A990}">
          <x14:formula1>
            <xm:f>Factors!$R$49:$R$50</xm:f>
          </x14:formula1>
          <xm:sqref>D19</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FD924-7993-4BC8-96E8-BE518E3CBFDB}">
  <sheetPr codeName="Sheet4">
    <tabColor rgb="FF00B0F0"/>
  </sheetPr>
  <dimension ref="B1:F24"/>
  <sheetViews>
    <sheetView topLeftCell="A5" zoomScale="85" zoomScaleNormal="85" workbookViewId="0">
      <selection activeCell="C26" sqref="C26"/>
    </sheetView>
  </sheetViews>
  <sheetFormatPr defaultColWidth="8.76953125" defaultRowHeight="14.75"/>
  <cols>
    <col min="1" max="1" width="8.76953125" style="65"/>
    <col min="2" max="2" width="18.76953125" style="65" customWidth="1"/>
    <col min="3" max="3" width="38.76953125" style="65" bestFit="1" customWidth="1"/>
    <col min="4" max="4" width="34.54296875" style="65" bestFit="1" customWidth="1"/>
    <col min="5" max="5" width="26.08984375" style="65" customWidth="1"/>
    <col min="6" max="6" width="49.54296875" style="65" customWidth="1"/>
    <col min="7" max="7" width="16.86328125" style="65" customWidth="1"/>
    <col min="8" max="8" width="18" style="65" customWidth="1"/>
    <col min="9" max="12" width="16.86328125" style="65" customWidth="1"/>
    <col min="13" max="13" width="23.08984375" style="65" bestFit="1" customWidth="1"/>
    <col min="14" max="14" width="18.2265625" style="65" customWidth="1"/>
    <col min="15" max="15" width="13.76953125" style="65" bestFit="1" customWidth="1"/>
    <col min="16" max="16" width="13.86328125" style="65" bestFit="1" customWidth="1"/>
    <col min="17" max="17" width="12.76953125" style="65" bestFit="1" customWidth="1"/>
    <col min="18" max="18" width="13.2265625" style="65" bestFit="1" customWidth="1"/>
    <col min="19" max="19" width="13" style="65" customWidth="1"/>
    <col min="20" max="16384" width="8.76953125" style="65"/>
  </cols>
  <sheetData>
    <row r="1" spans="3:6" ht="33.75">
      <c r="C1" s="64" t="s">
        <v>210</v>
      </c>
    </row>
    <row r="2" spans="3:6" ht="19.5" customHeight="1">
      <c r="C2" s="64"/>
    </row>
    <row r="3" spans="3:6">
      <c r="E3" s="66" t="s">
        <v>71</v>
      </c>
    </row>
    <row r="4" spans="3:6">
      <c r="C4" s="4" t="s">
        <v>514</v>
      </c>
      <c r="D4" s="70">
        <v>2864</v>
      </c>
      <c r="E4" s="71" t="str">
        <f>INDEX(Factors!$AD$3:$AD$1688,MATCH(Lighting!$D$4,Factors!$Y$3:$Y$1688,0))</f>
        <v>Regional</v>
      </c>
    </row>
    <row r="6" spans="3:6">
      <c r="C6" s="67"/>
      <c r="E6" s="66" t="s">
        <v>515</v>
      </c>
    </row>
    <row r="7" spans="3:6">
      <c r="C7" s="67" t="s">
        <v>545</v>
      </c>
      <c r="D7" s="69" t="s">
        <v>215</v>
      </c>
      <c r="E7" s="308" t="str">
        <f>VLOOKUP(Lighting_Activity,Factors!$AQ$5:$AR$8,2,FALSE)</f>
        <v>Replace halogen downlight with an led luminaire and/or lamp</v>
      </c>
      <c r="F7" s="309"/>
    </row>
    <row r="8" spans="3:6">
      <c r="C8" s="67"/>
      <c r="D8" s="67"/>
    </row>
    <row r="9" spans="3:6">
      <c r="C9" s="66" t="str">
        <f>IF(Lighting_Activity="E1","Existing lamp details*","Existing lamp details")</f>
        <v>Existing lamp details*</v>
      </c>
    </row>
    <row r="10" spans="3:6">
      <c r="C10" s="67" t="s">
        <v>549</v>
      </c>
      <c r="D10" s="70" t="s">
        <v>217</v>
      </c>
      <c r="E10" s="66" t="s">
        <v>550</v>
      </c>
      <c r="F10" s="66"/>
    </row>
    <row r="11" spans="3:6">
      <c r="C11" s="67" t="str">
        <f>"3. Input Existing Lamp "&amp;VLOOKUP(Lighting_Activity,Factors!$AQ$5:$AS$8,3,FALSE)</f>
        <v>3. Input Existing Lamp Equipment Class</v>
      </c>
      <c r="D11" s="69">
        <v>80</v>
      </c>
      <c r="E11" s="308" t="str">
        <f>VLOOKUP(Lighting_Activity,Factors!$AQ$5:$AT$8,4,FALSE)</f>
        <v/>
      </c>
      <c r="F11" s="309"/>
    </row>
    <row r="12" spans="3:6">
      <c r="C12" s="67"/>
      <c r="D12" s="66"/>
      <c r="F12" s="68"/>
    </row>
    <row r="13" spans="3:6">
      <c r="C13" s="67" t="s">
        <v>546</v>
      </c>
      <c r="D13" s="69">
        <v>10</v>
      </c>
      <c r="F13" s="68"/>
    </row>
    <row r="14" spans="3:6">
      <c r="C14" s="67"/>
      <c r="D14" s="67"/>
    </row>
    <row r="15" spans="3:6">
      <c r="C15" s="66" t="str">
        <f>IF(OR(Lighting_Activity="E1",Lighting_Activity="E3"),"Replacement Lamp Details**","Replacement Lamp Details")</f>
        <v>Replacement Lamp Details**</v>
      </c>
      <c r="E15" s="66" t="s">
        <v>516</v>
      </c>
      <c r="F15" s="66" t="s">
        <v>287</v>
      </c>
    </row>
    <row r="16" spans="3:6">
      <c r="C16" s="67" t="s">
        <v>547</v>
      </c>
      <c r="D16" s="69" t="s">
        <v>218</v>
      </c>
      <c r="E16" s="71" t="str" cm="1">
        <f t="array" ref="E16">_xlfn.IFNA(_xlfn.IFS(Lighting_Activity="E1",INDEX('E1'!$F$6:$F$11,MATCH(Lighting!Replacement_Lamp_Model,E1_models,0)),Lighting_Activity="E3",INDEX('E3'!G6,MATCH(Lighting!Replacement_Lamp_Model,E3_models,0))),"")</f>
        <v>90°</v>
      </c>
      <c r="F16" s="71" t="str">
        <f>_xlfn.IFNA(VLOOKUP(Replacement_Lamp_Model,'E1'!C6:E11,3,FALSE),"")</f>
        <v>LED Lamp only – 240V Self Ballasted</v>
      </c>
    </row>
    <row r="17" spans="2:6">
      <c r="C17" s="67"/>
      <c r="D17" s="67"/>
    </row>
    <row r="18" spans="2:6">
      <c r="C18" s="67" t="s">
        <v>548</v>
      </c>
      <c r="D18" s="69">
        <v>1</v>
      </c>
    </row>
    <row r="19" spans="2:6">
      <c r="C19" s="67"/>
    </row>
    <row r="20" spans="2:6">
      <c r="C20" s="72" t="str">
        <f>IF(D20="-","***Number of ESCs","Number of ESCs")</f>
        <v>Number of ESCs</v>
      </c>
      <c r="D20" s="112" cm="1">
        <f t="array" ref="D20">_xlfn.IFNA(INDEX('Lighting Product Summary'!$D$2:$E$13,MATCH(1,(Replacement_Lamp_Model='Lighting Product Summary'!$C$2:$C$13)*(Lighting_Activity='Lighting Product Summary'!$A$2:$A$13),0),MATCH(Lighting_Region,'Lighting Product Summary'!$D$1:$E$1,0)),"")</f>
        <v>5.8957200000000007</v>
      </c>
      <c r="F20" s="68"/>
    </row>
    <row r="22" spans="2:6">
      <c r="B22" s="65" t="str">
        <f>VLOOKUP(Lighting!Lighting_Activity,Factors!$AQ$5:$AX$8,7,FALSE)</f>
        <v>*The existing Lamp must be rated at either 35W or 50W.</v>
      </c>
    </row>
    <row r="23" spans="2:6">
      <c r="B23" s="65" t="str">
        <f>VLOOKUP(Lighting!Lighting_Activity,Factors!$AQ$5:$AX$8,8,FALSE)</f>
        <v>**The new End-User Equipment must have a beam angle consistent with the original Lamp being replaced.</v>
      </c>
    </row>
    <row r="24" spans="2:6">
      <c r="B24" s="65" t="str">
        <f>IF(D20="-","***Not eligible for ESCs. See " &amp;Lighting_Activity&amp;" tab for more details.","")</f>
        <v/>
      </c>
    </row>
  </sheetData>
  <mergeCells count="2">
    <mergeCell ref="E7:F7"/>
    <mergeCell ref="E11:F11"/>
  </mergeCells>
  <conditionalFormatting sqref="C11">
    <cfRule type="expression" dxfId="9" priority="15">
      <formula>$D$7="E1"</formula>
    </cfRule>
  </conditionalFormatting>
  <conditionalFormatting sqref="D10">
    <cfRule type="colorScale" priority="24">
      <colorScale>
        <cfvo type="min"/>
        <cfvo type="max"/>
        <color rgb="FFFF7128"/>
        <color rgb="FFFFEF9C"/>
      </colorScale>
    </cfRule>
  </conditionalFormatting>
  <conditionalFormatting sqref="D11">
    <cfRule type="expression" dxfId="7" priority="16">
      <formula>$D$7="E1"</formula>
    </cfRule>
  </conditionalFormatting>
  <conditionalFormatting sqref="E10">
    <cfRule type="expression" dxfId="6" priority="9">
      <formula>$D$7="E1"</formula>
    </cfRule>
  </conditionalFormatting>
  <conditionalFormatting sqref="E15">
    <cfRule type="expression" dxfId="5" priority="3">
      <formula>OR($D$7="E5",$D$7="E11")</formula>
    </cfRule>
  </conditionalFormatting>
  <conditionalFormatting sqref="E16">
    <cfRule type="expression" dxfId="4" priority="4">
      <formula>OR($D$7="E5",$D$7="E11")</formula>
    </cfRule>
  </conditionalFormatting>
  <conditionalFormatting sqref="E11:F11">
    <cfRule type="expression" dxfId="3" priority="1">
      <formula>$D$7="E1"</formula>
    </cfRule>
  </conditionalFormatting>
  <conditionalFormatting sqref="F15">
    <cfRule type="expression" dxfId="2" priority="7">
      <formula>$D$7&lt;&gt;"E1"</formula>
    </cfRule>
  </conditionalFormatting>
  <conditionalFormatting sqref="F16">
    <cfRule type="expression" dxfId="1" priority="2">
      <formula>OR($D$7="E5",$D$7="E11")</formula>
    </cfRule>
    <cfRule type="expression" dxfId="0" priority="5">
      <formula>$D$7="E3"</formula>
    </cfRule>
  </conditionalFormatting>
  <dataValidations count="5">
    <dataValidation type="list" allowBlank="1" showInputMessage="1" showErrorMessage="1" sqref="D16" xr:uid="{F82C5775-890A-41CD-AD3A-0E29536C6EC6}">
      <formula1>_xlfn.IFS(Lighting_Activity="E1",E1_models,Lighting_Activity="E11",E11_models,Lighting_Activity="E5",E5_models,Lighting_Activity="E3",E3_models)</formula1>
    </dataValidation>
    <dataValidation type="whole" operator="greaterThan" allowBlank="1" showErrorMessage="1" errorTitle="Number of replacement lamps" error="Must be an integer greater than 0" promptTitle="Number of existing lamps" prompt="Input the number of existing lamps that are being replaced by one replacement lamp" sqref="D13" xr:uid="{86C54949-6278-45EA-8230-9042FD52ECEF}">
      <formula1>0</formula1>
    </dataValidation>
    <dataValidation type="list" allowBlank="1" showInputMessage="1" showErrorMessage="1" errorTitle="Postcode Validation" error="Postcode must be in New South Wales. Please select from list." sqref="D4" xr:uid="{C7144A20-1668-4275-8C9C-16091A25D049}">
      <formula1>NSW_Postcode</formula1>
    </dataValidation>
    <dataValidation type="custom" operator="greaterThan" allowBlank="1" showInputMessage="1" showErrorMessage="1" errorTitle="Number of Replacement Lamps" error="Number of replacement lamps must be a factor of the number of existing lamps" sqref="D18" xr:uid="{6CE717FD-2CE0-4E74-9231-EA57CFDBE2CA}">
      <formula1>MOD(D13,D18)=0</formula1>
    </dataValidation>
    <dataValidation type="whole" allowBlank="1" showInputMessage="1" showErrorMessage="1" errorTitle="Data Validation" error="Input does not adhere to data validation specified in next cell" sqref="D11" xr:uid="{CBBF3292-AC76-421E-94C3-46BCD933DEC2}">
      <formula1>_xlfn.IFS(D7="E3",80,D7="E5",550,D7="E11",0)</formula1>
      <formula2>_xlfn.IFS(D7="E3",159,D7="E5",1500,D7="E11",1E+99)</formula2>
    </dataValidation>
  </dataValidations>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20" id="{05B23DEF-2ECA-4A0B-986E-1780E1FCA21B}">
            <xm:f>COUNTIF(Factors!$AQ$6:$AQ$8,$D$7)&gt;0</xm:f>
            <x14:dxf>
              <font>
                <color theme="0"/>
              </font>
              <fill>
                <patternFill>
                  <bgColor theme="0"/>
                </patternFill>
              </fill>
              <border>
                <left/>
                <right/>
                <top/>
                <bottom/>
                <vertical/>
                <horizontal/>
              </border>
            </x14:dxf>
          </x14:cfRule>
          <xm:sqref>C10</xm:sqref>
        </x14:conditionalFormatting>
        <x14:conditionalFormatting xmlns:xm="http://schemas.microsoft.com/office/excel/2006/main">
          <x14:cfRule type="expression" priority="21" id="{1B9F39A5-2C82-4A9D-B346-FFC913188D33}">
            <xm:f>COUNTIF(Factors!$AQ$6:$AQ$8,$D$7)&gt;0</xm:f>
            <x14:dxf>
              <font>
                <color theme="0"/>
              </font>
              <fill>
                <patternFill>
                  <bgColor theme="0"/>
                </patternFill>
              </fill>
              <border>
                <left/>
                <right/>
                <top/>
                <bottom style="thin">
                  <color rgb="FF7F7F7F"/>
                </bottom>
              </border>
            </x14:dxf>
          </x14:cfRule>
          <xm:sqref>D10</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4ADA273-9A85-4CE7-83F5-58725BBCBAF3}">
          <x14:formula1>
            <xm:f>Factors!$AQ$5:$AQ$8</xm:f>
          </x14:formula1>
          <xm:sqref>D7 D13</xm:sqref>
        </x14:dataValidation>
        <x14:dataValidation type="decimal" allowBlank="1" showInputMessage="1" showErrorMessage="1" xr:uid="{CEA13576-181C-4E70-9571-23194A828F9A}">
          <x14:formula1>
            <xm:f>_xlfn.IFS(D6="E3",80,D6="E5",Factors!$AU$7,D6="E11",0)</xm:f>
          </x14:formula1>
          <x14:formula2>
            <xm:f>100</xm:f>
          </x14:formula2>
          <xm:sqref>D11</xm:sqref>
        </x14:dataValidation>
        <x14:dataValidation type="list" allowBlank="1" showInputMessage="1" showErrorMessage="1" xr:uid="{379573C5-37BF-43B6-93B8-FA5DFC628667}">
          <x14:formula1>
            <xm:f>Factors!$AI$5:$AI$12</xm:f>
          </x14:formula1>
          <xm:sqref>D10</xm:sqref>
        </x14:dataValidation>
        <x14:dataValidation type="list" allowBlank="1" showInputMessage="1" showErrorMessage="1" xr:uid="{B0E8FAD9-2210-499B-9010-7FA721FC87FB}">
          <x14:formula1>
            <xm:f>IF($F$16="LED Lamp only",Factors!$AI$5:$AI$10,Factors!$AI$5:$AI$12)</xm:f>
          </x14:formula1>
          <xm:sqref>D10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65742A-552E-4FBA-ACF4-B4D4B9E3605E}">
  <sheetPr codeName="Sheet5"/>
  <dimension ref="A1:E13"/>
  <sheetViews>
    <sheetView workbookViewId="0">
      <selection activeCell="D4" sqref="D4"/>
    </sheetView>
  </sheetViews>
  <sheetFormatPr defaultRowHeight="14.75"/>
  <cols>
    <col min="1" max="1" width="6.76953125" bestFit="1" customWidth="1"/>
    <col min="2" max="2" width="13" bestFit="1" customWidth="1"/>
    <col min="3" max="3" width="16.453125" bestFit="1" customWidth="1"/>
    <col min="4" max="4" width="11.453125" bestFit="1" customWidth="1"/>
  </cols>
  <sheetData>
    <row r="1" spans="1:5">
      <c r="A1" t="s">
        <v>66</v>
      </c>
      <c r="B1" t="s">
        <v>40</v>
      </c>
      <c r="C1" t="s">
        <v>245</v>
      </c>
      <c r="D1" t="s">
        <v>1</v>
      </c>
      <c r="E1" t="s">
        <v>2</v>
      </c>
    </row>
    <row r="2" spans="1:5">
      <c r="A2" t="s">
        <v>215</v>
      </c>
      <c r="B2" t="s">
        <v>238</v>
      </c>
      <c r="C2" t="s">
        <v>216</v>
      </c>
      <c r="D2">
        <f>INDEX('E1'!$N$6:$N$11,MATCH('Lighting Product Summary'!C2,E1_models,0))</f>
        <v>5.7240000000000011</v>
      </c>
      <c r="E2">
        <f>INDEX('E1'!$O$6:$O$11,MATCH('Lighting Product Summary'!C2,E1_models,0))</f>
        <v>5.8957200000000007</v>
      </c>
    </row>
    <row r="3" spans="1:5">
      <c r="A3" t="s">
        <v>215</v>
      </c>
      <c r="B3" t="s">
        <v>238</v>
      </c>
      <c r="C3" t="s">
        <v>213</v>
      </c>
      <c r="D3">
        <f>INDEX('E1'!$N$6:$N$11,MATCH('Lighting Product Summary'!C3,E1_models,0))</f>
        <v>5.5120000000000005</v>
      </c>
      <c r="E3">
        <f>INDEX('E1'!$O$6:$O$11,MATCH('Lighting Product Summary'!C3,E1_models,0))</f>
        <v>5.6773600000000011</v>
      </c>
    </row>
    <row r="4" spans="1:5">
      <c r="A4" t="s">
        <v>215</v>
      </c>
      <c r="B4" t="s">
        <v>214</v>
      </c>
      <c r="C4" t="s">
        <v>540</v>
      </c>
      <c r="D4">
        <f>INDEX('E1'!$N$6:$N$11,MATCH('Lighting Product Summary'!C4,E1_models,0))</f>
        <v>5.7240000000000011</v>
      </c>
      <c r="E4">
        <f>INDEX('E1'!$O$6:$O$11,MATCH('Lighting Product Summary'!C4,E1_models,0))</f>
        <v>5.8957200000000007</v>
      </c>
    </row>
    <row r="5" spans="1:5">
      <c r="A5" t="s">
        <v>215</v>
      </c>
      <c r="B5" t="s">
        <v>214</v>
      </c>
      <c r="C5" t="s">
        <v>541</v>
      </c>
      <c r="D5">
        <f>INDEX('E1'!$N$6:$N$11,MATCH('Lighting Product Summary'!C5,E1_models,0))</f>
        <v>5.5120000000000005</v>
      </c>
      <c r="E5">
        <f>INDEX('E1'!$O$6:$O$11,MATCH('Lighting Product Summary'!C5,E1_models,0))</f>
        <v>5.6773600000000011</v>
      </c>
    </row>
    <row r="6" spans="1:5">
      <c r="A6" t="s">
        <v>215</v>
      </c>
      <c r="B6" t="s">
        <v>219</v>
      </c>
      <c r="C6" t="s">
        <v>221</v>
      </c>
      <c r="D6">
        <f>INDEX('E1'!$N$6:$N$11,MATCH('Lighting Product Summary'!C6,E1_models,0))</f>
        <v>5.7240000000000011</v>
      </c>
      <c r="E6">
        <f>INDEX('E1'!$O$6:$O$11,MATCH('Lighting Product Summary'!C6,E1_models,0))</f>
        <v>5.8957200000000007</v>
      </c>
    </row>
    <row r="7" spans="1:5">
      <c r="A7" t="s">
        <v>215</v>
      </c>
      <c r="B7" t="s">
        <v>219</v>
      </c>
      <c r="C7" t="s">
        <v>218</v>
      </c>
      <c r="D7">
        <f>INDEX('E1'!$N$6:$N$11,MATCH('Lighting Product Summary'!C7,E1_models,0))</f>
        <v>5.7240000000000011</v>
      </c>
      <c r="E7">
        <f>INDEX('E1'!$O$6:$O$11,MATCH('Lighting Product Summary'!C7,E1_models,0))</f>
        <v>5.8957200000000007</v>
      </c>
    </row>
    <row r="8" spans="1:5">
      <c r="A8" t="s">
        <v>244</v>
      </c>
      <c r="B8" t="s">
        <v>219</v>
      </c>
      <c r="C8" t="s">
        <v>243</v>
      </c>
      <c r="D8" s="73" t="str">
        <f>'E3'!O6</f>
        <v>-</v>
      </c>
      <c r="E8" s="73" t="str">
        <f>'E3'!P6</f>
        <v>-</v>
      </c>
    </row>
    <row r="9" spans="1:5">
      <c r="A9" t="s">
        <v>241</v>
      </c>
      <c r="B9" t="s">
        <v>219</v>
      </c>
      <c r="C9" t="s">
        <v>242</v>
      </c>
      <c r="D9">
        <f>INDEX('E11'!$M$6:$M$7,MATCH('Lighting Product Summary'!C9,E11_models,0))</f>
        <v>0</v>
      </c>
      <c r="E9">
        <f>INDEX('E11'!$N$6:$N$7,MATCH('Lighting Product Summary'!C9,E11_models,0))</f>
        <v>0</v>
      </c>
    </row>
    <row r="10" spans="1:5">
      <c r="A10" t="s">
        <v>241</v>
      </c>
      <c r="B10" t="s">
        <v>219</v>
      </c>
      <c r="C10" t="s">
        <v>240</v>
      </c>
      <c r="D10">
        <f>INDEX('E11'!$M$6:$M$7,MATCH('Lighting Product Summary'!C10,E11_models,0))</f>
        <v>0</v>
      </c>
      <c r="E10">
        <f>INDEX('E11'!$N$6:$N$7,MATCH('Lighting Product Summary'!C10,E11_models,0))</f>
        <v>0</v>
      </c>
    </row>
    <row r="11" spans="1:5">
      <c r="A11" t="s">
        <v>236</v>
      </c>
      <c r="B11" t="s">
        <v>238</v>
      </c>
      <c r="C11" t="s">
        <v>239</v>
      </c>
      <c r="D11">
        <f>INDEX('E5'!$N$6:$N$8,MATCH('Lighting Product Summary'!C11,E5_models,0))</f>
        <v>3</v>
      </c>
      <c r="E11">
        <f>INDEX('E5'!$O$6:$O$8,MATCH('Lighting Product Summary'!C11,E5_models,0))</f>
        <v>3.1662200000000005</v>
      </c>
    </row>
    <row r="12" spans="1:5">
      <c r="A12" t="s">
        <v>236</v>
      </c>
      <c r="B12" t="s">
        <v>238</v>
      </c>
      <c r="C12" t="s">
        <v>237</v>
      </c>
      <c r="D12">
        <f>INDEX('E5'!$N$6:$N$8,MATCH('Lighting Product Summary'!C12,E5_models,0))</f>
        <v>3.8159999999999998</v>
      </c>
      <c r="E12">
        <f>INDEX('E5'!$O$6:$O$8,MATCH('Lighting Product Summary'!C12,E5_models,0))</f>
        <v>3.9304799999999998</v>
      </c>
    </row>
    <row r="13" spans="1:5">
      <c r="A13" t="s">
        <v>236</v>
      </c>
      <c r="B13" t="s">
        <v>219</v>
      </c>
      <c r="C13" t="s">
        <v>235</v>
      </c>
      <c r="D13">
        <f>INDEX('E5'!$N$6:$N$8,MATCH('Lighting Product Summary'!C13,E5_models,0))</f>
        <v>3</v>
      </c>
      <c r="E13">
        <f>INDEX('E5'!$O$6:$O$8,MATCH('Lighting Product Summary'!C13,E5_models,0))</f>
        <v>3.1662200000000005</v>
      </c>
    </row>
  </sheetData>
  <autoFilter ref="A1:C13" xr:uid="{A7A5080B-4FF5-4527-B45D-33D70372E48B}"/>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5909C-9534-4703-B848-7D1FC6E5A731}">
  <sheetPr>
    <tabColor rgb="FF43CEFF"/>
  </sheetPr>
  <dimension ref="B1:I48"/>
  <sheetViews>
    <sheetView zoomScaleNormal="100" workbookViewId="0">
      <selection activeCell="C26" sqref="C26"/>
    </sheetView>
  </sheetViews>
  <sheetFormatPr defaultColWidth="8.76953125" defaultRowHeight="14.75"/>
  <cols>
    <col min="1" max="1" width="8.76953125" style="123" customWidth="1"/>
    <col min="2" max="2" width="28.86328125" style="123" customWidth="1"/>
    <col min="3" max="3" width="30.6796875" style="123" bestFit="1" customWidth="1"/>
    <col min="4" max="4" width="18.2265625" style="123" bestFit="1" customWidth="1"/>
    <col min="5" max="5" width="47.1328125" style="123" customWidth="1"/>
    <col min="6" max="6" width="9.31640625" style="123" bestFit="1" customWidth="1"/>
    <col min="7" max="7" width="17.31640625" style="123" bestFit="1" customWidth="1"/>
    <col min="8" max="8" width="14.31640625" style="123" customWidth="1"/>
    <col min="9" max="9" width="12.08984375" style="123" bestFit="1" customWidth="1"/>
    <col min="10" max="10" width="18.2265625" style="123" customWidth="1"/>
    <col min="11" max="11" width="13.76953125" style="123" bestFit="1" customWidth="1"/>
    <col min="12" max="12" width="13.86328125" style="123" bestFit="1" customWidth="1"/>
    <col min="13" max="13" width="12.76953125" style="123" bestFit="1" customWidth="1"/>
    <col min="14" max="14" width="13.2265625" style="123" bestFit="1" customWidth="1"/>
    <col min="15" max="15" width="13" style="123" customWidth="1"/>
    <col min="16" max="16384" width="8.76953125" style="123"/>
  </cols>
  <sheetData>
    <row r="1" spans="2:5" ht="26">
      <c r="B1" s="136" t="s">
        <v>650</v>
      </c>
    </row>
    <row r="2" spans="2:5" ht="26">
      <c r="B2" s="136"/>
    </row>
    <row r="3" spans="2:5">
      <c r="B3" s="131" t="s">
        <v>653</v>
      </c>
    </row>
    <row r="4" spans="2:5">
      <c r="B4" s="4" t="s">
        <v>649</v>
      </c>
      <c r="D4" s="133">
        <v>3996</v>
      </c>
    </row>
    <row r="5" spans="2:5">
      <c r="C5" s="160" t="s">
        <v>364</v>
      </c>
      <c r="D5" s="11" t="str">
        <f>INDEX(Factors!$Z$3:$AE$4756,MATCH('AC Calculator'!$D$4,Postcodes,0),MATCH('AC Calculator'!C5,Postcode_Headings,0))</f>
        <v>VIC</v>
      </c>
    </row>
    <row r="6" spans="2:5">
      <c r="C6" s="149" t="s">
        <v>71</v>
      </c>
      <c r="D6" s="11" t="str">
        <f>INDEX(Factors!$Z$3:$AE$4756,MATCH('AC Calculator'!$D$4,Postcodes,0),MATCH('AC Calculator'!C6,Postcode_Headings,0))</f>
        <v>Regional</v>
      </c>
    </row>
    <row r="7" spans="2:5">
      <c r="C7" s="149" t="s">
        <v>558</v>
      </c>
      <c r="D7" s="11" t="str">
        <f>INDEX(Factors!$AF$3:$AF$4756,MATCH('AC Calculator'!$D$4,Postcodes,0))</f>
        <v>Mild</v>
      </c>
    </row>
    <row r="8" spans="2:5">
      <c r="B8" s="135"/>
    </row>
    <row r="9" spans="2:5">
      <c r="B9" s="4" t="s">
        <v>487</v>
      </c>
      <c r="D9" s="189">
        <v>45674</v>
      </c>
      <c r="E9" s="214"/>
    </row>
    <row r="10" spans="2:5">
      <c r="B10" s="217"/>
      <c r="C10" s="149" t="s">
        <v>36</v>
      </c>
      <c r="D10" s="11" cm="1">
        <f t="array" ref="D10">LOOKUP(2,1/(VEU_Electricity_Emissions_Factors[Start Date]&lt;=ACInstallationDate)/(VEU_Electricity_Emissions_Factors[End Date]&gt;=ACInstallationDate),VEU_Electricity_Emissions_Factors[EEFs])</f>
        <v>0.53339999999999999</v>
      </c>
    </row>
    <row r="11" spans="2:5">
      <c r="B11" s="4"/>
      <c r="C11" s="149" t="s">
        <v>73</v>
      </c>
      <c r="D11" s="11" cm="1">
        <f t="array" ref="D11">LOOKUP(2,1/(VEU_Electricity_Emissions_Factors[Start Date]&lt;=ACInstallationDate)/(VEU_Electricity_Emissions_Factors[End Date]&gt;=ACInstallationDate),VEU_Electricity_Emissions_Factors[EEFm])</f>
        <v>0.433</v>
      </c>
    </row>
    <row r="13" spans="2:5">
      <c r="B13" s="123" t="s">
        <v>667</v>
      </c>
      <c r="D13" s="133" t="s">
        <v>311</v>
      </c>
    </row>
    <row r="15" spans="2:5">
      <c r="B15" s="211" t="s">
        <v>710</v>
      </c>
    </row>
    <row r="16" spans="2:5">
      <c r="B16" s="4" t="s">
        <v>711</v>
      </c>
      <c r="D16" s="133" t="s">
        <v>580</v>
      </c>
    </row>
    <row r="17" spans="2:6">
      <c r="C17" s="149" t="s">
        <v>589</v>
      </c>
      <c r="D17" s="11">
        <f>'VEU-6'!C6</f>
        <v>15.5</v>
      </c>
      <c r="F17" s="131"/>
    </row>
    <row r="18" spans="2:6">
      <c r="C18" s="149" t="s">
        <v>588</v>
      </c>
      <c r="D18" s="11">
        <f>'VEU-6'!D6</f>
        <v>21</v>
      </c>
    </row>
    <row r="19" spans="2:6">
      <c r="C19" s="4"/>
    </row>
    <row r="20" spans="2:6">
      <c r="B20" s="211" t="s">
        <v>625</v>
      </c>
      <c r="C20" s="149"/>
    </row>
    <row r="21" spans="2:6">
      <c r="B21" s="123" t="s">
        <v>628</v>
      </c>
      <c r="D21" s="133" t="s">
        <v>581</v>
      </c>
    </row>
    <row r="22" spans="2:6">
      <c r="C22" s="149" t="s">
        <v>589</v>
      </c>
      <c r="D22" s="11">
        <f>INDEX('VEU-6'!$Q$6:$Q$11,MATCH(IndoorACUnit,'VEU-6'!$O$6:$O$11,0))</f>
        <v>2.8</v>
      </c>
    </row>
    <row r="23" spans="2:6">
      <c r="C23" s="149" t="s">
        <v>588</v>
      </c>
      <c r="D23" s="11">
        <f>INDEX('VEU-6'!$R$6:$R$11,MATCH(IndoorACUnit,'VEU-6'!$O$6:$O$11,0))</f>
        <v>3.2</v>
      </c>
    </row>
    <row r="24" spans="2:6">
      <c r="C24" s="149"/>
      <c r="D24" s="149"/>
    </row>
    <row r="25" spans="2:6">
      <c r="B25" s="123" t="s">
        <v>629</v>
      </c>
      <c r="C25" s="149"/>
      <c r="D25" s="133">
        <v>1</v>
      </c>
    </row>
    <row r="27" spans="2:6">
      <c r="B27" s="131" t="s">
        <v>652</v>
      </c>
    </row>
    <row r="28" spans="2:6">
      <c r="B28" s="123" t="s">
        <v>651</v>
      </c>
      <c r="D28" s="260" t="s">
        <v>658</v>
      </c>
      <c r="E28" s="258"/>
    </row>
    <row r="29" spans="2:6">
      <c r="C29" s="149" t="s">
        <v>576</v>
      </c>
      <c r="D29" s="259" t="str">
        <f>INDEX(Table_6.5[Scenario],MATCH('AC Calculator'!D28,Table_6.5[Decommissioned Product],0))</f>
        <v>(xi)</v>
      </c>
    </row>
    <row r="31" spans="2:6">
      <c r="B31" s="131" t="s">
        <v>359</v>
      </c>
    </row>
    <row r="33" spans="2:9">
      <c r="B33" s="167" t="s">
        <v>354</v>
      </c>
      <c r="C33" s="167" t="s">
        <v>363</v>
      </c>
      <c r="D33" s="166" t="s">
        <v>355</v>
      </c>
      <c r="E33" s="166" t="s">
        <v>369</v>
      </c>
    </row>
    <row r="34" spans="2:9">
      <c r="B34" s="134" t="s">
        <v>30</v>
      </c>
      <c r="C34" s="215">
        <f>VEECprice</f>
        <v>112.5</v>
      </c>
      <c r="D34" s="257" cm="1">
        <f t="array" ref="D34">ROUND(INDEX($E$39:$E$48,MATCH(1,(D13=$B$39:$B$48)*(D6=$C$39:$C$48)*(D7=$D$39:$D$48),0)),0)</f>
        <v>1</v>
      </c>
      <c r="E34" s="215">
        <f>D34*C34</f>
        <v>112.5</v>
      </c>
    </row>
    <row r="35" spans="2:9">
      <c r="C35" s="124"/>
    </row>
    <row r="36" spans="2:9">
      <c r="B36" s="168" t="s">
        <v>428</v>
      </c>
    </row>
    <row r="37" spans="2:9">
      <c r="I37" s="128"/>
    </row>
    <row r="38" spans="2:9">
      <c r="B38" s="98" t="s">
        <v>665</v>
      </c>
      <c r="C38" s="98" t="s">
        <v>557</v>
      </c>
      <c r="D38" s="98" t="s">
        <v>558</v>
      </c>
      <c r="E38" s="98" t="s">
        <v>355</v>
      </c>
      <c r="I38" s="128"/>
    </row>
    <row r="39" spans="2:9">
      <c r="B39" s="161" t="s">
        <v>311</v>
      </c>
      <c r="C39" s="161" t="s">
        <v>1</v>
      </c>
      <c r="D39" s="161" t="s">
        <v>559</v>
      </c>
      <c r="E39" s="216">
        <f>INDEX('VEU-6'!$AH$6:$AH$11,MATCH(IndoorACUnit,'VEU-6'!$O$6:$O$11,0))</f>
        <v>0.66831561031287356</v>
      </c>
    </row>
    <row r="40" spans="2:9">
      <c r="B40" s="161" t="s">
        <v>311</v>
      </c>
      <c r="C40" s="161" t="s">
        <v>1</v>
      </c>
      <c r="D40" s="161" t="s">
        <v>560</v>
      </c>
      <c r="E40" s="216">
        <f>INDEX('VEU-6'!$AO$6:$AO$11,MATCH(IndoorACUnit,'VEU-6'!$O$6:$O$11,0))</f>
        <v>0.72388541108070548</v>
      </c>
    </row>
    <row r="41" spans="2:9">
      <c r="B41" s="161" t="s">
        <v>311</v>
      </c>
      <c r="C41" s="161" t="s">
        <v>2</v>
      </c>
      <c r="D41" s="161" t="s">
        <v>559</v>
      </c>
      <c r="E41" s="216">
        <f>INDEX('VEU-6'!$AV$6:$AV$11,MATCH(IndoorACUnit,'VEU-6'!$O$6:$O$11,0))</f>
        <v>0.66831561031287356</v>
      </c>
    </row>
    <row r="42" spans="2:9">
      <c r="B42" s="161" t="s">
        <v>311</v>
      </c>
      <c r="C42" s="161" t="s">
        <v>2</v>
      </c>
      <c r="D42" s="161" t="s">
        <v>560</v>
      </c>
      <c r="E42" s="216">
        <f>INDEX('VEU-6'!$BC$6:$BC$11,MATCH(IndoorACUnit,'VEU-6'!$O$6:$O$11,0))</f>
        <v>0.76491576864012134</v>
      </c>
    </row>
    <row r="43" spans="2:9">
      <c r="B43" s="161" t="s">
        <v>311</v>
      </c>
      <c r="C43" s="161" t="s">
        <v>2</v>
      </c>
      <c r="D43" s="161" t="s">
        <v>561</v>
      </c>
      <c r="E43" s="216">
        <f>INDEX('VEU-6'!$BJ$6:$BJ$11,MATCH(IndoorACUnit,'VEU-6'!$O$6:$O$11,0))</f>
        <v>0.52956031267497727</v>
      </c>
    </row>
    <row r="44" spans="2:9">
      <c r="B44" s="161" t="s">
        <v>666</v>
      </c>
      <c r="C44" s="161" t="s">
        <v>1</v>
      </c>
      <c r="D44" s="161" t="s">
        <v>559</v>
      </c>
      <c r="E44" s="216">
        <f>INDEX('VEU-6'!$BQ$6:$BQ$11,MATCH(IndoorACUnit,'VEU-6'!$O$6:$O$11,0))</f>
        <v>0.55109729589208512</v>
      </c>
    </row>
    <row r="45" spans="2:9">
      <c r="B45" s="161" t="s">
        <v>666</v>
      </c>
      <c r="C45" s="161" t="s">
        <v>1</v>
      </c>
      <c r="D45" s="161" t="s">
        <v>560</v>
      </c>
      <c r="E45" s="216">
        <f>INDEX('VEU-6'!$BX$6:$BX$11,MATCH(IndoorACUnit,'VEU-6'!$O$6:$O$11,0))</f>
        <v>1.5162306395049099</v>
      </c>
    </row>
    <row r="46" spans="2:9">
      <c r="B46" s="161" t="s">
        <v>666</v>
      </c>
      <c r="C46" s="161" t="s">
        <v>2</v>
      </c>
      <c r="D46" s="161" t="s">
        <v>559</v>
      </c>
      <c r="E46" s="216">
        <f>INDEX('VEU-6'!$CE$6:$CE$11,MATCH(IndoorACUnit,'VEU-6'!$O$6:$O$11,0))</f>
        <v>0.55109729589208512</v>
      </c>
    </row>
    <row r="47" spans="2:9">
      <c r="B47" s="161" t="s">
        <v>666</v>
      </c>
      <c r="C47" s="161" t="s">
        <v>2</v>
      </c>
      <c r="D47" s="161" t="s">
        <v>560</v>
      </c>
      <c r="E47" s="216">
        <f>INDEX('VEU-6'!$BJ$6:$BJ$11,MATCH(IndoorACUnit,'VEU-6'!$O$6:$O$11,0))</f>
        <v>0.52956031267497727</v>
      </c>
    </row>
    <row r="48" spans="2:9">
      <c r="B48" s="161" t="s">
        <v>666</v>
      </c>
      <c r="C48" s="161" t="s">
        <v>2</v>
      </c>
      <c r="D48" s="161" t="s">
        <v>561</v>
      </c>
      <c r="E48" s="216">
        <f>INDEX('VEU-6'!$CS$6:$CS$11,MATCH(IndoorACUnit,'VEU-6'!$O$6:$O$11,0))</f>
        <v>0.51269854775524115</v>
      </c>
    </row>
  </sheetData>
  <dataValidations count="4">
    <dataValidation type="date" allowBlank="1" showInputMessage="1" showErrorMessage="1" errorTitle="Date Range" error="Date must be between 31 May 2023 and 31 December 2045" promptTitle="Installation Date" prompt="Input a date between 31 May 2023 and 31 December 2045." sqref="D9" xr:uid="{7A6A3A85-1C1A-4CCA-A237-C8F4CDC8721E}">
      <formula1>45077</formula1>
      <formula2>53327</formula2>
    </dataValidation>
    <dataValidation type="list" allowBlank="1" showErrorMessage="1" errorTitle="Valid Postcodes" error="Postcode must be from list" promptTitle="Enter Postcode" prompt="800" sqref="D4" xr:uid="{E6A31A95-CC24-4A1F-A2AD-230AFB16ECC1}">
      <formula1>VIC_Postcodes</formula1>
    </dataValidation>
    <dataValidation type="whole" operator="greaterThan" allowBlank="1" showInputMessage="1" showErrorMessage="1" errorTitle="Number validation error" error="Must be a whole number greater than 0" promptTitle="Number of AC Indoor Units" prompt="Must be a whole number greater than 0" sqref="D25" xr:uid="{3D277616-C0FA-4F98-BB3D-4700D272C170}">
      <formula1>0</formula1>
    </dataValidation>
    <dataValidation type="list" allowBlank="1" showErrorMessage="1" errorTitle="Valid Postcodes" error="Postcode must be from list" promptTitle="Enter Postcode" prompt="800" sqref="D13" xr:uid="{256EB024-653C-4062-A0F0-19B02FEA43D4}">
      <formula1>$B$39:$B$48</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DD4CFAB3-DA96-454A-A3E4-10624662D8B3}">
          <x14:formula1>
            <xm:f>'VEU-6'!$O$6:$O$11</xm:f>
          </x14:formula1>
          <xm:sqref>D21</xm:sqref>
        </x14:dataValidation>
        <x14:dataValidation type="list" allowBlank="1" showInputMessage="1" showErrorMessage="1" xr:uid="{9DE96C9F-EF3C-4EF0-9C16-4D55FDD1223C}">
          <x14:formula1>
            <xm:f>'VEU-6'!$A$6:$A$11</xm:f>
          </x14:formula1>
          <xm:sqref>D16</xm:sqref>
        </x14:dataValidation>
        <x14:dataValidation type="list" allowBlank="1" showInputMessage="1" showErrorMessage="1" xr:uid="{BDD36716-4EE0-4228-92D9-0940D47B9A03}">
          <x14:formula1>
            <xm:f>Factors!$BD$34:$BD$44</xm:f>
          </x14:formula1>
          <xm:sqref>D28</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63CA0-E08D-41C4-9F1A-AF18990EF0AE}">
  <sheetPr codeName="Sheet51">
    <tabColor rgb="FFFFC000"/>
  </sheetPr>
  <dimension ref="B1:BC26"/>
  <sheetViews>
    <sheetView topLeftCell="A6" zoomScale="97" zoomScaleNormal="100" workbookViewId="0">
      <selection activeCell="C26" sqref="C26"/>
    </sheetView>
  </sheetViews>
  <sheetFormatPr defaultColWidth="8.86328125" defaultRowHeight="12"/>
  <cols>
    <col min="1" max="1" width="8.86328125" style="80"/>
    <col min="2" max="2" width="13.08984375" style="80" customWidth="1"/>
    <col min="3" max="3" width="27.6796875" style="80" bestFit="1" customWidth="1"/>
    <col min="4" max="4" width="11.453125" style="80" bestFit="1" customWidth="1"/>
    <col min="5" max="6" width="5.2265625" style="80" customWidth="1"/>
    <col min="7" max="7" width="7.453125" style="80" customWidth="1"/>
    <col min="8" max="11" width="7.2265625" style="80" customWidth="1"/>
    <col min="12" max="12" width="11.31640625" style="80" bestFit="1" customWidth="1"/>
    <col min="13" max="14" width="5.86328125" style="80" customWidth="1"/>
    <col min="15" max="16" width="7.453125" style="80" customWidth="1"/>
    <col min="17" max="17" width="11.08984375" style="80" customWidth="1"/>
    <col min="18" max="18" width="6" style="80" customWidth="1"/>
    <col min="19" max="19" width="19.54296875" style="80" customWidth="1"/>
    <col min="20" max="20" width="15.2265625" style="80" customWidth="1"/>
    <col min="21" max="23" width="18.2265625" style="80" customWidth="1"/>
    <col min="24" max="24" width="14.453125" style="80" customWidth="1"/>
    <col min="25" max="25" width="23.6796875" style="80" bestFit="1" customWidth="1"/>
    <col min="26" max="26" width="19.76953125" style="80" bestFit="1" customWidth="1"/>
    <col min="27" max="30" width="10.76953125" style="80" bestFit="1" customWidth="1"/>
    <col min="31" max="32" width="10.86328125" style="80" customWidth="1"/>
    <col min="33" max="55" width="10.76953125" style="80" bestFit="1" customWidth="1"/>
    <col min="56" max="57" width="8.86328125" style="80"/>
    <col min="58" max="58" width="5.08984375" style="80" bestFit="1" customWidth="1"/>
    <col min="59" max="16384" width="8.86328125" style="80"/>
  </cols>
  <sheetData>
    <row r="1" spans="2:55" ht="18.5">
      <c r="B1" s="111" t="s">
        <v>330</v>
      </c>
    </row>
    <row r="2" spans="2:55" ht="12.25">
      <c r="C2" s="81"/>
      <c r="D2" s="81"/>
      <c r="E2" s="81"/>
      <c r="F2" s="81"/>
      <c r="G2" s="81"/>
      <c r="H2" s="81"/>
      <c r="I2" s="81"/>
      <c r="J2" s="81"/>
      <c r="K2" s="81"/>
      <c r="L2" s="81"/>
      <c r="M2" s="81"/>
      <c r="N2" s="81"/>
      <c r="O2" s="81"/>
      <c r="P2" s="81"/>
      <c r="Q2" s="81"/>
      <c r="R2" s="81"/>
      <c r="S2" s="81"/>
      <c r="T2" s="81"/>
      <c r="U2" s="81"/>
      <c r="V2" s="81"/>
      <c r="W2" s="81"/>
      <c r="X2" s="81"/>
      <c r="Y2" s="81"/>
      <c r="Z2" s="81"/>
      <c r="AA2" s="81"/>
      <c r="AB2" s="81"/>
      <c r="AC2" s="150" t="s">
        <v>25</v>
      </c>
      <c r="AD2" s="150" t="s">
        <v>430</v>
      </c>
      <c r="AE2" s="150" t="s">
        <v>430</v>
      </c>
      <c r="AF2" s="150" t="s">
        <v>431</v>
      </c>
      <c r="AG2" s="150" t="s">
        <v>431</v>
      </c>
      <c r="AH2" s="150" t="s">
        <v>432</v>
      </c>
      <c r="AI2" s="150" t="s">
        <v>432</v>
      </c>
      <c r="AJ2" s="150" t="s">
        <v>430</v>
      </c>
      <c r="AK2" s="150" t="s">
        <v>430</v>
      </c>
      <c r="AL2" s="150" t="s">
        <v>431</v>
      </c>
      <c r="AM2" s="150" t="s">
        <v>431</v>
      </c>
      <c r="AN2" s="150" t="s">
        <v>432</v>
      </c>
      <c r="AO2" s="150" t="s">
        <v>432</v>
      </c>
      <c r="AP2" s="151" t="str">
        <f t="shared" ref="AP2:AP4" si="0">AQ2</f>
        <v>F16 Gas</v>
      </c>
      <c r="AQ2" s="150" t="s">
        <v>190</v>
      </c>
      <c r="AR2" s="150" t="str">
        <f t="shared" ref="AR2:AR4" si="1">AS2</f>
        <v>F16 Elec</v>
      </c>
      <c r="AS2" s="150" t="s">
        <v>189</v>
      </c>
      <c r="AT2" s="150" t="str">
        <f t="shared" ref="AT2:AT4" si="2">AU2</f>
        <v>F17 New</v>
      </c>
      <c r="AU2" s="150" t="s">
        <v>188</v>
      </c>
      <c r="AV2" s="150" t="str">
        <f t="shared" ref="AV2:AV4" si="3">AW2</f>
        <v>F16 Gas</v>
      </c>
      <c r="AW2" s="150" t="s">
        <v>190</v>
      </c>
      <c r="AX2" s="150" t="str">
        <f t="shared" ref="AX2:AX4" si="4">AY2</f>
        <v>F16 Elec</v>
      </c>
      <c r="AY2" s="150" t="s">
        <v>189</v>
      </c>
      <c r="AZ2" s="150" t="str">
        <f t="shared" ref="AZ2:AZ4" si="5">BA2</f>
        <v>F17 New</v>
      </c>
      <c r="BA2" s="150" t="s">
        <v>188</v>
      </c>
      <c r="BB2" s="151" t="s">
        <v>419</v>
      </c>
      <c r="BC2" s="151" t="s">
        <v>419</v>
      </c>
    </row>
    <row r="3" spans="2:55" ht="12.25">
      <c r="B3" s="81"/>
      <c r="C3" s="82"/>
      <c r="D3" s="82"/>
      <c r="E3" s="82"/>
      <c r="F3" s="82"/>
      <c r="G3" s="82"/>
      <c r="H3" s="82"/>
      <c r="I3" s="82"/>
      <c r="J3" s="82"/>
      <c r="K3" s="82"/>
      <c r="L3" s="82"/>
      <c r="M3" s="81"/>
      <c r="N3" s="81"/>
      <c r="O3" s="81"/>
      <c r="P3" s="81"/>
      <c r="Q3" s="81" t="str">
        <f>IF(_xlfn.IFNA(MATCH(C7,[1]FAM_COM!$D$6:$YU$6,0),1)&lt;1,"R-290","")</f>
        <v/>
      </c>
      <c r="R3" s="81"/>
      <c r="S3" s="81"/>
      <c r="T3" s="81"/>
      <c r="U3" s="81"/>
      <c r="V3" s="81"/>
      <c r="W3" s="81"/>
      <c r="X3" s="81"/>
      <c r="Y3" s="81"/>
      <c r="Z3" s="81"/>
      <c r="AA3" s="81"/>
      <c r="AB3" s="81"/>
      <c r="AC3" s="150" t="s">
        <v>62</v>
      </c>
      <c r="AD3" s="150">
        <v>4</v>
      </c>
      <c r="AE3" s="150">
        <v>5</v>
      </c>
      <c r="AF3" s="150">
        <v>4</v>
      </c>
      <c r="AG3" s="150">
        <v>5</v>
      </c>
      <c r="AH3" s="150">
        <v>4</v>
      </c>
      <c r="AI3" s="150">
        <v>5</v>
      </c>
      <c r="AJ3" s="150">
        <v>4</v>
      </c>
      <c r="AK3" s="150">
        <v>5</v>
      </c>
      <c r="AL3" s="150">
        <v>4</v>
      </c>
      <c r="AM3" s="150">
        <v>5</v>
      </c>
      <c r="AN3" s="150">
        <v>4</v>
      </c>
      <c r="AO3" s="150">
        <v>5</v>
      </c>
      <c r="AP3" s="150">
        <v>3</v>
      </c>
      <c r="AQ3" s="150">
        <v>5</v>
      </c>
      <c r="AR3" s="150">
        <v>3</v>
      </c>
      <c r="AS3" s="150">
        <v>5</v>
      </c>
      <c r="AT3" s="150">
        <v>3</v>
      </c>
      <c r="AU3" s="150">
        <v>5</v>
      </c>
      <c r="AV3" s="150">
        <v>3</v>
      </c>
      <c r="AW3" s="150">
        <v>5</v>
      </c>
      <c r="AX3" s="150">
        <v>3</v>
      </c>
      <c r="AY3" s="150">
        <v>5</v>
      </c>
      <c r="AZ3" s="150">
        <v>3</v>
      </c>
      <c r="BA3" s="150">
        <v>5</v>
      </c>
      <c r="BB3" s="151">
        <v>3</v>
      </c>
      <c r="BC3" s="151">
        <v>5</v>
      </c>
    </row>
    <row r="4" spans="2:55" ht="12.25">
      <c r="B4" s="81"/>
      <c r="C4" s="81"/>
      <c r="D4" s="81"/>
      <c r="E4" s="81"/>
      <c r="F4" s="81"/>
      <c r="G4" s="81"/>
      <c r="H4" s="81"/>
      <c r="I4" s="81"/>
      <c r="J4" s="81"/>
      <c r="K4" s="81"/>
      <c r="L4" s="81"/>
      <c r="M4" s="81"/>
      <c r="N4" s="81"/>
      <c r="O4" s="81"/>
      <c r="P4" s="81"/>
      <c r="Q4" s="81" t="str">
        <f>IF(_xlfn.IFNA(MATCH(C8,[1]FAM_COM!$D$6:$YU$6,0),1)&lt;1,"R-290","")</f>
        <v/>
      </c>
      <c r="R4" s="81"/>
      <c r="S4" s="81"/>
      <c r="T4" s="81"/>
      <c r="U4" s="81"/>
      <c r="V4" s="81"/>
      <c r="W4" s="81"/>
      <c r="X4" s="81"/>
      <c r="Y4" s="81"/>
      <c r="Z4" s="81"/>
      <c r="AA4" s="81"/>
      <c r="AB4" s="81"/>
      <c r="AC4" s="150" t="s">
        <v>71</v>
      </c>
      <c r="AD4" s="150" t="s">
        <v>1</v>
      </c>
      <c r="AE4" s="150" t="s">
        <v>1</v>
      </c>
      <c r="AF4" s="150" t="s">
        <v>1</v>
      </c>
      <c r="AG4" s="150" t="s">
        <v>1</v>
      </c>
      <c r="AH4" s="150" t="s">
        <v>1</v>
      </c>
      <c r="AI4" s="150" t="s">
        <v>1</v>
      </c>
      <c r="AJ4" s="150" t="s">
        <v>2</v>
      </c>
      <c r="AK4" s="150" t="s">
        <v>2</v>
      </c>
      <c r="AL4" s="150" t="s">
        <v>2</v>
      </c>
      <c r="AM4" s="150" t="s">
        <v>2</v>
      </c>
      <c r="AN4" s="150" t="s">
        <v>2</v>
      </c>
      <c r="AO4" s="150" t="s">
        <v>2</v>
      </c>
      <c r="AP4" s="151" t="str">
        <f t="shared" si="0"/>
        <v>Metropolitan</v>
      </c>
      <c r="AQ4" s="150" t="s">
        <v>1</v>
      </c>
      <c r="AR4" s="150" t="str">
        <f t="shared" si="1"/>
        <v>Metropolitan</v>
      </c>
      <c r="AS4" s="150" t="s">
        <v>1</v>
      </c>
      <c r="AT4" s="150" t="str">
        <f t="shared" si="2"/>
        <v>Metropolitan</v>
      </c>
      <c r="AU4" s="150" t="s">
        <v>1</v>
      </c>
      <c r="AV4" s="150" t="str">
        <f t="shared" si="3"/>
        <v>Regional</v>
      </c>
      <c r="AW4" s="150" t="s">
        <v>2</v>
      </c>
      <c r="AX4" s="150" t="str">
        <f t="shared" si="4"/>
        <v>Regional</v>
      </c>
      <c r="AY4" s="150" t="s">
        <v>2</v>
      </c>
      <c r="AZ4" s="150" t="str">
        <f t="shared" si="5"/>
        <v>Regional</v>
      </c>
      <c r="BA4" s="150" t="s">
        <v>2</v>
      </c>
    </row>
    <row r="5" spans="2:55" ht="12.25">
      <c r="B5" s="81"/>
      <c r="C5" s="83"/>
      <c r="D5" s="83"/>
      <c r="E5" s="83"/>
      <c r="F5" s="83"/>
      <c r="G5" s="83"/>
      <c r="H5" s="83"/>
      <c r="I5" s="83"/>
      <c r="J5" s="83"/>
      <c r="K5" s="83"/>
      <c r="L5" s="83"/>
      <c r="M5" s="81"/>
      <c r="N5" s="81"/>
      <c r="O5" s="81"/>
      <c r="P5" s="81"/>
      <c r="Q5" s="81" t="str">
        <f>IF(_xlfn.IFNA(MATCH(C26,[1]FAM_COM!$D$6:$YU$6,0),1)&lt;1,"R-290","")</f>
        <v/>
      </c>
      <c r="R5" s="81"/>
      <c r="S5" s="81"/>
      <c r="T5" s="81"/>
      <c r="U5" s="81"/>
      <c r="V5" s="81"/>
      <c r="W5" s="81"/>
      <c r="X5" s="81"/>
      <c r="Y5" s="81"/>
      <c r="Z5" s="81"/>
      <c r="AA5" s="81"/>
      <c r="AB5" s="81"/>
      <c r="AC5" s="81"/>
      <c r="AD5" s="333" t="s">
        <v>1</v>
      </c>
      <c r="AE5" s="334"/>
      <c r="AF5" s="334"/>
      <c r="AG5" s="334"/>
      <c r="AH5" s="334"/>
      <c r="AI5" s="335"/>
      <c r="AJ5" s="321" t="s">
        <v>2</v>
      </c>
      <c r="AK5" s="322"/>
      <c r="AL5" s="322"/>
      <c r="AM5" s="322"/>
      <c r="AN5" s="322"/>
      <c r="AO5" s="323"/>
      <c r="AP5" s="318" t="s">
        <v>192</v>
      </c>
      <c r="AQ5" s="319"/>
      <c r="AR5" s="319"/>
      <c r="AS5" s="319"/>
      <c r="AT5" s="319"/>
      <c r="AU5" s="320"/>
      <c r="AV5" s="321" t="s">
        <v>191</v>
      </c>
      <c r="AW5" s="322"/>
      <c r="AX5" s="322"/>
      <c r="AY5" s="322"/>
      <c r="AZ5" s="322"/>
      <c r="BA5" s="323"/>
      <c r="BB5" s="310" t="s">
        <v>418</v>
      </c>
      <c r="BC5" s="310"/>
    </row>
    <row r="6" spans="2:55" ht="12.25">
      <c r="B6" s="81"/>
      <c r="C6" s="81"/>
      <c r="D6" s="81"/>
      <c r="E6" s="313" t="s">
        <v>199</v>
      </c>
      <c r="F6" s="313"/>
      <c r="G6" s="313"/>
      <c r="H6" s="313"/>
      <c r="I6" s="330" t="s">
        <v>341</v>
      </c>
      <c r="J6" s="331"/>
      <c r="K6" s="331"/>
      <c r="L6" s="332"/>
      <c r="M6" s="317" t="s">
        <v>184</v>
      </c>
      <c r="N6" s="317"/>
      <c r="O6" s="317"/>
      <c r="P6" s="317"/>
      <c r="Q6" s="81"/>
      <c r="R6" s="81"/>
      <c r="S6" s="81"/>
      <c r="T6" s="81"/>
      <c r="U6" s="81"/>
      <c r="V6" s="81"/>
      <c r="W6" s="81"/>
      <c r="X6" s="81"/>
      <c r="Y6" s="81"/>
      <c r="Z6" s="81"/>
      <c r="AA6" s="314" t="s">
        <v>82</v>
      </c>
      <c r="AB6" s="315"/>
      <c r="AC6" s="316"/>
      <c r="AD6" s="338" t="s">
        <v>430</v>
      </c>
      <c r="AE6" s="339"/>
      <c r="AF6" s="340" t="s">
        <v>431</v>
      </c>
      <c r="AG6" s="341"/>
      <c r="AH6" s="336" t="s">
        <v>432</v>
      </c>
      <c r="AI6" s="337"/>
      <c r="AJ6" s="338" t="s">
        <v>430</v>
      </c>
      <c r="AK6" s="339"/>
      <c r="AL6" s="340" t="s">
        <v>431</v>
      </c>
      <c r="AM6" s="341"/>
      <c r="AN6" s="336" t="s">
        <v>432</v>
      </c>
      <c r="AO6" s="337"/>
      <c r="AP6" s="324" t="s">
        <v>190</v>
      </c>
      <c r="AQ6" s="325"/>
      <c r="AR6" s="326" t="s">
        <v>189</v>
      </c>
      <c r="AS6" s="327"/>
      <c r="AT6" s="328" t="s">
        <v>188</v>
      </c>
      <c r="AU6" s="329"/>
      <c r="AV6" s="324" t="s">
        <v>190</v>
      </c>
      <c r="AW6" s="325"/>
      <c r="AX6" s="326" t="s">
        <v>189</v>
      </c>
      <c r="AY6" s="327"/>
      <c r="AZ6" s="328" t="s">
        <v>188</v>
      </c>
      <c r="BA6" s="329"/>
      <c r="BB6" s="311" t="s">
        <v>419</v>
      </c>
      <c r="BC6" s="312"/>
    </row>
    <row r="7" spans="2:55" ht="12.25">
      <c r="B7" s="37" t="s">
        <v>40</v>
      </c>
      <c r="C7" s="37" t="s">
        <v>9</v>
      </c>
      <c r="D7" s="37" t="s">
        <v>512</v>
      </c>
      <c r="E7" s="152" t="s">
        <v>187</v>
      </c>
      <c r="F7" s="152" t="s">
        <v>79</v>
      </c>
      <c r="G7" s="152" t="s">
        <v>80</v>
      </c>
      <c r="H7" s="152" t="s">
        <v>306</v>
      </c>
      <c r="I7" s="152" t="s">
        <v>187</v>
      </c>
      <c r="J7" s="152" t="s">
        <v>79</v>
      </c>
      <c r="K7" s="152" t="s">
        <v>80</v>
      </c>
      <c r="L7" s="152" t="s">
        <v>306</v>
      </c>
      <c r="M7" s="152" t="s">
        <v>187</v>
      </c>
      <c r="N7" s="152" t="s">
        <v>79</v>
      </c>
      <c r="O7" s="152" t="s">
        <v>80</v>
      </c>
      <c r="P7" s="152" t="s">
        <v>306</v>
      </c>
      <c r="Q7" s="34" t="s">
        <v>186</v>
      </c>
      <c r="R7" s="34" t="s">
        <v>78</v>
      </c>
      <c r="S7" s="34" t="s">
        <v>75</v>
      </c>
      <c r="T7" s="34" t="s">
        <v>185</v>
      </c>
      <c r="U7" s="34" t="s">
        <v>85</v>
      </c>
      <c r="V7" s="34" t="s">
        <v>433</v>
      </c>
      <c r="W7" s="34" t="s">
        <v>434</v>
      </c>
      <c r="X7" s="34" t="s">
        <v>84</v>
      </c>
      <c r="Y7" s="34" t="s">
        <v>468</v>
      </c>
      <c r="Z7" s="34" t="s">
        <v>421</v>
      </c>
      <c r="AA7" s="34" t="s">
        <v>199</v>
      </c>
      <c r="AB7" s="34" t="s">
        <v>341</v>
      </c>
      <c r="AC7" s="34" t="s">
        <v>184</v>
      </c>
      <c r="AD7" s="34" t="s">
        <v>341</v>
      </c>
      <c r="AE7" s="34" t="s">
        <v>184</v>
      </c>
      <c r="AF7" s="34" t="s">
        <v>341</v>
      </c>
      <c r="AG7" s="34" t="s">
        <v>184</v>
      </c>
      <c r="AH7" s="34" t="s">
        <v>341</v>
      </c>
      <c r="AI7" s="34" t="s">
        <v>184</v>
      </c>
      <c r="AJ7" s="34" t="s">
        <v>341</v>
      </c>
      <c r="AK7" s="34" t="s">
        <v>184</v>
      </c>
      <c r="AL7" s="34" t="s">
        <v>341</v>
      </c>
      <c r="AM7" s="34" t="s">
        <v>184</v>
      </c>
      <c r="AN7" s="34" t="s">
        <v>341</v>
      </c>
      <c r="AO7" s="34" t="s">
        <v>184</v>
      </c>
      <c r="AP7" s="34" t="s">
        <v>199</v>
      </c>
      <c r="AQ7" s="34" t="s">
        <v>184</v>
      </c>
      <c r="AR7" s="34" t="s">
        <v>199</v>
      </c>
      <c r="AS7" s="34" t="s">
        <v>184</v>
      </c>
      <c r="AT7" s="34" t="s">
        <v>199</v>
      </c>
      <c r="AU7" s="34" t="s">
        <v>184</v>
      </c>
      <c r="AV7" s="34" t="s">
        <v>199</v>
      </c>
      <c r="AW7" s="34" t="s">
        <v>184</v>
      </c>
      <c r="AX7" s="34" t="s">
        <v>199</v>
      </c>
      <c r="AY7" s="34" t="s">
        <v>184</v>
      </c>
      <c r="AZ7" s="34" t="s">
        <v>199</v>
      </c>
      <c r="BA7" s="34" t="s">
        <v>184</v>
      </c>
      <c r="BB7" s="34" t="s">
        <v>199</v>
      </c>
      <c r="BC7" s="34" t="s">
        <v>184</v>
      </c>
    </row>
    <row r="8" spans="2:55" ht="12.25">
      <c r="B8" s="31" t="s">
        <v>204</v>
      </c>
      <c r="C8" s="35" t="s">
        <v>448</v>
      </c>
      <c r="D8" s="35">
        <v>285</v>
      </c>
      <c r="E8" s="35">
        <v>251</v>
      </c>
      <c r="F8" s="35">
        <v>24.25</v>
      </c>
      <c r="G8" s="35">
        <v>0</v>
      </c>
      <c r="H8" s="177">
        <v>0.72099999999999997</v>
      </c>
      <c r="I8" s="35">
        <v>221</v>
      </c>
      <c r="J8" s="35">
        <v>21.48</v>
      </c>
      <c r="K8" s="35">
        <v>0</v>
      </c>
      <c r="L8" s="177">
        <v>0.72</v>
      </c>
      <c r="M8" s="36">
        <v>214</v>
      </c>
      <c r="N8" s="36">
        <v>22.34</v>
      </c>
      <c r="O8" s="36">
        <v>0</v>
      </c>
      <c r="P8" s="178">
        <v>0.69900000000000007</v>
      </c>
      <c r="Q8" s="34" t="s">
        <v>76</v>
      </c>
      <c r="R8" s="34">
        <f>VLOOKUP(Q8,GWP_Refrigerants[],2,FALSE)</f>
        <v>3</v>
      </c>
      <c r="S8" s="34">
        <v>0.45</v>
      </c>
      <c r="T8" s="34">
        <v>4.5199999999999996</v>
      </c>
      <c r="U8" s="33">
        <f>'HP Commercial Calculator'!Existing_Capacity</f>
        <v>3.6</v>
      </c>
      <c r="V8" s="172" t="str">
        <f t="shared" ref="V8:V26" si="6">Tank_replacement</f>
        <v>Existing Tank</v>
      </c>
      <c r="W8" s="173">
        <f>VLOOKUP(V8,Factors!$R$49:$S$50,2,FALSE)</f>
        <v>10</v>
      </c>
      <c r="X8" s="32">
        <f t="shared" ref="X8:X26" si="7">IF(T8&gt;0,MIN(ROUND(U8/(T8),4),1),"")</f>
        <v>0.79649999999999999</v>
      </c>
      <c r="Y8" s="172" t="e">
        <f>'HP Commercial Calculator'!#REF!</f>
        <v>#REF!</v>
      </c>
      <c r="Z8" s="32" t="e">
        <f>VLOOKUP(Y8,Factors!$R$37:$S$40,2,FALSE)</f>
        <v>#REF!</v>
      </c>
      <c r="AA8" s="171">
        <f t="shared" ref="AA8:AA26" si="8">365*0.905*1.05*E8/1000</f>
        <v>87.057153749999998</v>
      </c>
      <c r="AB8" s="171">
        <f>365*0.905*1.05*I8/1000</f>
        <v>76.651916249999999</v>
      </c>
      <c r="AC8" s="171">
        <f t="shared" ref="AC8:AC26" si="9">365*0.905*1.05*M8/1000</f>
        <v>74.224027499999991</v>
      </c>
      <c r="AD8" s="171">
        <f t="shared" ref="AD8:AD26" si="10">(GEF*($AB8/RepEff)-GEF*$K8-EEFm_Commercial*MetroVEU*$J8/3.6)*$X8*W8+(1430-$R8)*RFE*$S8</f>
        <v>22.946039696894591</v>
      </c>
      <c r="AE8" s="171">
        <f t="shared" ref="AE8:AE26" si="11">(GEF*($AC8/RepEff)-GEF*$P8-EEFm_Commercial*MetroVEU*$N8/3.6)*$X8*W8+(1430-$R8)*RFE*$S8</f>
        <v>20.475744576748372</v>
      </c>
      <c r="AF8" s="171">
        <f t="shared" ref="AF8:AF26" si="12">(EEFm_Commercial*$AB8/3.6*MetroVEU-GEF*$K8-EEFm_Commercial*MetroVEU*$J8/3.6)*$X8*W8+(1430-$R8)*RFE*$S8</f>
        <v>52.119352708124062</v>
      </c>
      <c r="AG8" s="171">
        <f t="shared" ref="AG8:AG26" si="13">(EEFm_Commercial*$AC8/3.6*MetroVEU-GEF*$P8-EEFm_Commercial*MetroVEU*$N8/3.6)*$X8*W8+(1430-$R8)*RFE*$S8</f>
        <v>48.725015999386855</v>
      </c>
      <c r="AH8" s="171">
        <f t="shared" ref="AH8:AH26" si="14">(GEF*$AB8/NewEff-GEF*$K8-EEFm_Commercial*MetroVEU*$J8/3.6)*W8+(1430-$R8)*RFE*$S8</f>
        <v>24.807831484166663</v>
      </c>
      <c r="AI8" s="171">
        <f t="shared" ref="AI8:AI26" si="15">(GEF*$AC8/NewEff-GEF*$P8-EEFm_Commercial*MetroVEU*$N8/3.6)*W8+(1430-$R8)*RFE*$S8</f>
        <v>21.830516253496725</v>
      </c>
      <c r="AJ8" s="171">
        <f t="shared" ref="AJ8:AJ26" si="16">(GEF*($AB8/RepEff)-GEF*$K8-EEFm_Commercial*RegionalVEU*$J8/3.6)*$X8*W8+(1430-$R8)*RFE*$S8</f>
        <v>21.711353186894591</v>
      </c>
      <c r="AK8" s="171">
        <f t="shared" ref="AK8:AK26" si="17">(GEF*($AC8/RepEff)-GEF*$P8-EEFm_Commercial*RegionalVEU*$N8/3.6)*$X8*W8+(1430-$R8)*RFE*$S8</f>
        <v>19.191624621748371</v>
      </c>
      <c r="AL8" s="171">
        <f t="shared" ref="AL8:AL26" si="18">(EEFm_Commercial*$AB8/3.6*RegionalVEU-GEF*$K8-EEFm_Commercial*RegionalVEU*$J8/3.6)*$X8*W8+(1430-$R8)*RFE*$S8</f>
        <v>55.290675833111244</v>
      </c>
      <c r="AM8" s="171">
        <f t="shared" ref="AM8:AM26" si="19">(EEFm_Commercial*$AC8/3.6*RegionalVEU-GEF*$P8-EEFm_Commercial*RegionalVEU*$N8/3.6)*$X8*W8+(1430-$R8)*RFE*$S8</f>
        <v>51.70734881310748</v>
      </c>
      <c r="AN8" s="171">
        <f t="shared" ref="AN8:AN26" si="20">(GEF*$AB8/NewEff-GEF*$K8-EEFm_Commercial*RegionalVEU*$J8/3.6)*W8+(1430-$R8)*RFE*$S8</f>
        <v>23.257691484166664</v>
      </c>
      <c r="AO8" s="171">
        <f t="shared" ref="AO8:AO26" si="21">(GEF*$AC8/NewEff-GEF*$P8-EEFm_Commercial*RegionalVEU*$N8/3.6)*W8+(1430-$R8)*RFE*$S8</f>
        <v>20.218312920163388</v>
      </c>
      <c r="AP8" s="171">
        <f t="shared" ref="AP8:AP26" si="22">(($AA8/RepEff-$G8)*GCCF-$F8*MetroESS*ECCF)*$X8*Life_ESS/3.6</f>
        <v>69.613972851443506</v>
      </c>
      <c r="AQ8" s="171">
        <f t="shared" ref="AQ8:AQ26" si="23">(($AC8/RepEff-$O8)*GCCF-$N8*MetroESS*ECCF)*$X8*Life_ESS/3.6</f>
        <v>54.667183578521524</v>
      </c>
      <c r="AR8" s="171">
        <f t="shared" ref="AR8:AR26" si="24">(-$G8*GCCF+($AA8-$F8)*MetroESS*ECCF)*$X8*Life_ESS/3.6</f>
        <v>176.75817279862497</v>
      </c>
      <c r="AS8" s="171">
        <f t="shared" ref="AS8:AS26" si="25">(-$O8*GCCF+($AC8-$N8)*MetroESS*ECCF)*$X8*Life_ESS/3.6</f>
        <v>146.01721859324994</v>
      </c>
      <c r="AT8" s="197">
        <f t="shared" ref="AT8:AT26" si="26">(($AA8/NewEff-$G8)*GCCF-$F8*MetroESS*ECCF)*$X8*Life_ESS/3.6</f>
        <v>59.558247714044107</v>
      </c>
      <c r="AU8" s="197">
        <f t="shared" ref="AU8:AU26" si="27">(($AC8/NewEff-$O8)*GCCF-$N8*MetroESS*ECCF)*$X8*Life_ESS/3.6</f>
        <v>46.093776489264677</v>
      </c>
      <c r="AV8" s="171">
        <f t="shared" ref="AV8:AV26" si="28">(($AA8/RepEff-$G8)*GCCF-$F8*RegionalESS*ECCF)*$X8*Life_ESS/3.6</f>
        <v>67.566569601443518</v>
      </c>
      <c r="AW8" s="171">
        <f t="shared" ref="AW8:AW26" si="29">(($AC8/RepEff-$O8)*GCCF-$N8*RegionalESS*ECCF)*$X8*Life_ESS/3.6</f>
        <v>52.781039718521534</v>
      </c>
      <c r="AX8" s="171">
        <f t="shared" ref="AX8:AX26" si="30">(-$G8*GCCF+($AA8-$F8)*RegionalESS*ECCF)*$X8*Life_ESS/3.6</f>
        <v>182.06091798258376</v>
      </c>
      <c r="AY8" s="171">
        <f t="shared" ref="AY8:AY26" si="31">(-$O8*GCCF+($AC8-$N8)*RegionalESS*ECCF)*$X8*Life_ESS/3.6</f>
        <v>150.39773515104747</v>
      </c>
      <c r="AZ8" s="197">
        <f t="shared" ref="AZ8:AZ26" si="32">(($AA8/NewEff-$G8)*GCCF-$F8*RegionalESS*ECCF)*$X8*Life_ESS/3.6</f>
        <v>57.510844464044119</v>
      </c>
      <c r="BA8" s="171">
        <f t="shared" ref="BA8:BA26" si="33">(($AC8/NewEff-$O8)*GCCF-$N8*RegionalESS*ECCF)*$X8*Life_ESS/3.6</f>
        <v>44.207632629264673</v>
      </c>
      <c r="BB8" s="171" t="e">
        <f t="shared" ref="BB8:BB26" si="34">(0.01*E8*BPAF-((100-H8*100)*(0.01*E8)/100)*PAF)*FF*SPDRD*Life_PRC*Z8*10</f>
        <v>#REF!</v>
      </c>
      <c r="BC8" s="171" t="e">
        <f t="shared" ref="BC8:BC26" si="35">(0.01*M8*BPAF-((100-P8*100)*(0.01*M8)/100)*PAF)*FF*SPDRD*Life_PRC*Z8*10</f>
        <v>#REF!</v>
      </c>
    </row>
    <row r="9" spans="2:55" ht="12.25">
      <c r="B9" s="31" t="s">
        <v>204</v>
      </c>
      <c r="C9" s="35" t="s">
        <v>449</v>
      </c>
      <c r="D9" s="35">
        <v>209</v>
      </c>
      <c r="E9" s="35">
        <v>95</v>
      </c>
      <c r="F9" s="35">
        <v>9.5399999999999991</v>
      </c>
      <c r="G9" s="35">
        <v>0</v>
      </c>
      <c r="H9" s="177">
        <v>0.71050000000000002</v>
      </c>
      <c r="I9" s="35">
        <v>83</v>
      </c>
      <c r="J9" s="35">
        <v>8.99</v>
      </c>
      <c r="K9" s="35">
        <v>0</v>
      </c>
      <c r="L9" s="177">
        <v>0.68769999999999998</v>
      </c>
      <c r="M9" s="36">
        <v>65</v>
      </c>
      <c r="N9" s="36">
        <v>7.82</v>
      </c>
      <c r="O9" s="36">
        <v>0</v>
      </c>
      <c r="P9" s="178">
        <v>0.65310000000000001</v>
      </c>
      <c r="Q9" s="34" t="s">
        <v>105</v>
      </c>
      <c r="R9" s="34">
        <f>VLOOKUP(Q9,GWP_Refrigerants[],2,FALSE)</f>
        <v>2088</v>
      </c>
      <c r="S9" s="34">
        <v>1.28</v>
      </c>
      <c r="T9" s="34">
        <v>3.6</v>
      </c>
      <c r="U9" s="33">
        <f>'HP Commercial Calculator'!Existing_Capacity</f>
        <v>3.6</v>
      </c>
      <c r="V9" s="172" t="str">
        <f t="shared" si="6"/>
        <v>Existing Tank</v>
      </c>
      <c r="W9" s="173">
        <f>VLOOKUP(V9,Factors!$R$49:$S$50,2,FALSE)</f>
        <v>10</v>
      </c>
      <c r="X9" s="32">
        <f t="shared" si="7"/>
        <v>1</v>
      </c>
      <c r="Y9" s="172" t="e">
        <f>'HP Commercial Calculator'!#REF!</f>
        <v>#REF!</v>
      </c>
      <c r="Z9" s="32" t="e">
        <f>VLOOKUP(Y9,Factors!$R$37:$S$40,2,FALSE)</f>
        <v>#REF!</v>
      </c>
      <c r="AA9" s="171">
        <f t="shared" si="8"/>
        <v>32.949918749999995</v>
      </c>
      <c r="AB9" s="171">
        <f>365*0.905*1.05*I9/1000</f>
        <v>28.787823750000001</v>
      </c>
      <c r="AC9" s="171">
        <f t="shared" si="9"/>
        <v>22.54468125</v>
      </c>
      <c r="AD9" s="171">
        <f t="shared" si="10"/>
        <v>9.1592167871016645</v>
      </c>
      <c r="AE9" s="171">
        <f t="shared" si="11"/>
        <v>5.8018689683326272</v>
      </c>
      <c r="AF9" s="171">
        <f t="shared" si="12"/>
        <v>22.915014805763892</v>
      </c>
      <c r="AG9" s="171">
        <f t="shared" si="13"/>
        <v>16.574481874513889</v>
      </c>
      <c r="AH9" s="171">
        <f t="shared" si="14"/>
        <v>7.6874790541339895</v>
      </c>
      <c r="AI9" s="171">
        <f t="shared" si="15"/>
        <v>4.6493032738398679</v>
      </c>
      <c r="AJ9" s="171">
        <f t="shared" si="16"/>
        <v>8.510438453768332</v>
      </c>
      <c r="AK9" s="171">
        <f t="shared" si="17"/>
        <v>5.2375256349992956</v>
      </c>
      <c r="AL9" s="171">
        <f t="shared" si="18"/>
        <v>24.343757753055559</v>
      </c>
      <c r="AM9" s="171">
        <f t="shared" si="19"/>
        <v>17.63711303805556</v>
      </c>
      <c r="AN9" s="171">
        <f t="shared" si="20"/>
        <v>7.038700720800656</v>
      </c>
      <c r="AO9" s="171">
        <f t="shared" si="21"/>
        <v>4.0849599405065353</v>
      </c>
      <c r="AP9" s="171">
        <f t="shared" si="22"/>
        <v>31.801567734771563</v>
      </c>
      <c r="AQ9" s="171">
        <f t="shared" si="23"/>
        <v>17.191669151861245</v>
      </c>
      <c r="AR9" s="171">
        <f t="shared" si="24"/>
        <v>82.715046249999986</v>
      </c>
      <c r="AS9" s="171">
        <f t="shared" si="25"/>
        <v>52.02720708333333</v>
      </c>
      <c r="AT9" s="197">
        <f t="shared" si="26"/>
        <v>27.02322279411764</v>
      </c>
      <c r="AU9" s="197">
        <f t="shared" si="27"/>
        <v>13.922275245098033</v>
      </c>
      <c r="AV9" s="171">
        <f t="shared" si="28"/>
        <v>30.790327734771559</v>
      </c>
      <c r="AW9" s="171">
        <f t="shared" si="29"/>
        <v>16.362749151861244</v>
      </c>
      <c r="AX9" s="171">
        <f t="shared" si="30"/>
        <v>85.196497637499988</v>
      </c>
      <c r="AY9" s="171">
        <f t="shared" si="31"/>
        <v>53.588023295833338</v>
      </c>
      <c r="AZ9" s="197">
        <f t="shared" si="32"/>
        <v>26.011982794117635</v>
      </c>
      <c r="BA9" s="171">
        <f t="shared" si="33"/>
        <v>13.093355245098035</v>
      </c>
      <c r="BB9" s="171" t="e">
        <f t="shared" si="34"/>
        <v>#REF!</v>
      </c>
      <c r="BC9" s="171" t="e">
        <f t="shared" si="35"/>
        <v>#REF!</v>
      </c>
    </row>
    <row r="10" spans="2:55" ht="12.25">
      <c r="B10" s="31" t="s">
        <v>204</v>
      </c>
      <c r="C10" s="35" t="s">
        <v>450</v>
      </c>
      <c r="D10" s="35">
        <v>326</v>
      </c>
      <c r="E10" s="35">
        <v>234</v>
      </c>
      <c r="F10" s="35">
        <v>24.95</v>
      </c>
      <c r="G10" s="35">
        <v>0</v>
      </c>
      <c r="H10" s="177">
        <v>0.69299999999999995</v>
      </c>
      <c r="I10" s="35">
        <v>206</v>
      </c>
      <c r="J10" s="35">
        <v>23.16</v>
      </c>
      <c r="K10" s="35">
        <v>0</v>
      </c>
      <c r="L10" s="177">
        <v>0.67599999999999993</v>
      </c>
      <c r="M10" s="36">
        <v>191</v>
      </c>
      <c r="N10" s="36">
        <v>22.59</v>
      </c>
      <c r="O10" s="36">
        <v>0</v>
      </c>
      <c r="P10" s="178">
        <v>0.65900000000000003</v>
      </c>
      <c r="Q10" s="34" t="s">
        <v>76</v>
      </c>
      <c r="R10" s="34">
        <f>VLOOKUP(Q10,GWP_Refrigerants[],2,FALSE)</f>
        <v>3</v>
      </c>
      <c r="S10" s="34">
        <v>0.54</v>
      </c>
      <c r="T10" s="34">
        <v>5.52</v>
      </c>
      <c r="U10" s="33">
        <f>'HP Commercial Calculator'!Existing_Capacity</f>
        <v>3.6</v>
      </c>
      <c r="V10" s="172" t="str">
        <f t="shared" si="6"/>
        <v>Existing Tank</v>
      </c>
      <c r="W10" s="173">
        <f>VLOOKUP(V10,Factors!$R$49:$S$50,2,FALSE)</f>
        <v>10</v>
      </c>
      <c r="X10" s="32">
        <f t="shared" si="7"/>
        <v>0.6522</v>
      </c>
      <c r="Y10" s="172" t="e">
        <f>'HP Commercial Calculator'!#REF!</f>
        <v>#REF!</v>
      </c>
      <c r="Z10" s="32" t="e">
        <f>VLOOKUP(Y10,Factors!$R$37:$S$40,2,FALSE)</f>
        <v>#REF!</v>
      </c>
      <c r="AA10" s="171">
        <f t="shared" si="8"/>
        <v>81.16085249999999</v>
      </c>
      <c r="AB10" s="171">
        <f>365*0.905*1.05*I10/1000</f>
        <v>71.4492975</v>
      </c>
      <c r="AC10" s="171">
        <f t="shared" si="9"/>
        <v>66.246678750000001</v>
      </c>
      <c r="AD10" s="171">
        <f t="shared" si="10"/>
        <v>15.241604949351327</v>
      </c>
      <c r="AE10" s="171">
        <f t="shared" si="11"/>
        <v>13.064203438965359</v>
      </c>
      <c r="AF10" s="171">
        <f t="shared" si="12"/>
        <v>37.508297507916744</v>
      </c>
      <c r="AG10" s="171">
        <f t="shared" si="13"/>
        <v>33.709534888897366</v>
      </c>
      <c r="AH10" s="171">
        <f t="shared" si="14"/>
        <v>19.511315108921568</v>
      </c>
      <c r="AI10" s="171">
        <f t="shared" si="15"/>
        <v>16.438743033676474</v>
      </c>
      <c r="AJ10" s="171">
        <f t="shared" si="16"/>
        <v>14.151530913351328</v>
      </c>
      <c r="AK10" s="171">
        <f t="shared" si="17"/>
        <v>12.000957649965359</v>
      </c>
      <c r="AL10" s="171">
        <f t="shared" si="18"/>
        <v>39.781134702278997</v>
      </c>
      <c r="AM10" s="171">
        <f t="shared" si="19"/>
        <v>35.764328153291487</v>
      </c>
      <c r="AN10" s="171">
        <f t="shared" si="20"/>
        <v>17.839935108921569</v>
      </c>
      <c r="AO10" s="171">
        <f t="shared" si="21"/>
        <v>14.80849803367647</v>
      </c>
      <c r="AP10" s="171">
        <f t="shared" si="22"/>
        <v>47.743480715038054</v>
      </c>
      <c r="AQ10" s="171">
        <f t="shared" si="23"/>
        <v>33.843120975095175</v>
      </c>
      <c r="AR10" s="171">
        <f t="shared" si="24"/>
        <v>129.53453693509996</v>
      </c>
      <c r="AS10" s="171">
        <f t="shared" si="25"/>
        <v>100.60419677865001</v>
      </c>
      <c r="AT10" s="197">
        <f t="shared" si="26"/>
        <v>40.067205373470578</v>
      </c>
      <c r="AU10" s="197">
        <f t="shared" si="27"/>
        <v>27.577443239029414</v>
      </c>
      <c r="AV10" s="171">
        <f t="shared" si="28"/>
        <v>46.018607375038052</v>
      </c>
      <c r="AW10" s="171">
        <f t="shared" si="29"/>
        <v>32.281401987095165</v>
      </c>
      <c r="AX10" s="171">
        <f t="shared" si="30"/>
        <v>133.42057304315296</v>
      </c>
      <c r="AY10" s="171">
        <f t="shared" si="31"/>
        <v>103.6223226820095</v>
      </c>
      <c r="AZ10" s="197">
        <f t="shared" si="32"/>
        <v>38.342332033470569</v>
      </c>
      <c r="BA10" s="171">
        <f t="shared" si="33"/>
        <v>26.015724251029404</v>
      </c>
      <c r="BB10" s="171" t="e">
        <f t="shared" si="34"/>
        <v>#REF!</v>
      </c>
      <c r="BC10" s="171" t="e">
        <f t="shared" si="35"/>
        <v>#REF!</v>
      </c>
    </row>
    <row r="11" spans="2:55" ht="12.25">
      <c r="B11" s="31" t="s">
        <v>204</v>
      </c>
      <c r="C11" s="35" t="s">
        <v>451</v>
      </c>
      <c r="D11" s="35">
        <v>209</v>
      </c>
      <c r="E11" s="35">
        <v>137</v>
      </c>
      <c r="F11" s="35">
        <v>13.77</v>
      </c>
      <c r="G11" s="35">
        <v>0</v>
      </c>
      <c r="H11" s="177">
        <v>0.71</v>
      </c>
      <c r="I11" s="35">
        <v>117</v>
      </c>
      <c r="J11" s="35">
        <v>12.55</v>
      </c>
      <c r="K11" s="35">
        <v>0</v>
      </c>
      <c r="L11" s="177">
        <v>0.69099999999999995</v>
      </c>
      <c r="M11" s="36">
        <v>107</v>
      </c>
      <c r="N11" s="36">
        <v>12.48</v>
      </c>
      <c r="O11" s="36">
        <v>0</v>
      </c>
      <c r="P11" s="178">
        <v>0.66400000000000003</v>
      </c>
      <c r="Q11" s="34" t="s">
        <v>76</v>
      </c>
      <c r="R11" s="34">
        <f>VLOOKUP(Q11,GWP_Refrigerants[],2,FALSE)</f>
        <v>3</v>
      </c>
      <c r="S11" s="34">
        <v>0.5</v>
      </c>
      <c r="T11" s="34">
        <v>3.63</v>
      </c>
      <c r="U11" s="33">
        <f>'HP Commercial Calculator'!Existing_Capacity</f>
        <v>3.6</v>
      </c>
      <c r="V11" s="172" t="str">
        <f t="shared" si="6"/>
        <v>Existing Tank</v>
      </c>
      <c r="W11" s="173">
        <f>VLOOKUP(V11,Factors!$R$49:$S$50,2,FALSE)</f>
        <v>10</v>
      </c>
      <c r="X11" s="32">
        <f t="shared" si="7"/>
        <v>0.99170000000000003</v>
      </c>
      <c r="Y11" s="172" t="e">
        <f>'HP Commercial Calculator'!#REF!</f>
        <v>#REF!</v>
      </c>
      <c r="Z11" s="32" t="e">
        <f>VLOOKUP(Y11,Factors!$R$37:$S$40,2,FALSE)</f>
        <v>#REF!</v>
      </c>
      <c r="AA11" s="171">
        <f t="shared" si="8"/>
        <v>47.517251250000001</v>
      </c>
      <c r="AB11" s="171">
        <f>365*0.905*1.05*I11/1000</f>
        <v>40.580426249999995</v>
      </c>
      <c r="AC11" s="171">
        <f t="shared" si="9"/>
        <v>37.112013749999996</v>
      </c>
      <c r="AD11" s="171">
        <f t="shared" si="10"/>
        <v>13.892843208478526</v>
      </c>
      <c r="AE11" s="171">
        <f t="shared" si="11"/>
        <v>11.200192784653938</v>
      </c>
      <c r="AF11" s="171">
        <f t="shared" si="12"/>
        <v>33.122603602786448</v>
      </c>
      <c r="AG11" s="171">
        <f t="shared" si="13"/>
        <v>28.78638391449109</v>
      </c>
      <c r="AH11" s="171">
        <f t="shared" si="14"/>
        <v>11.931514838022872</v>
      </c>
      <c r="AI11" s="171">
        <f t="shared" si="15"/>
        <v>9.3936461656372483</v>
      </c>
      <c r="AJ11" s="171">
        <f t="shared" si="16"/>
        <v>12.994668782645194</v>
      </c>
      <c r="AK11" s="171">
        <f t="shared" si="17"/>
        <v>10.307028096653941</v>
      </c>
      <c r="AL11" s="171">
        <f t="shared" si="18"/>
        <v>35.128676272344805</v>
      </c>
      <c r="AM11" s="171">
        <f t="shared" si="19"/>
        <v>30.549240074413408</v>
      </c>
      <c r="AN11" s="171">
        <f t="shared" si="20"/>
        <v>11.02582317135621</v>
      </c>
      <c r="AO11" s="171">
        <f t="shared" si="21"/>
        <v>8.4930061656372526</v>
      </c>
      <c r="AP11" s="171">
        <f t="shared" si="22"/>
        <v>45.437405570447311</v>
      </c>
      <c r="AQ11" s="171">
        <f t="shared" si="23"/>
        <v>29.442046279108478</v>
      </c>
      <c r="AR11" s="171">
        <f t="shared" si="24"/>
        <v>118.25059336167502</v>
      </c>
      <c r="AS11" s="171">
        <f t="shared" si="25"/>
        <v>86.310740393424993</v>
      </c>
      <c r="AT11" s="197">
        <f t="shared" si="26"/>
        <v>38.603723456367653</v>
      </c>
      <c r="AU11" s="197">
        <f t="shared" si="27"/>
        <v>24.104790905338213</v>
      </c>
      <c r="AV11" s="171">
        <f t="shared" si="28"/>
        <v>43.989900416447313</v>
      </c>
      <c r="AW11" s="171">
        <f t="shared" si="29"/>
        <v>28.130146183108483</v>
      </c>
      <c r="AX11" s="171">
        <f t="shared" si="30"/>
        <v>121.79811116252527</v>
      </c>
      <c r="AY11" s="171">
        <f t="shared" si="31"/>
        <v>88.900062605227731</v>
      </c>
      <c r="AZ11" s="197">
        <f t="shared" si="32"/>
        <v>37.156218302367655</v>
      </c>
      <c r="BA11" s="171">
        <f t="shared" si="33"/>
        <v>22.792890809338221</v>
      </c>
      <c r="BB11" s="171" t="e">
        <f t="shared" si="34"/>
        <v>#REF!</v>
      </c>
      <c r="BC11" s="171" t="e">
        <f t="shared" si="35"/>
        <v>#REF!</v>
      </c>
    </row>
    <row r="12" spans="2:55" ht="12.25">
      <c r="B12" s="31" t="s">
        <v>204</v>
      </c>
      <c r="C12" s="35" t="s">
        <v>452</v>
      </c>
      <c r="D12" s="35">
        <v>285</v>
      </c>
      <c r="E12" s="35">
        <v>182</v>
      </c>
      <c r="F12" s="35">
        <v>15.93</v>
      </c>
      <c r="G12" s="35">
        <v>0</v>
      </c>
      <c r="H12" s="177">
        <v>0.748</v>
      </c>
      <c r="I12" s="35">
        <v>165</v>
      </c>
      <c r="J12" s="35">
        <v>15.45</v>
      </c>
      <c r="K12" s="35">
        <v>0</v>
      </c>
      <c r="L12" s="177">
        <v>0.73</v>
      </c>
      <c r="M12" s="36">
        <v>146</v>
      </c>
      <c r="N12" s="36">
        <v>14.87</v>
      </c>
      <c r="O12" s="36">
        <v>0</v>
      </c>
      <c r="P12" s="178">
        <v>0.70599999999999996</v>
      </c>
      <c r="Q12" s="34" t="s">
        <v>76</v>
      </c>
      <c r="R12" s="34">
        <f>VLOOKUP(Q12,GWP_Refrigerants[],2,FALSE)</f>
        <v>3</v>
      </c>
      <c r="S12" s="34">
        <v>0.45</v>
      </c>
      <c r="T12" s="34">
        <v>4.5199999999999996</v>
      </c>
      <c r="U12" s="33">
        <f>'HP Commercial Calculator'!Existing_Capacity</f>
        <v>3.6</v>
      </c>
      <c r="V12" s="172" t="str">
        <f t="shared" si="6"/>
        <v>Existing Tank</v>
      </c>
      <c r="W12" s="173">
        <f>VLOOKUP(V12,Factors!$R$49:$S$50,2,FALSE)</f>
        <v>10</v>
      </c>
      <c r="X12" s="32">
        <f t="shared" si="7"/>
        <v>0.79649999999999999</v>
      </c>
      <c r="Y12" s="172" t="e">
        <f>'HP Commercial Calculator'!#REF!</f>
        <v>#REF!</v>
      </c>
      <c r="Z12" s="32" t="e">
        <f>VLOOKUP(Y12,Factors!$R$37:$S$40,2,FALSE)</f>
        <v>#REF!</v>
      </c>
      <c r="AA12" s="171">
        <f t="shared" si="8"/>
        <v>63.125107499999999</v>
      </c>
      <c r="AB12" s="171">
        <f t="shared" ref="AB12:AB18" si="36">365*0.905*1.05*I12/1000</f>
        <v>57.228806249999998</v>
      </c>
      <c r="AC12" s="171">
        <f t="shared" si="9"/>
        <v>50.638822500000003</v>
      </c>
      <c r="AD12" s="171">
        <f t="shared" si="10"/>
        <v>17.764220947624924</v>
      </c>
      <c r="AE12" s="171">
        <f t="shared" si="11"/>
        <v>14.319272758092362</v>
      </c>
      <c r="AF12" s="171">
        <f t="shared" si="12"/>
        <v>39.545201250126553</v>
      </c>
      <c r="AG12" s="171">
        <f t="shared" si="13"/>
        <v>33.592140177275624</v>
      </c>
      <c r="AH12" s="171">
        <f t="shared" si="14"/>
        <v>19.295075127696084</v>
      </c>
      <c r="AI12" s="171">
        <f t="shared" si="15"/>
        <v>15.306871363496739</v>
      </c>
      <c r="AJ12" s="171">
        <f t="shared" si="16"/>
        <v>16.876143360124928</v>
      </c>
      <c r="AK12" s="171">
        <f t="shared" si="17"/>
        <v>13.464534005592363</v>
      </c>
      <c r="AL12" s="171">
        <f t="shared" si="18"/>
        <v>41.946678367481255</v>
      </c>
      <c r="AM12" s="171">
        <f t="shared" si="19"/>
        <v>35.648158921192504</v>
      </c>
      <c r="AN12" s="171">
        <f t="shared" si="20"/>
        <v>18.180100127696086</v>
      </c>
      <c r="AO12" s="171">
        <f t="shared" si="21"/>
        <v>14.233753030163408</v>
      </c>
      <c r="AP12" s="171">
        <f t="shared" si="22"/>
        <v>55.130974342480954</v>
      </c>
      <c r="AQ12" s="171">
        <f t="shared" si="23"/>
        <v>38.34127607693528</v>
      </c>
      <c r="AR12" s="171">
        <f t="shared" si="24"/>
        <v>132.82119103725</v>
      </c>
      <c r="AS12" s="171">
        <f t="shared" si="25"/>
        <v>100.66419716175002</v>
      </c>
      <c r="AT12" s="197">
        <f t="shared" si="26"/>
        <v>47.83957205161763</v>
      </c>
      <c r="AU12" s="197">
        <f t="shared" si="27"/>
        <v>32.492129184264712</v>
      </c>
      <c r="AV12" s="171">
        <f t="shared" si="28"/>
        <v>53.786020372480941</v>
      </c>
      <c r="AW12" s="171">
        <f t="shared" si="29"/>
        <v>37.085816846935288</v>
      </c>
      <c r="AX12" s="171">
        <f t="shared" si="30"/>
        <v>136.8058267683675</v>
      </c>
      <c r="AY12" s="171">
        <f t="shared" si="31"/>
        <v>103.68412307660252</v>
      </c>
      <c r="AZ12" s="197">
        <f t="shared" si="32"/>
        <v>46.494618081617617</v>
      </c>
      <c r="BA12" s="171">
        <f t="shared" si="33"/>
        <v>31.236669954264716</v>
      </c>
      <c r="BB12" s="171" t="e">
        <f t="shared" si="34"/>
        <v>#REF!</v>
      </c>
      <c r="BC12" s="171" t="e">
        <f t="shared" si="35"/>
        <v>#REF!</v>
      </c>
    </row>
    <row r="13" spans="2:55" ht="12.25">
      <c r="B13" s="31" t="s">
        <v>204</v>
      </c>
      <c r="C13" s="35" t="s">
        <v>453</v>
      </c>
      <c r="D13" s="35">
        <v>260</v>
      </c>
      <c r="E13" s="35">
        <v>124</v>
      </c>
      <c r="F13" s="35">
        <v>12.86</v>
      </c>
      <c r="G13" s="35">
        <v>0</v>
      </c>
      <c r="H13" s="177">
        <v>0.70099999999999996</v>
      </c>
      <c r="I13" s="35">
        <v>125</v>
      </c>
      <c r="J13" s="35">
        <v>13.78</v>
      </c>
      <c r="K13" s="35">
        <v>0</v>
      </c>
      <c r="L13" s="177">
        <v>0.68200000000000005</v>
      </c>
      <c r="M13" s="36">
        <v>111</v>
      </c>
      <c r="N13" s="36">
        <v>13.23</v>
      </c>
      <c r="O13" s="36">
        <v>0</v>
      </c>
      <c r="P13" s="178">
        <v>0.65599999999999992</v>
      </c>
      <c r="Q13" s="34" t="s">
        <v>76</v>
      </c>
      <c r="R13" s="34">
        <f>VLOOKUP(Q13,GWP_Refrigerants[],2,FALSE)</f>
        <v>3</v>
      </c>
      <c r="S13" s="34">
        <v>0.43</v>
      </c>
      <c r="T13" s="34">
        <v>3.94</v>
      </c>
      <c r="U13" s="33">
        <f>'HP Commercial Calculator'!Existing_Capacity</f>
        <v>3.6</v>
      </c>
      <c r="V13" s="172" t="str">
        <f t="shared" si="6"/>
        <v>Existing Tank</v>
      </c>
      <c r="W13" s="173">
        <f>VLOOKUP(V13,Factors!$R$49:$S$50,2,FALSE)</f>
        <v>10</v>
      </c>
      <c r="X13" s="32">
        <f t="shared" si="7"/>
        <v>0.91369999999999996</v>
      </c>
      <c r="Y13" s="172" t="e">
        <f>'HP Commercial Calculator'!#REF!</f>
        <v>#REF!</v>
      </c>
      <c r="Z13" s="32" t="e">
        <f>VLOOKUP(Y13,Factors!$R$37:$S$40,2,FALSE)</f>
        <v>#REF!</v>
      </c>
      <c r="AA13" s="171">
        <f t="shared" si="8"/>
        <v>43.008315000000003</v>
      </c>
      <c r="AB13" s="171">
        <f t="shared" si="36"/>
        <v>43.35515625</v>
      </c>
      <c r="AC13" s="171">
        <f t="shared" si="9"/>
        <v>38.499378750000005</v>
      </c>
      <c r="AD13" s="171">
        <f t="shared" si="10"/>
        <v>13.23047988425186</v>
      </c>
      <c r="AE13" s="171">
        <f t="shared" si="11"/>
        <v>10.38213952221432</v>
      </c>
      <c r="AF13" s="171">
        <f t="shared" si="12"/>
        <v>32.159203754209194</v>
      </c>
      <c r="AG13" s="171">
        <f t="shared" si="13"/>
        <v>27.190846318736444</v>
      </c>
      <c r="AH13" s="171">
        <f t="shared" si="14"/>
        <v>12.234663127042484</v>
      </c>
      <c r="AI13" s="171">
        <f t="shared" si="15"/>
        <v>9.3655387101470673</v>
      </c>
      <c r="AJ13" s="171">
        <f t="shared" si="16"/>
        <v>12.321844827918529</v>
      </c>
      <c r="AK13" s="171">
        <f t="shared" si="17"/>
        <v>9.5097707417143198</v>
      </c>
      <c r="AL13" s="171">
        <f t="shared" si="18"/>
        <v>34.109350616711808</v>
      </c>
      <c r="AM13" s="171">
        <f t="shared" si="19"/>
        <v>28.857075882162764</v>
      </c>
      <c r="AN13" s="171">
        <f t="shared" si="20"/>
        <v>11.240206460375818</v>
      </c>
      <c r="AO13" s="171">
        <f t="shared" si="21"/>
        <v>8.4107737101470672</v>
      </c>
      <c r="AP13" s="171">
        <f t="shared" si="22"/>
        <v>36.610641981070216</v>
      </c>
      <c r="AQ13" s="171">
        <f t="shared" si="23"/>
        <v>27.225297866925757</v>
      </c>
      <c r="AR13" s="171">
        <f t="shared" si="24"/>
        <v>97.331021134766672</v>
      </c>
      <c r="AS13" s="171">
        <f t="shared" si="25"/>
        <v>81.57983081902502</v>
      </c>
      <c r="AT13" s="197">
        <f t="shared" si="26"/>
        <v>30.911897267784319</v>
      </c>
      <c r="AU13" s="197">
        <f t="shared" si="27"/>
        <v>22.124002196161776</v>
      </c>
      <c r="AV13" s="171">
        <f t="shared" si="28"/>
        <v>35.365122689070226</v>
      </c>
      <c r="AW13" s="171">
        <f t="shared" si="29"/>
        <v>25.943943260925757</v>
      </c>
      <c r="AX13" s="171">
        <f t="shared" si="30"/>
        <v>100.25095176880967</v>
      </c>
      <c r="AY13" s="171">
        <f t="shared" si="31"/>
        <v>84.027225743595764</v>
      </c>
      <c r="AZ13" s="197">
        <f t="shared" si="32"/>
        <v>29.666377975784322</v>
      </c>
      <c r="BA13" s="171">
        <f t="shared" si="33"/>
        <v>20.842647590161771</v>
      </c>
      <c r="BB13" s="171" t="e">
        <f t="shared" si="34"/>
        <v>#REF!</v>
      </c>
      <c r="BC13" s="171" t="e">
        <f t="shared" si="35"/>
        <v>#REF!</v>
      </c>
    </row>
    <row r="14" spans="2:55" ht="12.25">
      <c r="B14" s="31" t="s">
        <v>204</v>
      </c>
      <c r="C14" s="35" t="s">
        <v>454</v>
      </c>
      <c r="D14" s="35">
        <v>209</v>
      </c>
      <c r="E14" s="35">
        <v>223</v>
      </c>
      <c r="F14" s="35">
        <v>22.89</v>
      </c>
      <c r="G14" s="35">
        <v>0</v>
      </c>
      <c r="H14" s="177">
        <v>0.70400000000000007</v>
      </c>
      <c r="I14" s="35">
        <v>197</v>
      </c>
      <c r="J14" s="35">
        <v>20.16</v>
      </c>
      <c r="K14" s="35">
        <v>0</v>
      </c>
      <c r="L14" s="177">
        <v>0.70499999999999996</v>
      </c>
      <c r="M14" s="36">
        <v>176</v>
      </c>
      <c r="N14" s="36">
        <v>19.02</v>
      </c>
      <c r="O14" s="36">
        <v>0</v>
      </c>
      <c r="P14" s="178">
        <v>0.68799999999999994</v>
      </c>
      <c r="Q14" s="34" t="s">
        <v>76</v>
      </c>
      <c r="R14" s="34">
        <f>VLOOKUP(Q14,GWP_Refrigerants[],2,FALSE)</f>
        <v>3</v>
      </c>
      <c r="S14" s="34">
        <v>0.4</v>
      </c>
      <c r="T14" s="34">
        <v>3.74</v>
      </c>
      <c r="U14" s="33">
        <f>'HP Commercial Calculator'!Existing_Capacity</f>
        <v>3.6</v>
      </c>
      <c r="V14" s="172" t="str">
        <f t="shared" si="6"/>
        <v>Existing Tank</v>
      </c>
      <c r="W14" s="173">
        <f>VLOOKUP(V14,Factors!$R$49:$S$50,2,FALSE)</f>
        <v>10</v>
      </c>
      <c r="X14" s="32">
        <f t="shared" si="7"/>
        <v>0.96260000000000001</v>
      </c>
      <c r="Y14" s="172" t="e">
        <f>'HP Commercial Calculator'!#REF!</f>
        <v>#REF!</v>
      </c>
      <c r="Z14" s="32" t="e">
        <f>VLOOKUP(Y14,Factors!$R$37:$S$40,2,FALSE)</f>
        <v>#REF!</v>
      </c>
      <c r="AA14" s="171">
        <f t="shared" si="8"/>
        <v>77.345598750000008</v>
      </c>
      <c r="AB14" s="171">
        <f t="shared" si="36"/>
        <v>68.327726250000012</v>
      </c>
      <c r="AC14" s="171">
        <f t="shared" si="9"/>
        <v>61.044059999999995</v>
      </c>
      <c r="AD14" s="171">
        <f t="shared" si="10"/>
        <v>23.510113340543754</v>
      </c>
      <c r="AE14" s="171">
        <f t="shared" si="11"/>
        <v>19.523721348293158</v>
      </c>
      <c r="AF14" s="171">
        <f t="shared" si="12"/>
        <v>54.938333112044454</v>
      </c>
      <c r="AG14" s="171">
        <f t="shared" si="13"/>
        <v>47.60172479897399</v>
      </c>
      <c r="AH14" s="171">
        <f t="shared" si="14"/>
        <v>20.919304950441184</v>
      </c>
      <c r="AI14" s="171">
        <f t="shared" si="15"/>
        <v>17.150396625098036</v>
      </c>
      <c r="AJ14" s="171">
        <f t="shared" si="16"/>
        <v>22.109645852543757</v>
      </c>
      <c r="AK14" s="171">
        <f t="shared" si="17"/>
        <v>18.202446962293159</v>
      </c>
      <c r="AL14" s="171">
        <f t="shared" si="18"/>
        <v>58.284431057679846</v>
      </c>
      <c r="AM14" s="171">
        <f t="shared" si="19"/>
        <v>50.521036790231996</v>
      </c>
      <c r="AN14" s="171">
        <f t="shared" si="20"/>
        <v>19.464424950441188</v>
      </c>
      <c r="AO14" s="171">
        <f t="shared" si="21"/>
        <v>15.777786625098038</v>
      </c>
      <c r="AP14" s="171">
        <f t="shared" si="22"/>
        <v>70.170739389815992</v>
      </c>
      <c r="AQ14" s="171">
        <f t="shared" si="23"/>
        <v>52.135468996446683</v>
      </c>
      <c r="AR14" s="171">
        <f t="shared" si="24"/>
        <v>185.21365639385004</v>
      </c>
      <c r="AS14" s="171">
        <f t="shared" si="25"/>
        <v>142.93167255119997</v>
      </c>
      <c r="AT14" s="197">
        <f t="shared" si="26"/>
        <v>59.373701818323539</v>
      </c>
      <c r="AU14" s="197">
        <f t="shared" si="27"/>
        <v>43.614040240470565</v>
      </c>
      <c r="AV14" s="171">
        <f t="shared" si="28"/>
        <v>67.835144505815975</v>
      </c>
      <c r="AW14" s="171">
        <f t="shared" si="29"/>
        <v>50.194751884446688</v>
      </c>
      <c r="AX14" s="171">
        <f t="shared" si="30"/>
        <v>190.77006608566555</v>
      </c>
      <c r="AY14" s="171">
        <f t="shared" si="31"/>
        <v>147.21962272773598</v>
      </c>
      <c r="AZ14" s="197">
        <f t="shared" si="32"/>
        <v>57.03810693432353</v>
      </c>
      <c r="BA14" s="171">
        <f t="shared" si="33"/>
        <v>41.673323128470578</v>
      </c>
      <c r="BB14" s="171" t="e">
        <f t="shared" si="34"/>
        <v>#REF!</v>
      </c>
      <c r="BC14" s="171" t="e">
        <f t="shared" si="35"/>
        <v>#REF!</v>
      </c>
    </row>
    <row r="15" spans="2:55" ht="12.25">
      <c r="B15" s="31" t="s">
        <v>204</v>
      </c>
      <c r="C15" s="35" t="s">
        <v>455</v>
      </c>
      <c r="D15" s="35">
        <v>209</v>
      </c>
      <c r="E15" s="35">
        <v>151</v>
      </c>
      <c r="F15" s="35">
        <v>13.45</v>
      </c>
      <c r="G15" s="35">
        <v>0</v>
      </c>
      <c r="H15" s="177">
        <v>0.74299999999999999</v>
      </c>
      <c r="I15" s="35">
        <v>132</v>
      </c>
      <c r="J15" s="35">
        <v>12.56</v>
      </c>
      <c r="K15" s="35">
        <v>0</v>
      </c>
      <c r="L15" s="177">
        <v>0.72599999999999998</v>
      </c>
      <c r="M15" s="36">
        <v>117</v>
      </c>
      <c r="N15" s="36">
        <v>12.17</v>
      </c>
      <c r="O15" s="36">
        <v>0</v>
      </c>
      <c r="P15" s="178">
        <v>0.7</v>
      </c>
      <c r="Q15" s="34" t="s">
        <v>76</v>
      </c>
      <c r="R15" s="34">
        <f>VLOOKUP(Q15,GWP_Refrigerants[],2,FALSE)</f>
        <v>3</v>
      </c>
      <c r="S15" s="34">
        <v>0.4</v>
      </c>
      <c r="T15" s="34">
        <v>3.74</v>
      </c>
      <c r="U15" s="33">
        <f>'HP Commercial Calculator'!Existing_Capacity</f>
        <v>3.6</v>
      </c>
      <c r="V15" s="172" t="str">
        <f t="shared" si="6"/>
        <v>Existing Tank</v>
      </c>
      <c r="W15" s="173">
        <f>VLOOKUP(V15,Factors!$R$49:$S$50,2,FALSE)</f>
        <v>10</v>
      </c>
      <c r="X15" s="32">
        <f t="shared" si="7"/>
        <v>0.96260000000000001</v>
      </c>
      <c r="Y15" s="172" t="e">
        <f>'HP Commercial Calculator'!#REF!</f>
        <v>#REF!</v>
      </c>
      <c r="Z15" s="32" t="e">
        <f>VLOOKUP(Y15,Factors!$R$37:$S$40,2,FALSE)</f>
        <v>#REF!</v>
      </c>
      <c r="AA15" s="171">
        <f t="shared" si="8"/>
        <v>52.373028749999996</v>
      </c>
      <c r="AB15" s="171">
        <f t="shared" si="36"/>
        <v>45.783045000000001</v>
      </c>
      <c r="AC15" s="171">
        <f t="shared" si="9"/>
        <v>40.580426249999995</v>
      </c>
      <c r="AD15" s="171">
        <f t="shared" si="10"/>
        <v>16.92302711384432</v>
      </c>
      <c r="AE15" s="171">
        <f t="shared" si="11"/>
        <v>13.483307818836753</v>
      </c>
      <c r="AF15" s="171">
        <f t="shared" si="12"/>
        <v>37.981529701854953</v>
      </c>
      <c r="AG15" s="171">
        <f t="shared" si="13"/>
        <v>32.148798749118903</v>
      </c>
      <c r="AH15" s="171">
        <f t="shared" si="14"/>
        <v>15.228855657712421</v>
      </c>
      <c r="AI15" s="171">
        <f t="shared" si="15"/>
        <v>11.921469282467321</v>
      </c>
      <c r="AJ15" s="171">
        <f t="shared" si="16"/>
        <v>16.050513639177652</v>
      </c>
      <c r="AK15" s="171">
        <f t="shared" si="17"/>
        <v>12.637886721170087</v>
      </c>
      <c r="AL15" s="171">
        <f t="shared" si="18"/>
        <v>40.289456010131786</v>
      </c>
      <c r="AM15" s="171">
        <f t="shared" si="19"/>
        <v>34.122403822697613</v>
      </c>
      <c r="AN15" s="171">
        <f t="shared" si="20"/>
        <v>14.322442324379084</v>
      </c>
      <c r="AO15" s="171">
        <f t="shared" si="21"/>
        <v>11.043200949133988</v>
      </c>
      <c r="AP15" s="171">
        <f t="shared" si="22"/>
        <v>54.485470860966572</v>
      </c>
      <c r="AQ15" s="171">
        <f t="shared" si="23"/>
        <v>36.270323092713603</v>
      </c>
      <c r="AR15" s="171">
        <f t="shared" si="24"/>
        <v>132.38448641078335</v>
      </c>
      <c r="AS15" s="171">
        <f t="shared" si="25"/>
        <v>96.629162955816653</v>
      </c>
      <c r="AT15" s="197">
        <f t="shared" si="26"/>
        <v>47.174472326009784</v>
      </c>
      <c r="AU15" s="197">
        <f t="shared" si="27"/>
        <v>30.605509658343131</v>
      </c>
      <c r="AV15" s="171">
        <f t="shared" si="28"/>
        <v>53.113092040966556</v>
      </c>
      <c r="AW15" s="171">
        <f t="shared" si="29"/>
        <v>35.028549840713609</v>
      </c>
      <c r="AX15" s="171">
        <f t="shared" si="30"/>
        <v>136.35602100310686</v>
      </c>
      <c r="AY15" s="171">
        <f t="shared" si="31"/>
        <v>99.528037844491152</v>
      </c>
      <c r="AZ15" s="197">
        <f t="shared" si="32"/>
        <v>45.80209350600979</v>
      </c>
      <c r="BA15" s="171">
        <f t="shared" si="33"/>
        <v>29.363736406343126</v>
      </c>
      <c r="BB15" s="171" t="e">
        <f t="shared" si="34"/>
        <v>#REF!</v>
      </c>
      <c r="BC15" s="171" t="e">
        <f t="shared" si="35"/>
        <v>#REF!</v>
      </c>
    </row>
    <row r="16" spans="2:55" ht="12.25">
      <c r="B16" s="31" t="s">
        <v>204</v>
      </c>
      <c r="C16" s="35" t="s">
        <v>456</v>
      </c>
      <c r="D16" s="35">
        <v>254</v>
      </c>
      <c r="E16" s="35">
        <v>126</v>
      </c>
      <c r="F16" s="35">
        <v>13.7</v>
      </c>
      <c r="G16" s="35">
        <v>0</v>
      </c>
      <c r="H16" s="177">
        <v>0.68700000000000006</v>
      </c>
      <c r="I16" s="35">
        <v>122</v>
      </c>
      <c r="J16" s="35">
        <v>14.23</v>
      </c>
      <c r="K16" s="35">
        <v>0</v>
      </c>
      <c r="L16" s="177">
        <v>0.66400000000000003</v>
      </c>
      <c r="M16" s="36">
        <v>110</v>
      </c>
      <c r="N16" s="36">
        <v>14.03</v>
      </c>
      <c r="O16" s="36">
        <v>0</v>
      </c>
      <c r="P16" s="178">
        <v>0.63200000000000001</v>
      </c>
      <c r="Q16" s="34" t="s">
        <v>76</v>
      </c>
      <c r="R16" s="34">
        <f>VLOOKUP(Q16,GWP_Refrigerants[],2,FALSE)</f>
        <v>3</v>
      </c>
      <c r="S16" s="34">
        <v>0.63</v>
      </c>
      <c r="T16" s="34">
        <v>3.43</v>
      </c>
      <c r="U16" s="33">
        <f>'HP Commercial Calculator'!Existing_Capacity</f>
        <v>3.6</v>
      </c>
      <c r="V16" s="172" t="str">
        <f t="shared" si="6"/>
        <v>Existing Tank</v>
      </c>
      <c r="W16" s="173">
        <f>VLOOKUP(V16,Factors!$R$49:$S$50,2,FALSE)</f>
        <v>10</v>
      </c>
      <c r="X16" s="32">
        <f t="shared" si="7"/>
        <v>1</v>
      </c>
      <c r="Y16" s="172" t="e">
        <f>'HP Commercial Calculator'!#REF!</f>
        <v>#REF!</v>
      </c>
      <c r="Z16" s="32" t="e">
        <f>VLOOKUP(Y16,Factors!$R$37:$S$40,2,FALSE)</f>
        <v>#REF!</v>
      </c>
      <c r="AA16" s="171">
        <f t="shared" si="8"/>
        <v>43.701997499999997</v>
      </c>
      <c r="AB16" s="171">
        <f t="shared" si="36"/>
        <v>42.314632500000002</v>
      </c>
      <c r="AC16" s="171">
        <f t="shared" si="9"/>
        <v>38.152537500000001</v>
      </c>
      <c r="AD16" s="171">
        <f t="shared" si="10"/>
        <v>13.334119668323467</v>
      </c>
      <c r="AE16" s="171">
        <f t="shared" si="11"/>
        <v>10.303646720255214</v>
      </c>
      <c r="AF16" s="171">
        <f t="shared" si="12"/>
        <v>33.553485430694444</v>
      </c>
      <c r="AG16" s="171">
        <f t="shared" si="13"/>
        <v>28.5342224076389</v>
      </c>
      <c r="AH16" s="171">
        <f t="shared" si="14"/>
        <v>11.170842518660132</v>
      </c>
      <c r="AI16" s="171">
        <f t="shared" si="15"/>
        <v>8.3531509295751629</v>
      </c>
      <c r="AJ16" s="171">
        <f t="shared" si="16"/>
        <v>12.307188001656801</v>
      </c>
      <c r="AK16" s="171">
        <f t="shared" si="17"/>
        <v>9.2911483869218827</v>
      </c>
      <c r="AL16" s="171">
        <f t="shared" si="18"/>
        <v>35.580259742777777</v>
      </c>
      <c r="AM16" s="171">
        <f t="shared" si="19"/>
        <v>30.275065530555569</v>
      </c>
      <c r="AN16" s="171">
        <f t="shared" si="20"/>
        <v>10.143910851993466</v>
      </c>
      <c r="AO16" s="171">
        <f t="shared" si="21"/>
        <v>7.3406525962418314</v>
      </c>
      <c r="AP16" s="171">
        <f t="shared" si="22"/>
        <v>38.479707381556658</v>
      </c>
      <c r="AQ16" s="171">
        <f t="shared" si="23"/>
        <v>26.280517026226725</v>
      </c>
      <c r="AR16" s="171">
        <f t="shared" si="24"/>
        <v>106.00705783333332</v>
      </c>
      <c r="AS16" s="171">
        <f t="shared" si="25"/>
        <v>85.232965833333338</v>
      </c>
      <c r="AT16" s="197">
        <f t="shared" si="26"/>
        <v>32.142113039215673</v>
      </c>
      <c r="AU16" s="197">
        <f t="shared" si="27"/>
        <v>20.747696568627454</v>
      </c>
      <c r="AV16" s="171">
        <f t="shared" si="28"/>
        <v>37.02750738155666</v>
      </c>
      <c r="AW16" s="171">
        <f t="shared" si="29"/>
        <v>24.793337026226727</v>
      </c>
      <c r="AX16" s="171">
        <f t="shared" si="30"/>
        <v>109.18726956833333</v>
      </c>
      <c r="AY16" s="171">
        <f t="shared" si="31"/>
        <v>87.789954808333334</v>
      </c>
      <c r="AZ16" s="197">
        <f t="shared" si="32"/>
        <v>30.689913039215678</v>
      </c>
      <c r="BA16" s="171">
        <f t="shared" si="33"/>
        <v>19.260516568627455</v>
      </c>
      <c r="BB16" s="171" t="e">
        <f t="shared" si="34"/>
        <v>#REF!</v>
      </c>
      <c r="BC16" s="171" t="e">
        <f t="shared" si="35"/>
        <v>#REF!</v>
      </c>
    </row>
    <row r="17" spans="2:55" ht="12.25">
      <c r="B17" s="31" t="s">
        <v>204</v>
      </c>
      <c r="C17" s="35" t="s">
        <v>457</v>
      </c>
      <c r="D17" s="35">
        <v>326</v>
      </c>
      <c r="E17" s="35">
        <v>344</v>
      </c>
      <c r="F17" s="35">
        <v>42.06</v>
      </c>
      <c r="G17" s="35">
        <v>0</v>
      </c>
      <c r="H17" s="177">
        <v>0.64700000000000002</v>
      </c>
      <c r="I17" s="35">
        <v>336</v>
      </c>
      <c r="J17" s="35">
        <v>42.61</v>
      </c>
      <c r="K17" s="35">
        <v>0</v>
      </c>
      <c r="L17" s="177">
        <v>0.63400000000000001</v>
      </c>
      <c r="M17" s="36">
        <v>287</v>
      </c>
      <c r="N17" s="36">
        <v>36.61</v>
      </c>
      <c r="O17" s="36">
        <v>0</v>
      </c>
      <c r="P17" s="178">
        <v>0.63200000000000001</v>
      </c>
      <c r="Q17" s="34" t="s">
        <v>76</v>
      </c>
      <c r="R17" s="34">
        <f>VLOOKUP(Q17,GWP_Refrigerants[],2,FALSE)</f>
        <v>3</v>
      </c>
      <c r="S17" s="34">
        <v>0.54</v>
      </c>
      <c r="T17" s="34">
        <v>5.85</v>
      </c>
      <c r="U17" s="33">
        <f>'HP Commercial Calculator'!Existing_Capacity</f>
        <v>3.6</v>
      </c>
      <c r="V17" s="172" t="str">
        <f t="shared" si="6"/>
        <v>Existing Tank</v>
      </c>
      <c r="W17" s="173">
        <f>VLOOKUP(V17,Factors!$R$49:$S$50,2,FALSE)</f>
        <v>10</v>
      </c>
      <c r="X17" s="32">
        <f t="shared" si="7"/>
        <v>0.61539999999999995</v>
      </c>
      <c r="Y17" s="172" t="e">
        <f>'HP Commercial Calculator'!#REF!</f>
        <v>#REF!</v>
      </c>
      <c r="Z17" s="32" t="e">
        <f>VLOOKUP(Y17,Factors!$R$37:$S$40,2,FALSE)</f>
        <v>#REF!</v>
      </c>
      <c r="AA17" s="171">
        <f t="shared" si="8"/>
        <v>119.31339</v>
      </c>
      <c r="AB17" s="171">
        <f t="shared" si="36"/>
        <v>116.53866000000001</v>
      </c>
      <c r="AC17" s="171">
        <f t="shared" si="9"/>
        <v>99.543438750000007</v>
      </c>
      <c r="AD17" s="171">
        <f t="shared" si="10"/>
        <v>19.742839958322456</v>
      </c>
      <c r="AE17" s="171">
        <f t="shared" si="11"/>
        <v>16.549854031407186</v>
      </c>
      <c r="AF17" s="171">
        <f t="shared" si="12"/>
        <v>54.012079498443768</v>
      </c>
      <c r="AG17" s="171">
        <f t="shared" si="13"/>
        <v>45.821496138594156</v>
      </c>
      <c r="AH17" s="171">
        <f t="shared" si="14"/>
        <v>25.882644249934653</v>
      </c>
      <c r="AI17" s="171">
        <f t="shared" si="15"/>
        <v>21.563029046356224</v>
      </c>
      <c r="AJ17" s="171">
        <f t="shared" si="16"/>
        <v>17.850471624655786</v>
      </c>
      <c r="AK17" s="171">
        <f t="shared" si="17"/>
        <v>14.923953897740519</v>
      </c>
      <c r="AL17" s="171">
        <f t="shared" si="18"/>
        <v>57.29535232487909</v>
      </c>
      <c r="AM17" s="171">
        <f t="shared" si="19"/>
        <v>48.616456162514609</v>
      </c>
      <c r="AN17" s="171">
        <f t="shared" si="20"/>
        <v>22.807622583267982</v>
      </c>
      <c r="AO17" s="171">
        <f t="shared" si="21"/>
        <v>18.921007379689559</v>
      </c>
      <c r="AP17" s="171">
        <f t="shared" si="22"/>
        <v>54.525420110406046</v>
      </c>
      <c r="AQ17" s="171">
        <f t="shared" si="23"/>
        <v>42.187219986685683</v>
      </c>
      <c r="AR17" s="171">
        <f t="shared" si="24"/>
        <v>167.98080126119999</v>
      </c>
      <c r="AS17" s="171">
        <f t="shared" si="25"/>
        <v>136.84330833051666</v>
      </c>
      <c r="AT17" s="197">
        <f t="shared" si="26"/>
        <v>43.877376363999979</v>
      </c>
      <c r="AU17" s="197">
        <f t="shared" si="27"/>
        <v>33.30353232616666</v>
      </c>
      <c r="AV17" s="171">
        <f t="shared" si="28"/>
        <v>51.781745366406049</v>
      </c>
      <c r="AW17" s="171">
        <f t="shared" si="29"/>
        <v>39.799061822685672</v>
      </c>
      <c r="AX17" s="171">
        <f t="shared" si="30"/>
        <v>173.02022529903596</v>
      </c>
      <c r="AY17" s="171">
        <f t="shared" si="31"/>
        <v>140.94860758043217</v>
      </c>
      <c r="AZ17" s="197">
        <f t="shared" si="32"/>
        <v>41.133701619999975</v>
      </c>
      <c r="BA17" s="171">
        <f t="shared" si="33"/>
        <v>30.915374162166664</v>
      </c>
      <c r="BB17" s="171" t="e">
        <f t="shared" si="34"/>
        <v>#REF!</v>
      </c>
      <c r="BC17" s="171" t="e">
        <f t="shared" si="35"/>
        <v>#REF!</v>
      </c>
    </row>
    <row r="18" spans="2:55" ht="12.25">
      <c r="B18" s="31" t="s">
        <v>204</v>
      </c>
      <c r="C18" s="35" t="s">
        <v>458</v>
      </c>
      <c r="D18" s="35">
        <v>285</v>
      </c>
      <c r="E18" s="35">
        <v>142</v>
      </c>
      <c r="F18" s="35">
        <v>14.97</v>
      </c>
      <c r="G18" s="35">
        <v>0</v>
      </c>
      <c r="H18" s="177">
        <v>0.69599999999999995</v>
      </c>
      <c r="I18" s="35">
        <v>127</v>
      </c>
      <c r="J18" s="35">
        <v>14.3</v>
      </c>
      <c r="K18" s="35">
        <v>0</v>
      </c>
      <c r="L18" s="177">
        <v>0.67500000000000004</v>
      </c>
      <c r="M18" s="36">
        <v>115</v>
      </c>
      <c r="N18" s="36">
        <v>13.77</v>
      </c>
      <c r="O18" s="36">
        <v>0</v>
      </c>
      <c r="P18" s="178">
        <v>0.65500000000000003</v>
      </c>
      <c r="Q18" s="34" t="s">
        <v>76</v>
      </c>
      <c r="R18" s="34">
        <f>VLOOKUP(Q18,GWP_Refrigerants[],2,FALSE)</f>
        <v>3</v>
      </c>
      <c r="S18" s="34">
        <v>0.5</v>
      </c>
      <c r="T18" s="34">
        <v>3.79</v>
      </c>
      <c r="U18" s="33">
        <f>'HP Commercial Calculator'!Existing_Capacity</f>
        <v>3.6</v>
      </c>
      <c r="V18" s="172" t="str">
        <f t="shared" si="6"/>
        <v>Existing Tank</v>
      </c>
      <c r="W18" s="173">
        <f>VLOOKUP(V18,Factors!$R$49:$S$50,2,FALSE)</f>
        <v>10</v>
      </c>
      <c r="X18" s="32">
        <f t="shared" si="7"/>
        <v>0.94989999999999997</v>
      </c>
      <c r="Y18" s="172" t="e">
        <f>'HP Commercial Calculator'!#REF!</f>
        <v>#REF!</v>
      </c>
      <c r="Z18" s="32" t="e">
        <f>VLOOKUP(Y18,Factors!$R$37:$S$40,2,FALSE)</f>
        <v>#REF!</v>
      </c>
      <c r="AA18" s="171">
        <f t="shared" si="8"/>
        <v>49.251457499999994</v>
      </c>
      <c r="AB18" s="171">
        <f t="shared" si="36"/>
        <v>44.048838750000002</v>
      </c>
      <c r="AC18" s="171">
        <f t="shared" si="9"/>
        <v>39.886743750000001</v>
      </c>
      <c r="AD18" s="171">
        <f t="shared" si="10"/>
        <v>13.672057816096487</v>
      </c>
      <c r="AE18" s="171">
        <f t="shared" si="11"/>
        <v>11.150835596849797</v>
      </c>
      <c r="AF18" s="171">
        <f t="shared" si="12"/>
        <v>33.66557989220204</v>
      </c>
      <c r="AG18" s="171">
        <f t="shared" si="13"/>
        <v>29.255205980724902</v>
      </c>
      <c r="AH18" s="171">
        <f t="shared" si="14"/>
        <v>12.122402977075165</v>
      </c>
      <c r="AI18" s="171">
        <f t="shared" si="15"/>
        <v>9.6809868213235308</v>
      </c>
      <c r="AJ18" s="171">
        <f t="shared" si="16"/>
        <v>12.691776847763151</v>
      </c>
      <c r="AK18" s="171">
        <f t="shared" si="17"/>
        <v>10.206886720349793</v>
      </c>
      <c r="AL18" s="171">
        <f t="shared" si="18"/>
        <v>35.704896008051136</v>
      </c>
      <c r="AM18" s="171">
        <f t="shared" si="19"/>
        <v>31.045537928484592</v>
      </c>
      <c r="AN18" s="171">
        <f t="shared" si="20"/>
        <v>11.09041964374183</v>
      </c>
      <c r="AO18" s="171">
        <f t="shared" si="21"/>
        <v>8.6872518213235281</v>
      </c>
      <c r="AP18" s="171">
        <f t="shared" si="22"/>
        <v>42.769783626935251</v>
      </c>
      <c r="AQ18" s="171">
        <f t="shared" si="23"/>
        <v>29.111638189419406</v>
      </c>
      <c r="AR18" s="171">
        <f t="shared" si="24"/>
        <v>115.05931289335</v>
      </c>
      <c r="AS18" s="171">
        <f t="shared" si="25"/>
        <v>87.655975271375013</v>
      </c>
      <c r="AT18" s="197">
        <f t="shared" si="26"/>
        <v>35.985248048029398</v>
      </c>
      <c r="AU18" s="197">
        <f t="shared" si="27"/>
        <v>23.617119938897069</v>
      </c>
      <c r="AV18" s="171">
        <f t="shared" si="28"/>
        <v>41.262463308935253</v>
      </c>
      <c r="AW18" s="171">
        <f t="shared" si="29"/>
        <v>27.725145151419408</v>
      </c>
      <c r="AX18" s="171">
        <f t="shared" si="30"/>
        <v>118.51109228015048</v>
      </c>
      <c r="AY18" s="171">
        <f t="shared" si="31"/>
        <v>90.285654529516265</v>
      </c>
      <c r="AZ18" s="197">
        <f t="shared" si="32"/>
        <v>34.477927730029393</v>
      </c>
      <c r="BA18" s="171">
        <f t="shared" si="33"/>
        <v>22.230626900897065</v>
      </c>
      <c r="BB18" s="171" t="e">
        <f t="shared" si="34"/>
        <v>#REF!</v>
      </c>
      <c r="BC18" s="171" t="e">
        <f t="shared" si="35"/>
        <v>#REF!</v>
      </c>
    </row>
    <row r="19" spans="2:55" ht="12.25">
      <c r="B19" s="31" t="s">
        <v>203</v>
      </c>
      <c r="C19" s="35" t="s">
        <v>208</v>
      </c>
      <c r="D19" s="35">
        <v>200</v>
      </c>
      <c r="E19" s="35">
        <v>136</v>
      </c>
      <c r="F19" s="35">
        <v>10.81</v>
      </c>
      <c r="G19" s="35">
        <v>0</v>
      </c>
      <c r="H19" s="177">
        <v>0.77100000000000002</v>
      </c>
      <c r="I19" s="35">
        <v>117</v>
      </c>
      <c r="J19" s="35">
        <v>9.73</v>
      </c>
      <c r="K19" s="170">
        <v>0</v>
      </c>
      <c r="L19" s="177">
        <v>0.76</v>
      </c>
      <c r="M19" s="36">
        <v>101</v>
      </c>
      <c r="N19" s="36">
        <v>9.0399999999999991</v>
      </c>
      <c r="O19" s="36">
        <v>0</v>
      </c>
      <c r="P19" s="178">
        <v>0.74199999999999999</v>
      </c>
      <c r="Q19" s="34" t="s">
        <v>96</v>
      </c>
      <c r="R19" s="34">
        <f>VLOOKUP(Q19,GWP_Refrigerants[],2,FALSE)</f>
        <v>1430</v>
      </c>
      <c r="S19" s="34">
        <v>0.9</v>
      </c>
      <c r="T19" s="34">
        <v>3.6</v>
      </c>
      <c r="U19" s="33">
        <f>'HP Commercial Calculator'!Existing_Capacity</f>
        <v>3.6</v>
      </c>
      <c r="V19" s="172" t="str">
        <f t="shared" si="6"/>
        <v>Existing Tank</v>
      </c>
      <c r="W19" s="173">
        <f>VLOOKUP(V19,Factors!$R$49:$S$50,2,FALSE)</f>
        <v>10</v>
      </c>
      <c r="X19" s="32">
        <f t="shared" si="7"/>
        <v>1</v>
      </c>
      <c r="Y19" s="172" t="e">
        <f>'HP Commercial Calculator'!#REF!</f>
        <v>#REF!</v>
      </c>
      <c r="Z19" s="32" t="e">
        <f>VLOOKUP(Y19,Factors!$R$37:$S$40,2,FALSE)</f>
        <v>#REF!</v>
      </c>
      <c r="AA19" s="171">
        <f t="shared" si="8"/>
        <v>47.170410000000004</v>
      </c>
      <c r="AB19" s="171">
        <f t="shared" ref="AB19:AB26" si="37">365*0.905*1.05*I19/1000</f>
        <v>40.580426249999995</v>
      </c>
      <c r="AC19" s="171">
        <f t="shared" si="9"/>
        <v>35.030966249999999</v>
      </c>
      <c r="AD19" s="171">
        <f t="shared" si="10"/>
        <v>16.973379754776506</v>
      </c>
      <c r="AE19" s="171">
        <f t="shared" si="11"/>
        <v>13.487339764759591</v>
      </c>
      <c r="AF19" s="171">
        <f t="shared" si="12"/>
        <v>36.364082985902769</v>
      </c>
      <c r="AG19" s="171">
        <f t="shared" si="13"/>
        <v>30.226322895902776</v>
      </c>
      <c r="AH19" s="171">
        <f t="shared" si="14"/>
        <v>14.898761504689542</v>
      </c>
      <c r="AI19" s="171">
        <f t="shared" si="15"/>
        <v>11.696429993316999</v>
      </c>
      <c r="AJ19" s="171">
        <f t="shared" si="16"/>
        <v>16.271198088109838</v>
      </c>
      <c r="AK19" s="171">
        <f t="shared" si="17"/>
        <v>12.834953098092925</v>
      </c>
      <c r="AL19" s="171">
        <f t="shared" si="18"/>
        <v>38.59045541361111</v>
      </c>
      <c r="AM19" s="171">
        <f t="shared" si="19"/>
        <v>32.102004293611117</v>
      </c>
      <c r="AN19" s="171">
        <f t="shared" si="20"/>
        <v>14.196579838022874</v>
      </c>
      <c r="AO19" s="171">
        <f t="shared" si="21"/>
        <v>11.044043326650332</v>
      </c>
      <c r="AP19" s="171">
        <f t="shared" si="22"/>
        <v>55.586784686971228</v>
      </c>
      <c r="AQ19" s="171">
        <f t="shared" si="23"/>
        <v>37.705680784686955</v>
      </c>
      <c r="AR19" s="171">
        <f t="shared" si="24"/>
        <v>128.47344866666668</v>
      </c>
      <c r="AS19" s="171">
        <f t="shared" si="25"/>
        <v>91.834747416666673</v>
      </c>
      <c r="AT19" s="197">
        <f t="shared" si="26"/>
        <v>48.746206666666659</v>
      </c>
      <c r="AU19" s="197">
        <f t="shared" si="27"/>
        <v>32.625545637254895</v>
      </c>
      <c r="AV19" s="171">
        <f t="shared" si="28"/>
        <v>54.440924686971229</v>
      </c>
      <c r="AW19" s="171">
        <f t="shared" si="29"/>
        <v>36.747440784686951</v>
      </c>
      <c r="AX19" s="171">
        <f t="shared" si="30"/>
        <v>132.32765212666669</v>
      </c>
      <c r="AY19" s="171">
        <f t="shared" si="31"/>
        <v>94.58978983916667</v>
      </c>
      <c r="AZ19" s="197">
        <f t="shared" si="32"/>
        <v>47.60034666666666</v>
      </c>
      <c r="BA19" s="171">
        <f t="shared" si="33"/>
        <v>31.667305637254902</v>
      </c>
      <c r="BB19" s="171" t="e">
        <f t="shared" si="34"/>
        <v>#REF!</v>
      </c>
      <c r="BC19" s="171" t="e">
        <f t="shared" si="35"/>
        <v>#REF!</v>
      </c>
    </row>
    <row r="20" spans="2:55" ht="12.25">
      <c r="B20" s="31" t="s">
        <v>203</v>
      </c>
      <c r="C20" s="35" t="s">
        <v>200</v>
      </c>
      <c r="D20" s="35">
        <v>219.6</v>
      </c>
      <c r="E20" s="35">
        <v>120</v>
      </c>
      <c r="F20" s="35">
        <v>10.28</v>
      </c>
      <c r="G20" s="35">
        <v>0</v>
      </c>
      <c r="H20" s="177">
        <v>0.753</v>
      </c>
      <c r="I20" s="35">
        <v>107</v>
      </c>
      <c r="J20" s="35">
        <v>9.98</v>
      </c>
      <c r="K20" s="170">
        <v>0</v>
      </c>
      <c r="L20" s="177">
        <v>0.73099999999999998</v>
      </c>
      <c r="M20" s="36">
        <v>97</v>
      </c>
      <c r="N20" s="36">
        <v>10.18</v>
      </c>
      <c r="O20" s="36">
        <v>0</v>
      </c>
      <c r="P20" s="178">
        <v>0.69699999999999995</v>
      </c>
      <c r="Q20" s="34" t="s">
        <v>76</v>
      </c>
      <c r="R20" s="34">
        <f>VLOOKUP(Q20,GWP_Refrigerants[],2,FALSE)</f>
        <v>3</v>
      </c>
      <c r="S20" s="34">
        <v>0.4</v>
      </c>
      <c r="T20" s="34">
        <v>3</v>
      </c>
      <c r="U20" s="33">
        <f>'HP Commercial Calculator'!Existing_Capacity</f>
        <v>3.6</v>
      </c>
      <c r="V20" s="172" t="str">
        <f t="shared" si="6"/>
        <v>Existing Tank</v>
      </c>
      <c r="W20" s="173">
        <f>VLOOKUP(V20,Factors!$R$49:$S$50,2,FALSE)</f>
        <v>10</v>
      </c>
      <c r="X20" s="32">
        <f t="shared" si="7"/>
        <v>1</v>
      </c>
      <c r="Y20" s="172" t="e">
        <f>'HP Commercial Calculator'!#REF!</f>
        <v>#REF!</v>
      </c>
      <c r="Z20" s="32" t="e">
        <f>VLOOKUP(Y20,Factors!$R$37:$S$40,2,FALSE)</f>
        <v>#REF!</v>
      </c>
      <c r="AA20" s="171">
        <f t="shared" si="8"/>
        <v>41.620950000000001</v>
      </c>
      <c r="AB20" s="171">
        <f t="shared" si="37"/>
        <v>37.112013749999996</v>
      </c>
      <c r="AC20" s="171">
        <f t="shared" si="9"/>
        <v>33.643601250000003</v>
      </c>
      <c r="AD20" s="171">
        <f t="shared" si="10"/>
        <v>14.533129372127036</v>
      </c>
      <c r="AE20" s="171">
        <f t="shared" si="11"/>
        <v>11.48146200058869</v>
      </c>
      <c r="AF20" s="171">
        <f t="shared" si="12"/>
        <v>32.266507540763882</v>
      </c>
      <c r="AG20" s="171">
        <f t="shared" si="13"/>
        <v>27.557515106736108</v>
      </c>
      <c r="AH20" s="171">
        <f t="shared" si="14"/>
        <v>12.635828921192804</v>
      </c>
      <c r="AI20" s="171">
        <f t="shared" si="15"/>
        <v>9.761479348807196</v>
      </c>
      <c r="AJ20" s="171">
        <f t="shared" si="16"/>
        <v>13.812906038793702</v>
      </c>
      <c r="AK20" s="171">
        <f t="shared" si="17"/>
        <v>10.746805333922023</v>
      </c>
      <c r="AL20" s="171">
        <f t="shared" si="18"/>
        <v>34.224534533055554</v>
      </c>
      <c r="AM20" s="171">
        <f t="shared" si="19"/>
        <v>29.250804996944449</v>
      </c>
      <c r="AN20" s="171">
        <f t="shared" si="20"/>
        <v>11.915605587859471</v>
      </c>
      <c r="AO20" s="171">
        <f t="shared" si="21"/>
        <v>9.0268226821405264</v>
      </c>
      <c r="AP20" s="171">
        <f t="shared" si="22"/>
        <v>46.426260998307939</v>
      </c>
      <c r="AQ20" s="171">
        <f t="shared" si="23"/>
        <v>30.919383195854472</v>
      </c>
      <c r="AR20" s="171">
        <f t="shared" si="24"/>
        <v>110.73802333333333</v>
      </c>
      <c r="AS20" s="171">
        <f t="shared" si="25"/>
        <v>82.904724416666681</v>
      </c>
      <c r="AT20" s="197">
        <f t="shared" si="26"/>
        <v>40.39045686274509</v>
      </c>
      <c r="AU20" s="197">
        <f t="shared" si="27"/>
        <v>26.040441519607839</v>
      </c>
      <c r="AV20" s="171">
        <f t="shared" si="28"/>
        <v>45.336580998307944</v>
      </c>
      <c r="AW20" s="171">
        <f t="shared" si="29"/>
        <v>29.840303195854471</v>
      </c>
      <c r="AX20" s="171">
        <f t="shared" si="30"/>
        <v>114.06016403333334</v>
      </c>
      <c r="AY20" s="171">
        <f t="shared" si="31"/>
        <v>85.391866149166688</v>
      </c>
      <c r="AZ20" s="197">
        <f t="shared" si="32"/>
        <v>39.300776862745089</v>
      </c>
      <c r="BA20" s="171">
        <f t="shared" si="33"/>
        <v>24.961361519607841</v>
      </c>
      <c r="BB20" s="171" t="e">
        <f t="shared" si="34"/>
        <v>#REF!</v>
      </c>
      <c r="BC20" s="171" t="e">
        <f t="shared" si="35"/>
        <v>#REF!</v>
      </c>
    </row>
    <row r="21" spans="2:55" ht="12.25">
      <c r="B21" s="31" t="s">
        <v>203</v>
      </c>
      <c r="C21" s="35" t="s">
        <v>551</v>
      </c>
      <c r="D21" s="35">
        <v>326.5</v>
      </c>
      <c r="E21" s="35">
        <v>66</v>
      </c>
      <c r="F21" s="35">
        <v>6.01</v>
      </c>
      <c r="G21" s="35">
        <v>0</v>
      </c>
      <c r="H21" s="177">
        <f>7380%/100</f>
        <v>0.73799999999999999</v>
      </c>
      <c r="I21" s="35">
        <v>51</v>
      </c>
      <c r="J21" s="35">
        <v>5.0999999999999996</v>
      </c>
      <c r="K21" s="170">
        <v>0</v>
      </c>
      <c r="L21" s="177">
        <v>0.71200000000000008</v>
      </c>
      <c r="M21" s="36">
        <v>45</v>
      </c>
      <c r="N21" s="36">
        <v>4.83</v>
      </c>
      <c r="O21" s="36">
        <v>0</v>
      </c>
      <c r="P21" s="178">
        <f>6910%/100</f>
        <v>0.69099999999999995</v>
      </c>
      <c r="Q21" s="34" t="s">
        <v>76</v>
      </c>
      <c r="R21" s="34">
        <f>VLOOKUP(Q21,GWP_Refrigerants[],2,FALSE)</f>
        <v>3</v>
      </c>
      <c r="S21" s="34">
        <v>0.45</v>
      </c>
      <c r="T21" s="34">
        <v>3.02</v>
      </c>
      <c r="U21" s="33">
        <f>'HP Commercial Calculator'!Existing_Capacity</f>
        <v>3.6</v>
      </c>
      <c r="V21" s="172" t="str">
        <f t="shared" si="6"/>
        <v>Existing Tank</v>
      </c>
      <c r="W21" s="173">
        <f>VLOOKUP(V21,Factors!$R$49:$S$50,2,FALSE)</f>
        <v>10</v>
      </c>
      <c r="X21" s="32">
        <f t="shared" ref="X21:X22" si="38">IF(T21&gt;0,MIN(ROUND(U21/(T21),4),1),"")</f>
        <v>1</v>
      </c>
      <c r="Y21" s="172" t="e">
        <f>'HP Commercial Calculator'!#REF!</f>
        <v>#REF!</v>
      </c>
      <c r="Z21" s="32" t="e">
        <f>VLOOKUP(Y21,Factors!$R$37:$S$40,2,FALSE)</f>
        <v>#REF!</v>
      </c>
      <c r="AA21" s="34">
        <v>22.89</v>
      </c>
      <c r="AB21" s="171">
        <f t="shared" si="37"/>
        <v>17.688903750000001</v>
      </c>
      <c r="AC21" s="34">
        <v>15.61</v>
      </c>
      <c r="AD21" s="171">
        <f t="shared" ref="AD21:AD22" si="39">(GEF*($AB21/RepEff)-GEF*$K21-EEFm_Commercial*MetroVEU*$J21/3.6)*$X21*W21+(1430-$R21)*RFE*$S21</f>
        <v>6.7075377848456021</v>
      </c>
      <c r="AE21" s="171">
        <f t="shared" ref="AE21:AE22" si="40">(GEF*($AC21/RepEff)-GEF*$P21-EEFm_Commercial*MetroVEU*$N21/3.6)*$X21*W21+(1430-$R21)*RFE*$S21</f>
        <v>5.1870741179356994</v>
      </c>
      <c r="AF21" s="171">
        <f t="shared" ref="AF21:AF22" si="41">(EEFm_Commercial*$AB21/3.6*MetroVEU-GEF*$K21-EEFm_Commercial*MetroVEU*$J21/3.6)*$X21*W21+(1430-$R21)*RFE*$S21</f>
        <v>15.159895603541671</v>
      </c>
      <c r="AG21" s="171">
        <f t="shared" ref="AG21:AG22" si="42">(EEFm_Commercial*$AC21/3.6*MetroVEU-GEF*$P21-EEFm_Commercial*MetroVEU*$N21/3.6)*$X21*W21+(1430-$R21)*RFE*$S21</f>
        <v>12.646061255555555</v>
      </c>
      <c r="AH21" s="171">
        <f t="shared" ref="AH21:AH22" si="43">(GEF*$AB21/NewEff-GEF*$K21-EEFm_Commercial*MetroVEU*$J21/3.6)*W21+(1430-$R21)*RFE*$S21</f>
        <v>5.8032170091666693</v>
      </c>
      <c r="AI21" s="171">
        <f t="shared" ref="AI21:AI22" si="44">(GEF*$AC21/NewEff-GEF*$P21-EEFm_Commercial*MetroVEU*$N21/3.6)*W21+(1430-$R21)*RFE*$S21</f>
        <v>4.3890344254901965</v>
      </c>
      <c r="AJ21" s="171">
        <f t="shared" ref="AJ21:AJ22" si="45">(GEF*($AB21/RepEff)-GEF*$K21-EEFm_Commercial*RegionalVEU*$J21/3.6)*$X21*W21+(1430-$R21)*RFE*$S21</f>
        <v>6.3394877848456019</v>
      </c>
      <c r="AK21" s="171">
        <f t="shared" ref="AK21:AK22" si="46">(GEF*($AC21/RepEff)-GEF*$P21-EEFm_Commercial*RegionalVEU*$N21/3.6)*$X21*W21+(1430-$R21)*RFE*$S21</f>
        <v>4.8385091179357005</v>
      </c>
      <c r="AL21" s="171">
        <f t="shared" ref="AL21:AL22" si="47">(EEFm_Commercial*$AB21/3.6*RegionalVEU-GEF*$K21-EEFm_Commercial*RegionalVEU*$J21/3.6)*$X21*W21+(1430-$R21)*RFE*$S21</f>
        <v>16.068394824166667</v>
      </c>
      <c r="AM21" s="171">
        <f t="shared" ref="AM21:AM22" si="48">(EEFm_Commercial*$AC21/3.6*RegionalVEU-GEF*$P21-EEFm_Commercial*RegionalVEU*$N21/3.6)*$X21*W21+(1430-$R21)*RFE*$S21</f>
        <v>13.424017922222223</v>
      </c>
      <c r="AN21" s="171">
        <f t="shared" ref="AN21:AN22" si="49">(GEF*$AB21/NewEff-GEF*$K21-EEFm_Commercial*RegionalVEU*$J21/3.6)*W21+(1430-$R21)*RFE*$S21</f>
        <v>5.4351670091666691</v>
      </c>
      <c r="AO21" s="171">
        <f t="shared" ref="AO21:AO22" si="50">(GEF*$AC21/NewEff-GEF*$P21-EEFm_Commercial*RegionalVEU*$N21/3.6)*W21+(1430-$R21)*RFE*$S21</f>
        <v>4.0404694254901967</v>
      </c>
      <c r="AP21" s="171">
        <f t="shared" si="22"/>
        <v>24.273549915397624</v>
      </c>
      <c r="AQ21" s="171">
        <f t="shared" si="23"/>
        <v>13.969109983079516</v>
      </c>
      <c r="AR21" s="171">
        <f t="shared" si="24"/>
        <v>59.642666666666678</v>
      </c>
      <c r="AS21" s="171">
        <f t="shared" si="25"/>
        <v>38.089333333333336</v>
      </c>
      <c r="AT21" s="197">
        <f t="shared" si="26"/>
        <v>20.95407843137254</v>
      </c>
      <c r="AU21" s="197">
        <f t="shared" si="27"/>
        <v>11.705372549019602</v>
      </c>
      <c r="AV21" s="171">
        <f t="shared" si="28"/>
        <v>23.636489915397625</v>
      </c>
      <c r="AW21" s="171">
        <f t="shared" si="29"/>
        <v>13.457129983079518</v>
      </c>
      <c r="AX21" s="171">
        <f t="shared" si="30"/>
        <v>61.431946666666668</v>
      </c>
      <c r="AY21" s="171">
        <f t="shared" si="31"/>
        <v>39.232013333333327</v>
      </c>
      <c r="AZ21" s="197">
        <f t="shared" si="32"/>
        <v>20.317018431372542</v>
      </c>
      <c r="BA21" s="171">
        <f t="shared" si="33"/>
        <v>11.193392549019604</v>
      </c>
      <c r="BB21" s="171" t="e">
        <f t="shared" ref="BB21:BB22" si="51">(0.01*E21*BPAF-((100-H21*100)*(0.01*E21)/100)*PAF)*FF*SPDRD*Life_PRC*Z21*10</f>
        <v>#REF!</v>
      </c>
      <c r="BC21" s="171" t="e">
        <f t="shared" ref="BC21:BC22" si="52">(0.01*M21*BPAF-((100-P21*100)*(0.01*M21)/100)*PAF)*FF*SPDRD*Life_PRC*Z21*10</f>
        <v>#REF!</v>
      </c>
    </row>
    <row r="22" spans="2:55" ht="12.25">
      <c r="B22" s="31" t="s">
        <v>203</v>
      </c>
      <c r="C22" s="35" t="s">
        <v>552</v>
      </c>
      <c r="D22" s="35">
        <v>326.5</v>
      </c>
      <c r="E22" s="35">
        <v>80</v>
      </c>
      <c r="F22" s="35">
        <v>7.11</v>
      </c>
      <c r="G22" s="35">
        <v>0</v>
      </c>
      <c r="H22" s="177">
        <f>7440%/100</f>
        <v>0.74400000000000011</v>
      </c>
      <c r="I22" s="35">
        <v>72</v>
      </c>
      <c r="J22" s="35">
        <v>6.93</v>
      </c>
      <c r="K22" s="170">
        <v>0</v>
      </c>
      <c r="L22" s="177">
        <v>0.72299999999999998</v>
      </c>
      <c r="M22" s="36">
        <v>57</v>
      </c>
      <c r="N22" s="36">
        <v>6.05</v>
      </c>
      <c r="O22" s="36">
        <v>0</v>
      </c>
      <c r="P22" s="178">
        <f>6940%/100</f>
        <v>0.69400000000000006</v>
      </c>
      <c r="Q22" s="34" t="s">
        <v>76</v>
      </c>
      <c r="R22" s="34">
        <f>VLOOKUP(Q22,GWP_Refrigerants[],2,FALSE)</f>
        <v>3</v>
      </c>
      <c r="S22" s="34">
        <v>0.45</v>
      </c>
      <c r="T22" s="34">
        <v>3.02</v>
      </c>
      <c r="U22" s="33">
        <f>'HP Commercial Calculator'!Existing_Capacity</f>
        <v>3.6</v>
      </c>
      <c r="V22" s="172" t="str">
        <f t="shared" si="6"/>
        <v>Existing Tank</v>
      </c>
      <c r="W22" s="173">
        <f>VLOOKUP(V22,Factors!$R$49:$S$50,2,FALSE)</f>
        <v>10</v>
      </c>
      <c r="X22" s="32">
        <f t="shared" si="38"/>
        <v>1</v>
      </c>
      <c r="Y22" s="172" t="e">
        <f>'HP Commercial Calculator'!#REF!</f>
        <v>#REF!</v>
      </c>
      <c r="Z22" s="32" t="e">
        <f>VLOOKUP(Y22,Factors!$R$37:$S$40,2,FALSE)</f>
        <v>#REF!</v>
      </c>
      <c r="AA22" s="34">
        <v>27.75</v>
      </c>
      <c r="AB22" s="171">
        <f t="shared" si="37"/>
        <v>24.972570000000001</v>
      </c>
      <c r="AC22" s="34">
        <v>19.77</v>
      </c>
      <c r="AD22" s="171">
        <f t="shared" si="39"/>
        <v>9.6555127550761437</v>
      </c>
      <c r="AE22" s="171">
        <f t="shared" si="40"/>
        <v>6.6630715382966699</v>
      </c>
      <c r="AF22" s="171">
        <f t="shared" si="41"/>
        <v>21.588253205000001</v>
      </c>
      <c r="AG22" s="171">
        <f t="shared" si="42"/>
        <v>16.109847688888888</v>
      </c>
      <c r="AH22" s="171">
        <f t="shared" si="43"/>
        <v>8.3788246011764738</v>
      </c>
      <c r="AI22" s="171">
        <f t="shared" si="44"/>
        <v>5.6523575908496735</v>
      </c>
      <c r="AJ22" s="171">
        <f t="shared" si="45"/>
        <v>9.1553977550761427</v>
      </c>
      <c r="AK22" s="171">
        <f t="shared" si="46"/>
        <v>6.2264632049633359</v>
      </c>
      <c r="AL22" s="171">
        <f t="shared" si="47"/>
        <v>22.890325340000004</v>
      </c>
      <c r="AM22" s="171">
        <f t="shared" si="48"/>
        <v>17.099974355555553</v>
      </c>
      <c r="AN22" s="171">
        <f t="shared" si="49"/>
        <v>7.8787096011764728</v>
      </c>
      <c r="AO22" s="171">
        <f t="shared" si="50"/>
        <v>5.2157492575163396</v>
      </c>
      <c r="AP22" s="171">
        <f t="shared" si="22"/>
        <v>30.049319796954315</v>
      </c>
      <c r="AQ22" s="171">
        <f t="shared" si="23"/>
        <v>17.929170896785102</v>
      </c>
      <c r="AR22" s="171">
        <f t="shared" si="24"/>
        <v>72.928000000000011</v>
      </c>
      <c r="AS22" s="171">
        <f t="shared" si="25"/>
        <v>48.477333333333327</v>
      </c>
      <c r="AT22" s="197">
        <f t="shared" si="26"/>
        <v>26.025058823529406</v>
      </c>
      <c r="AU22" s="197">
        <f t="shared" si="27"/>
        <v>15.062156862745095</v>
      </c>
      <c r="AV22" s="171">
        <f t="shared" si="28"/>
        <v>29.295659796954311</v>
      </c>
      <c r="AW22" s="171">
        <f t="shared" si="29"/>
        <v>17.287870896785105</v>
      </c>
      <c r="AX22" s="171">
        <f t="shared" si="30"/>
        <v>75.115840000000006</v>
      </c>
      <c r="AY22" s="171">
        <f t="shared" si="31"/>
        <v>49.93165333333333</v>
      </c>
      <c r="AZ22" s="197">
        <f t="shared" si="32"/>
        <v>25.271398823529406</v>
      </c>
      <c r="BA22" s="171">
        <f t="shared" si="33"/>
        <v>14.420856862745097</v>
      </c>
      <c r="BB22" s="171" t="e">
        <f t="shared" si="51"/>
        <v>#REF!</v>
      </c>
      <c r="BC22" s="171" t="e">
        <f t="shared" si="52"/>
        <v>#REF!</v>
      </c>
    </row>
    <row r="23" spans="2:55" ht="12.25">
      <c r="B23" s="31" t="s">
        <v>492</v>
      </c>
      <c r="C23" s="35" t="s">
        <v>500</v>
      </c>
      <c r="D23" s="35">
        <v>215</v>
      </c>
      <c r="E23" s="35">
        <v>92</v>
      </c>
      <c r="F23" s="35">
        <v>10.050000000000001</v>
      </c>
      <c r="G23" s="35">
        <v>0</v>
      </c>
      <c r="H23" s="177">
        <v>0.68500000000000005</v>
      </c>
      <c r="I23" s="35">
        <v>83</v>
      </c>
      <c r="J23" s="35">
        <v>9.7799999999999994</v>
      </c>
      <c r="K23" s="35">
        <v>0</v>
      </c>
      <c r="L23" s="177">
        <v>0.66</v>
      </c>
      <c r="M23" s="36">
        <v>71</v>
      </c>
      <c r="N23" s="36">
        <v>9.19</v>
      </c>
      <c r="O23" s="36">
        <v>0</v>
      </c>
      <c r="P23" s="178">
        <v>0.627</v>
      </c>
      <c r="Q23" s="34" t="s">
        <v>76</v>
      </c>
      <c r="R23" s="34">
        <f>VLOOKUP(Q23,GWP_Refrigerants[],2,FALSE)</f>
        <v>3</v>
      </c>
      <c r="S23" s="34">
        <v>0.38</v>
      </c>
      <c r="T23" s="34">
        <v>3.03</v>
      </c>
      <c r="U23" s="33">
        <f>'HP Commercial Calculator'!Existing_Capacity</f>
        <v>3.6</v>
      </c>
      <c r="V23" s="172" t="str">
        <f t="shared" si="6"/>
        <v>Existing Tank</v>
      </c>
      <c r="W23" s="173">
        <f>VLOOKUP(V23,Factors!$R$49:$S$50,2,FALSE)</f>
        <v>10</v>
      </c>
      <c r="X23" s="32">
        <f t="shared" si="7"/>
        <v>1</v>
      </c>
      <c r="Y23" s="172" t="e">
        <f>'HP Commercial Calculator'!#REF!</f>
        <v>#REF!</v>
      </c>
      <c r="Z23" s="32" t="e">
        <f>VLOOKUP(Y23,Factors!$R$37:$S$40,2,FALSE)</f>
        <v>#REF!</v>
      </c>
      <c r="AA23" s="171">
        <f t="shared" si="8"/>
        <v>31.909395</v>
      </c>
      <c r="AB23" s="171">
        <f t="shared" si="37"/>
        <v>28.787823750000001</v>
      </c>
      <c r="AC23" s="171">
        <f t="shared" si="9"/>
        <v>24.625728749999997</v>
      </c>
      <c r="AD23" s="171">
        <f t="shared" si="10"/>
        <v>8.9202762315461079</v>
      </c>
      <c r="AE23" s="171">
        <f t="shared" si="11"/>
        <v>6.352266450144529</v>
      </c>
      <c r="AF23" s="171">
        <f t="shared" si="12"/>
        <v>22.67607425020833</v>
      </c>
      <c r="AG23" s="171">
        <f t="shared" si="13"/>
        <v>18.119274393819445</v>
      </c>
      <c r="AH23" s="171">
        <f t="shared" si="14"/>
        <v>7.4485384985784329</v>
      </c>
      <c r="AI23" s="171">
        <f t="shared" si="15"/>
        <v>5.0933100761601322</v>
      </c>
      <c r="AJ23" s="171">
        <f t="shared" si="16"/>
        <v>8.2144862315461076</v>
      </c>
      <c r="AK23" s="171">
        <f t="shared" si="17"/>
        <v>5.6890547834778618</v>
      </c>
      <c r="AL23" s="171">
        <f t="shared" si="18"/>
        <v>24.047805530833337</v>
      </c>
      <c r="AM23" s="171">
        <f t="shared" si="19"/>
        <v>19.233219485277782</v>
      </c>
      <c r="AN23" s="171">
        <f t="shared" si="20"/>
        <v>6.7427484985784334</v>
      </c>
      <c r="AO23" s="171">
        <f t="shared" si="21"/>
        <v>4.430098409493465</v>
      </c>
      <c r="AP23" s="171">
        <f t="shared" si="22"/>
        <v>27.930844543147199</v>
      </c>
      <c r="AQ23" s="171">
        <f t="shared" si="23"/>
        <v>16.488448868443307</v>
      </c>
      <c r="AR23" s="171">
        <f t="shared" si="24"/>
        <v>77.236529000000004</v>
      </c>
      <c r="AS23" s="171">
        <f t="shared" si="25"/>
        <v>54.539574916666659</v>
      </c>
      <c r="AT23" s="197">
        <f t="shared" si="26"/>
        <v>23.303394705882361</v>
      </c>
      <c r="AU23" s="197">
        <f t="shared" si="27"/>
        <v>12.917264754901954</v>
      </c>
      <c r="AV23" s="171">
        <f t="shared" si="28"/>
        <v>26.865544543147198</v>
      </c>
      <c r="AW23" s="171">
        <f t="shared" si="29"/>
        <v>15.514308868443305</v>
      </c>
      <c r="AX23" s="171">
        <f t="shared" si="30"/>
        <v>79.553624869999993</v>
      </c>
      <c r="AY23" s="171">
        <f t="shared" si="31"/>
        <v>56.175762164166656</v>
      </c>
      <c r="AZ23" s="197">
        <f t="shared" si="32"/>
        <v>22.238094705882354</v>
      </c>
      <c r="BA23" s="171">
        <f t="shared" si="33"/>
        <v>11.943124754901953</v>
      </c>
      <c r="BB23" s="171" t="e">
        <f t="shared" si="34"/>
        <v>#REF!</v>
      </c>
      <c r="BC23" s="171" t="e">
        <f t="shared" si="35"/>
        <v>#REF!</v>
      </c>
    </row>
    <row r="24" spans="2:55" ht="12.25">
      <c r="B24" s="31" t="s">
        <v>492</v>
      </c>
      <c r="C24" s="35" t="s">
        <v>496</v>
      </c>
      <c r="D24" s="35">
        <v>265</v>
      </c>
      <c r="E24" s="35">
        <v>75</v>
      </c>
      <c r="F24" s="35">
        <v>7.12</v>
      </c>
      <c r="G24" s="35">
        <v>0</v>
      </c>
      <c r="H24" s="177">
        <v>0.72599999999999998</v>
      </c>
      <c r="I24" s="35">
        <v>62</v>
      </c>
      <c r="J24" s="35">
        <v>6.37</v>
      </c>
      <c r="K24" s="35">
        <v>0</v>
      </c>
      <c r="L24" s="177">
        <v>0.70400000000000007</v>
      </c>
      <c r="M24" s="36">
        <v>59</v>
      </c>
      <c r="N24" s="36">
        <v>6.79</v>
      </c>
      <c r="O24" s="36">
        <v>0</v>
      </c>
      <c r="P24" s="178">
        <v>0.66800000000000004</v>
      </c>
      <c r="Q24" s="34" t="s">
        <v>76</v>
      </c>
      <c r="R24" s="34">
        <f>VLOOKUP(Q24,GWP_Refrigerants[],2,FALSE)</f>
        <v>3</v>
      </c>
      <c r="S24" s="34">
        <v>0.38</v>
      </c>
      <c r="T24" s="34">
        <v>3.02</v>
      </c>
      <c r="U24" s="33">
        <f>'HP Commercial Calculator'!Existing_Capacity</f>
        <v>3.6</v>
      </c>
      <c r="V24" s="172" t="str">
        <f t="shared" si="6"/>
        <v>Existing Tank</v>
      </c>
      <c r="W24" s="173">
        <f>VLOOKUP(V24,Factors!$R$49:$S$50,2,FALSE)</f>
        <v>10</v>
      </c>
      <c r="X24" s="32">
        <f t="shared" si="7"/>
        <v>1</v>
      </c>
      <c r="Y24" s="172" t="e">
        <f>'HP Commercial Calculator'!#REF!</f>
        <v>#REF!</v>
      </c>
      <c r="Z24" s="32" t="e">
        <f>VLOOKUP(Y24,Factors!$R$37:$S$40,2,FALSE)</f>
        <v>#REF!</v>
      </c>
      <c r="AA24" s="171">
        <f t="shared" si="8"/>
        <v>26.013093749999999</v>
      </c>
      <c r="AB24" s="171">
        <f t="shared" si="37"/>
        <v>21.504157500000002</v>
      </c>
      <c r="AC24" s="171">
        <f t="shared" si="9"/>
        <v>20.46363375</v>
      </c>
      <c r="AD24" s="171">
        <f t="shared" si="10"/>
        <v>7.8346823724266796</v>
      </c>
      <c r="AE24" s="171">
        <f t="shared" si="11"/>
        <v>6.2413916909651732</v>
      </c>
      <c r="AF24" s="171">
        <f t="shared" si="12"/>
        <v>18.110097759861116</v>
      </c>
      <c r="AG24" s="171">
        <f t="shared" si="13"/>
        <v>16.019609559652778</v>
      </c>
      <c r="AH24" s="171">
        <f t="shared" si="14"/>
        <v>6.7353120176797399</v>
      </c>
      <c r="AI24" s="171">
        <f t="shared" si="15"/>
        <v>5.1952166759640521</v>
      </c>
      <c r="AJ24" s="171">
        <f t="shared" si="16"/>
        <v>7.3749807057600139</v>
      </c>
      <c r="AK24" s="171">
        <f t="shared" si="17"/>
        <v>5.7513800242985056</v>
      </c>
      <c r="AL24" s="171">
        <f t="shared" si="18"/>
        <v>19.202279459444451</v>
      </c>
      <c r="AM24" s="171">
        <f t="shared" si="19"/>
        <v>17.006390128611109</v>
      </c>
      <c r="AN24" s="171">
        <f t="shared" si="20"/>
        <v>6.2756103510130732</v>
      </c>
      <c r="AO24" s="171">
        <f t="shared" si="21"/>
        <v>4.7052050092973845</v>
      </c>
      <c r="AP24" s="171">
        <f t="shared" si="22"/>
        <v>26.560746457275794</v>
      </c>
      <c r="AQ24" s="171">
        <f t="shared" si="23"/>
        <v>16.693556101945848</v>
      </c>
      <c r="AR24" s="171">
        <f t="shared" si="24"/>
        <v>66.755597916666673</v>
      </c>
      <c r="AS24" s="171">
        <f t="shared" si="25"/>
        <v>48.313505916666664</v>
      </c>
      <c r="AT24" s="197">
        <f t="shared" si="26"/>
        <v>22.788368872549018</v>
      </c>
      <c r="AU24" s="197">
        <f t="shared" si="27"/>
        <v>13.725952401960779</v>
      </c>
      <c r="AV24" s="171">
        <f t="shared" si="28"/>
        <v>25.806026457275788</v>
      </c>
      <c r="AW24" s="171">
        <f t="shared" si="29"/>
        <v>15.973816101945843</v>
      </c>
      <c r="AX24" s="171">
        <f t="shared" si="30"/>
        <v>68.758265854166666</v>
      </c>
      <c r="AY24" s="171">
        <f t="shared" si="31"/>
        <v>49.762911094166668</v>
      </c>
      <c r="AZ24" s="197">
        <f t="shared" si="32"/>
        <v>22.033648872549012</v>
      </c>
      <c r="BA24" s="171">
        <f t="shared" si="33"/>
        <v>13.006212401960777</v>
      </c>
      <c r="BB24" s="171" t="e">
        <f t="shared" si="34"/>
        <v>#REF!</v>
      </c>
      <c r="BC24" s="171" t="e">
        <f t="shared" si="35"/>
        <v>#REF!</v>
      </c>
    </row>
    <row r="25" spans="2:55" ht="12.25">
      <c r="B25" s="31" t="s">
        <v>492</v>
      </c>
      <c r="C25" s="35" t="s">
        <v>507</v>
      </c>
      <c r="D25" s="35">
        <v>181</v>
      </c>
      <c r="E25" s="35">
        <v>57</v>
      </c>
      <c r="F25" s="35">
        <v>6.28</v>
      </c>
      <c r="G25" s="35">
        <v>0</v>
      </c>
      <c r="H25" s="177">
        <v>0.68200000000000005</v>
      </c>
      <c r="I25" s="35">
        <v>54</v>
      </c>
      <c r="J25" s="35">
        <v>6.36</v>
      </c>
      <c r="K25" s="35">
        <v>0</v>
      </c>
      <c r="L25" s="177">
        <v>0.66</v>
      </c>
      <c r="M25" s="36">
        <v>45</v>
      </c>
      <c r="N25" s="36">
        <v>6</v>
      </c>
      <c r="O25" s="36">
        <v>0</v>
      </c>
      <c r="P25" s="178">
        <v>0.61599999999999999</v>
      </c>
      <c r="Q25" s="34" t="s">
        <v>96</v>
      </c>
      <c r="R25" s="34">
        <f>VLOOKUP(Q25,GWP_Refrigerants[],2,FALSE)</f>
        <v>1430</v>
      </c>
      <c r="S25" s="34">
        <v>1</v>
      </c>
      <c r="T25" s="34">
        <v>2.5</v>
      </c>
      <c r="U25" s="33">
        <f>'HP Commercial Calculator'!Existing_Capacity</f>
        <v>3.6</v>
      </c>
      <c r="V25" s="172" t="str">
        <f t="shared" si="6"/>
        <v>Existing Tank</v>
      </c>
      <c r="W25" s="173">
        <f>VLOOKUP(V25,Factors!$R$49:$S$50,2,FALSE)</f>
        <v>10</v>
      </c>
      <c r="X25" s="32">
        <f t="shared" si="7"/>
        <v>1</v>
      </c>
      <c r="Y25" s="172" t="e">
        <f>'HP Commercial Calculator'!#REF!</f>
        <v>#REF!</v>
      </c>
      <c r="Z25" s="32" t="e">
        <f>VLOOKUP(Y25,Factors!$R$37:$S$40,2,FALSE)</f>
        <v>#REF!</v>
      </c>
      <c r="AA25" s="171">
        <f t="shared" si="8"/>
        <v>19.769951250000002</v>
      </c>
      <c r="AB25" s="171">
        <f t="shared" si="37"/>
        <v>18.7294275</v>
      </c>
      <c r="AC25" s="171">
        <f t="shared" si="9"/>
        <v>15.607856250000001</v>
      </c>
      <c r="AD25" s="171">
        <f t="shared" si="10"/>
        <v>5.6305637329737745</v>
      </c>
      <c r="AE25" s="171">
        <f t="shared" si="11"/>
        <v>3.5268140885892563</v>
      </c>
      <c r="AF25" s="171">
        <f t="shared" si="12"/>
        <v>14.580119070416668</v>
      </c>
      <c r="AG25" s="171">
        <f t="shared" si="13"/>
        <v>10.984776869791666</v>
      </c>
      <c r="AH25" s="171">
        <f>(GEF*$AB25/NewEff-GEF*$K25-EEFm_Commercial*MetroVEU*$J25/3.6)*W25+(1430-$R25)*RFE*$S25</f>
        <v>4.6730476175490203</v>
      </c>
      <c r="AI25" s="171">
        <f t="shared" si="15"/>
        <v>2.7288839924019626</v>
      </c>
      <c r="AJ25" s="171">
        <f t="shared" si="16"/>
        <v>5.1715837329737733</v>
      </c>
      <c r="AK25" s="171">
        <f t="shared" si="17"/>
        <v>3.0938140885892573</v>
      </c>
      <c r="AL25" s="171">
        <f t="shared" si="18"/>
        <v>15.472779421666672</v>
      </c>
      <c r="AM25" s="171">
        <f t="shared" si="19"/>
        <v>11.67814382916667</v>
      </c>
      <c r="AN25" s="171">
        <f t="shared" si="20"/>
        <v>4.214067617549019</v>
      </c>
      <c r="AO25" s="171">
        <f t="shared" si="21"/>
        <v>2.2958839924019636</v>
      </c>
      <c r="AP25" s="171">
        <f t="shared" si="22"/>
        <v>17.116407307529606</v>
      </c>
      <c r="AQ25" s="171">
        <f t="shared" si="23"/>
        <v>9.8308478743654799</v>
      </c>
      <c r="AR25" s="171">
        <f t="shared" si="24"/>
        <v>47.66449441666667</v>
      </c>
      <c r="AS25" s="171">
        <f t="shared" si="25"/>
        <v>33.947758750000006</v>
      </c>
      <c r="AT25" s="197">
        <f t="shared" si="26"/>
        <v>14.249400343137252</v>
      </c>
      <c r="AU25" s="197">
        <f t="shared" si="27"/>
        <v>7.5674213235294108</v>
      </c>
      <c r="AV25" s="171">
        <f t="shared" si="28"/>
        <v>16.450727307529604</v>
      </c>
      <c r="AW25" s="171">
        <f t="shared" si="29"/>
        <v>9.1948478743654825</v>
      </c>
      <c r="AX25" s="171">
        <f t="shared" si="30"/>
        <v>49.094429249166673</v>
      </c>
      <c r="AY25" s="171">
        <f t="shared" si="31"/>
        <v>34.966191512500004</v>
      </c>
      <c r="AZ25" s="197">
        <f t="shared" si="32"/>
        <v>13.58372034313725</v>
      </c>
      <c r="BA25" s="171">
        <f t="shared" si="33"/>
        <v>6.9314213235294124</v>
      </c>
      <c r="BB25" s="171" t="e">
        <f t="shared" si="34"/>
        <v>#REF!</v>
      </c>
      <c r="BC25" s="171" t="e">
        <f t="shared" si="35"/>
        <v>#REF!</v>
      </c>
    </row>
    <row r="26" spans="2:55" ht="12.25">
      <c r="B26" s="31" t="s">
        <v>492</v>
      </c>
      <c r="C26" s="35" t="s">
        <v>499</v>
      </c>
      <c r="D26" s="35">
        <v>253</v>
      </c>
      <c r="E26" s="35"/>
      <c r="F26" s="35"/>
      <c r="G26" s="35"/>
      <c r="H26" s="177"/>
      <c r="I26" s="35">
        <v>65</v>
      </c>
      <c r="J26" s="35">
        <v>7.57</v>
      </c>
      <c r="K26" s="35">
        <v>0</v>
      </c>
      <c r="L26" s="177">
        <v>0.66400000000000003</v>
      </c>
      <c r="M26" s="36">
        <v>61</v>
      </c>
      <c r="N26" s="36">
        <v>8.08</v>
      </c>
      <c r="O26" s="36">
        <v>0</v>
      </c>
      <c r="P26" s="178">
        <v>0.61799999999999999</v>
      </c>
      <c r="Q26" s="34" t="s">
        <v>96</v>
      </c>
      <c r="R26" s="34">
        <f>VLOOKUP(Q26,GWP_Refrigerants[],2,FALSE)</f>
        <v>1430</v>
      </c>
      <c r="S26" s="34">
        <v>1</v>
      </c>
      <c r="T26" s="34">
        <v>2.4900000000000002</v>
      </c>
      <c r="U26" s="33">
        <f>'HP Commercial Calculator'!Existing_Capacity</f>
        <v>3.6</v>
      </c>
      <c r="V26" s="172" t="str">
        <f t="shared" si="6"/>
        <v>Existing Tank</v>
      </c>
      <c r="W26" s="173">
        <f>VLOOKUP(V26,Factors!$R$49:$S$50,2,FALSE)</f>
        <v>10</v>
      </c>
      <c r="X26" s="32">
        <f t="shared" si="7"/>
        <v>1</v>
      </c>
      <c r="Y26" s="172" t="e">
        <f>'HP Commercial Calculator'!#REF!</f>
        <v>#REF!</v>
      </c>
      <c r="Z26" s="32" t="e">
        <f>VLOOKUP(Y26,Factors!$R$37:$S$40,2,FALSE)</f>
        <v>#REF!</v>
      </c>
      <c r="AA26" s="171">
        <f t="shared" si="8"/>
        <v>0</v>
      </c>
      <c r="AB26" s="171">
        <f t="shared" si="37"/>
        <v>22.54468125</v>
      </c>
      <c r="AC26" s="171">
        <f t="shared" si="9"/>
        <v>21.157316250000001</v>
      </c>
      <c r="AD26" s="171">
        <f t="shared" si="10"/>
        <v>6.8783766538881839</v>
      </c>
      <c r="AE26" s="171">
        <f t="shared" si="11"/>
        <v>4.9635189897172882</v>
      </c>
      <c r="AF26" s="171">
        <f t="shared" si="12"/>
        <v>17.650989560069444</v>
      </c>
      <c r="AG26" s="171">
        <f t="shared" si="13"/>
        <v>15.073201870902777</v>
      </c>
      <c r="AH26" s="171">
        <f t="shared" si="14"/>
        <v>5.7258109593954245</v>
      </c>
      <c r="AI26" s="171">
        <f t="shared" si="15"/>
        <v>3.8818804148856212</v>
      </c>
      <c r="AJ26" s="171">
        <f t="shared" si="16"/>
        <v>6.3320749872215165</v>
      </c>
      <c r="AK26" s="171">
        <f t="shared" si="17"/>
        <v>4.3804123230506224</v>
      </c>
      <c r="AL26" s="171">
        <f t="shared" si="18"/>
        <v>18.73166239027778</v>
      </c>
      <c r="AM26" s="171">
        <f t="shared" si="19"/>
        <v>16.01694819361111</v>
      </c>
      <c r="AN26" s="171">
        <f t="shared" si="20"/>
        <v>5.1795092927287563</v>
      </c>
      <c r="AO26" s="171">
        <f t="shared" si="21"/>
        <v>3.298773748218955</v>
      </c>
      <c r="AP26" s="171">
        <f t="shared" si="22"/>
        <v>0</v>
      </c>
      <c r="AQ26" s="171">
        <f t="shared" si="23"/>
        <v>13.514704896362097</v>
      </c>
      <c r="AR26" s="171">
        <f t="shared" si="24"/>
        <v>0</v>
      </c>
      <c r="AS26" s="171">
        <f t="shared" si="25"/>
        <v>46.206517416666664</v>
      </c>
      <c r="AT26" s="197">
        <f t="shared" si="26"/>
        <v>0</v>
      </c>
      <c r="AU26" s="197">
        <f t="shared" si="27"/>
        <v>10.446504460784313</v>
      </c>
      <c r="AV26" s="171">
        <f t="shared" si="28"/>
        <v>0</v>
      </c>
      <c r="AW26" s="171">
        <f t="shared" si="29"/>
        <v>12.658224896362094</v>
      </c>
      <c r="AX26" s="171">
        <f t="shared" si="30"/>
        <v>0</v>
      </c>
      <c r="AY26" s="171">
        <f t="shared" si="31"/>
        <v>47.592712939166674</v>
      </c>
      <c r="AZ26" s="197">
        <f t="shared" si="32"/>
        <v>0</v>
      </c>
      <c r="BA26" s="171">
        <f t="shared" si="33"/>
        <v>9.5900244607843099</v>
      </c>
      <c r="BB26" s="171" t="e">
        <f t="shared" si="34"/>
        <v>#REF!</v>
      </c>
      <c r="BC26" s="171" t="e">
        <f t="shared" si="35"/>
        <v>#REF!</v>
      </c>
    </row>
  </sheetData>
  <sortState xmlns:xlrd2="http://schemas.microsoft.com/office/spreadsheetml/2017/richdata2" ref="B8:BC26">
    <sortCondition ref="B8:B26"/>
  </sortState>
  <mergeCells count="22">
    <mergeCell ref="AN6:AO6"/>
    <mergeCell ref="AD6:AE6"/>
    <mergeCell ref="AF6:AG6"/>
    <mergeCell ref="AH6:AI6"/>
    <mergeCell ref="AJ6:AK6"/>
    <mergeCell ref="AL6:AM6"/>
    <mergeCell ref="BB5:BC5"/>
    <mergeCell ref="BB6:BC6"/>
    <mergeCell ref="E6:H6"/>
    <mergeCell ref="AA6:AC6"/>
    <mergeCell ref="M6:P6"/>
    <mergeCell ref="AP5:AU5"/>
    <mergeCell ref="AV5:BA5"/>
    <mergeCell ref="AP6:AQ6"/>
    <mergeCell ref="AR6:AS6"/>
    <mergeCell ref="AT6:AU6"/>
    <mergeCell ref="AV6:AW6"/>
    <mergeCell ref="AX6:AY6"/>
    <mergeCell ref="AZ6:BA6"/>
    <mergeCell ref="I6:L6"/>
    <mergeCell ref="AD5:AI5"/>
    <mergeCell ref="AJ5:AO5"/>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0C7670-7FF3-4306-9F79-A1BBA5D1CCED}">
  <sheetPr codeName="Sheet2">
    <tabColor rgb="FFFFC000"/>
  </sheetPr>
  <dimension ref="B2:R35"/>
  <sheetViews>
    <sheetView topLeftCell="A4" zoomScale="77" zoomScaleNormal="100" workbookViewId="0">
      <selection activeCell="C26" sqref="C26"/>
    </sheetView>
  </sheetViews>
  <sheetFormatPr defaultColWidth="8.86328125" defaultRowHeight="14.75"/>
  <cols>
    <col min="1" max="1" width="8.86328125" style="115"/>
    <col min="2" max="2" width="18.76953125" style="117" customWidth="1"/>
    <col min="3" max="3" width="14.54296875" style="117" bestFit="1" customWidth="1"/>
    <col min="4" max="4" width="12" style="117" customWidth="1"/>
    <col min="5" max="8" width="19" style="117" bestFit="1" customWidth="1"/>
    <col min="9" max="17" width="10.54296875" style="120" customWidth="1"/>
    <col min="18" max="18" width="10.76953125" style="120" customWidth="1"/>
    <col min="19" max="580" width="8.86328125" style="115" customWidth="1"/>
    <col min="581" max="16384" width="8.86328125" style="115"/>
  </cols>
  <sheetData>
    <row r="2" spans="2:18" ht="18.5">
      <c r="B2" s="114" t="s">
        <v>209</v>
      </c>
      <c r="C2" s="115"/>
      <c r="D2" s="116"/>
      <c r="E2" s="115"/>
      <c r="G2" s="115"/>
      <c r="I2" s="115"/>
      <c r="J2" s="117"/>
      <c r="K2" s="115"/>
      <c r="L2" s="116"/>
      <c r="M2" s="115"/>
      <c r="N2" s="117"/>
      <c r="O2" s="115"/>
      <c r="P2" s="117"/>
      <c r="Q2" s="115"/>
      <c r="R2" s="116"/>
    </row>
    <row r="3" spans="2:18">
      <c r="B3" s="194" t="s">
        <v>508</v>
      </c>
      <c r="C3" s="115"/>
      <c r="D3" s="115"/>
      <c r="E3" s="115"/>
      <c r="F3" s="115"/>
      <c r="G3" s="115"/>
      <c r="H3" s="115"/>
      <c r="I3" s="115"/>
      <c r="J3" s="115"/>
      <c r="K3" s="115"/>
      <c r="L3" s="76" t="s">
        <v>1</v>
      </c>
      <c r="M3" s="76" t="s">
        <v>1</v>
      </c>
      <c r="N3" s="76"/>
      <c r="O3" s="76"/>
      <c r="P3" s="76"/>
      <c r="Q3" s="76" t="s">
        <v>2</v>
      </c>
      <c r="R3" s="76" t="s">
        <v>2</v>
      </c>
    </row>
    <row r="4" spans="2:18">
      <c r="B4" s="118"/>
      <c r="F4" s="118"/>
      <c r="G4" s="118"/>
      <c r="H4" s="118"/>
      <c r="I4" s="342" t="s">
        <v>14</v>
      </c>
      <c r="J4" s="342"/>
      <c r="K4" s="342"/>
      <c r="L4" s="342"/>
      <c r="M4" s="342"/>
      <c r="N4" s="342" t="s">
        <v>15</v>
      </c>
      <c r="O4" s="342"/>
      <c r="P4" s="342"/>
      <c r="Q4" s="342"/>
      <c r="R4" s="342"/>
    </row>
    <row r="5" spans="2:18">
      <c r="B5" s="16" t="s">
        <v>40</v>
      </c>
      <c r="C5" s="16" t="s">
        <v>9</v>
      </c>
      <c r="D5" s="16" t="s">
        <v>10</v>
      </c>
      <c r="E5" s="16" t="s">
        <v>343</v>
      </c>
      <c r="F5" s="16" t="s">
        <v>342</v>
      </c>
      <c r="G5" s="16" t="s">
        <v>345</v>
      </c>
      <c r="H5" s="16" t="s">
        <v>344</v>
      </c>
      <c r="I5" s="14" t="s">
        <v>21</v>
      </c>
      <c r="J5" s="14" t="s">
        <v>22</v>
      </c>
      <c r="K5" s="14" t="s">
        <v>23</v>
      </c>
      <c r="L5" s="14" t="s">
        <v>341</v>
      </c>
      <c r="M5" s="14" t="s">
        <v>184</v>
      </c>
      <c r="N5" s="14" t="s">
        <v>21</v>
      </c>
      <c r="O5" s="14" t="s">
        <v>22</v>
      </c>
      <c r="P5" s="14" t="s">
        <v>23</v>
      </c>
      <c r="Q5" s="14" t="s">
        <v>341</v>
      </c>
      <c r="R5" s="14" t="s">
        <v>184</v>
      </c>
    </row>
    <row r="6" spans="2:18">
      <c r="B6" s="12" t="s">
        <v>204</v>
      </c>
      <c r="C6" s="12" t="s">
        <v>464</v>
      </c>
      <c r="D6" s="12" t="s">
        <v>28</v>
      </c>
      <c r="E6" s="12">
        <v>2.4527999999999999</v>
      </c>
      <c r="F6" s="12">
        <v>0</v>
      </c>
      <c r="G6" s="12">
        <v>2.6600999999999999</v>
      </c>
      <c r="H6" s="12">
        <v>0</v>
      </c>
      <c r="I6" s="12" cm="1">
        <f t="array" ref="I6">_xlfn.IFNA(INDEX(VEU_Activities[Abatement],MATCH(1,("1D"=VEU_Activities[Activity])*($D6=VEU_Activities[Load Size])*("Metropolitan"=VEU_Activities[Region]),0)),"")</f>
        <v>33.4</v>
      </c>
      <c r="J6" s="12" cm="1">
        <f t="array" ref="J6">_xlfn.IFNA(INDEX(VEU_Activities[SEF],MATCH(1,("1D"=VEU_Activities[Activity])*($D6=VEU_Activities[Load Size])*("Metropolitan"=VEU_Activities[Region]),0)),"")</f>
        <v>3.27</v>
      </c>
      <c r="K6" s="12" cm="1">
        <f t="array" ref="K6">_xlfn.IFNA(INDEX(VEU_Activities[AEF],MATCH(1,("1D"=VEU_Activities[Activity])*($D6=VEU_Activities[Load Size])*("Metropolitan"=VEU_Activities[Region]),0)),"")</f>
        <v>3.27</v>
      </c>
      <c r="L6" s="119">
        <f t="shared" ref="L6:L35" si="0">(I6-(J6*$E6)-(K6*$F6))*EEF</f>
        <v>9.9740821920000009</v>
      </c>
      <c r="M6" s="119">
        <f t="shared" ref="M6:M35" si="1">(I6-(J6*$G6)-(K6*$H6))*EEF</f>
        <v>9.7076788890000003</v>
      </c>
      <c r="N6" s="12" cm="1">
        <f t="array" ref="N6">_xlfn.IFNA(INDEX(VEU_Activities[Abatement],MATCH(1,("1D"=VEU_Activities[Activity])*($D6=VEU_Activities[Load Size])*("Regional"=VEU_Activities[Region]),0)),"")</f>
        <v>35.44</v>
      </c>
      <c r="O6" s="12" cm="1">
        <f t="array" ref="O6">_xlfn.IFNA(INDEX(VEU_Activities[SEF],MATCH(1,("1D"=VEU_Activities[Activity])*($D6=VEU_Activities[Load Size])*("Regional"=VEU_Activities[Region]),0)),"")</f>
        <v>3.47</v>
      </c>
      <c r="P6" s="12" cm="1">
        <f t="array" ref="P6">_xlfn.IFNA(INDEX(VEU_Activities[AEF],MATCH(1,("1D"=VEU_Activities[Activity])*($D6=VEU_Activities[Load Size])*("Regional"=VEU_Activities[Region]),0)),"")</f>
        <v>3.47</v>
      </c>
      <c r="Q6" s="119">
        <f t="shared" ref="Q6:Q35" si="2">(N6-(O6*$E6)-(P6*$F6))*EEF</f>
        <v>10.583012112</v>
      </c>
      <c r="R6" s="119">
        <f t="shared" ref="R6:R35" si="3">(N6-(O6*$G6)-(P6*$H6))*EEF</f>
        <v>10.300315028999998</v>
      </c>
    </row>
    <row r="7" spans="2:18">
      <c r="B7" s="12" t="s">
        <v>204</v>
      </c>
      <c r="C7" s="12" t="s">
        <v>451</v>
      </c>
      <c r="D7" s="12" t="s">
        <v>28</v>
      </c>
      <c r="E7" s="12">
        <v>3.3411</v>
      </c>
      <c r="F7" s="12">
        <v>0</v>
      </c>
      <c r="G7" s="12">
        <v>3.6396000000000002</v>
      </c>
      <c r="H7" s="12">
        <v>0</v>
      </c>
      <c r="I7" s="12" cm="1">
        <f t="array" ref="I7">_xlfn.IFNA(INDEX(VEU_Activities[Abatement],MATCH(1,("1D"=VEU_Activities[Activity])*($D7=VEU_Activities[Load Size])*("Metropolitan"=VEU_Activities[Region]),0)),"")</f>
        <v>33.4</v>
      </c>
      <c r="J7" s="12" cm="1">
        <f t="array" ref="J7">_xlfn.IFNA(INDEX(VEU_Activities[SEF],MATCH(1,("1D"=VEU_Activities[Activity])*($D7=VEU_Activities[Load Size])*("Metropolitan"=VEU_Activities[Region]),0)),"")</f>
        <v>3.27</v>
      </c>
      <c r="K7" s="12" cm="1">
        <f t="array" ref="K7">_xlfn.IFNA(INDEX(VEU_Activities[AEF],MATCH(1,("1D"=VEU_Activities[Activity])*($D7=VEU_Activities[Load Size])*("Metropolitan"=VEU_Activities[Region]),0)),"")</f>
        <v>3.27</v>
      </c>
      <c r="L7" s="119">
        <f t="shared" si="0"/>
        <v>8.8325189789999996</v>
      </c>
      <c r="M7" s="119">
        <f t="shared" si="1"/>
        <v>8.4489136439999992</v>
      </c>
      <c r="N7" s="12" cm="1">
        <f t="array" ref="N7">_xlfn.IFNA(INDEX(VEU_Activities[Abatement],MATCH(1,("1D"=VEU_Activities[Activity])*($D7=VEU_Activities[Load Size])*("Regional"=VEU_Activities[Region]),0)),"")</f>
        <v>35.44</v>
      </c>
      <c r="O7" s="12" cm="1">
        <f t="array" ref="O7">_xlfn.IFNA(INDEX(VEU_Activities[SEF],MATCH(1,("1D"=VEU_Activities[Activity])*($D7=VEU_Activities[Load Size])*("Regional"=VEU_Activities[Region]),0)),"")</f>
        <v>3.47</v>
      </c>
      <c r="P7" s="12" cm="1">
        <f t="array" ref="P7">_xlfn.IFNA(INDEX(VEU_Activities[AEF],MATCH(1,("1D"=VEU_Activities[Activity])*($D7=VEU_Activities[Load Size])*("Regional"=VEU_Activities[Region]),0)),"")</f>
        <v>3.47</v>
      </c>
      <c r="Q7" s="119">
        <f t="shared" si="2"/>
        <v>9.3716285189999979</v>
      </c>
      <c r="R7" s="119">
        <f t="shared" si="3"/>
        <v>8.9645610839999978</v>
      </c>
    </row>
    <row r="8" spans="2:18">
      <c r="B8" s="12" t="s">
        <v>204</v>
      </c>
      <c r="C8" s="12" t="s">
        <v>465</v>
      </c>
      <c r="D8" s="12" t="s">
        <v>28</v>
      </c>
      <c r="E8" s="12">
        <v>2.4348000000000001</v>
      </c>
      <c r="F8" s="12">
        <v>0</v>
      </c>
      <c r="G8" s="12">
        <v>2.6271</v>
      </c>
      <c r="H8" s="12">
        <v>0</v>
      </c>
      <c r="I8" s="12" cm="1">
        <f t="array" ref="I8">_xlfn.IFNA(INDEX(VEU_Activities[Abatement],MATCH(1,("1D"=VEU_Activities[Activity])*($D8=VEU_Activities[Load Size])*("Metropolitan"=VEU_Activities[Region]),0)),"")</f>
        <v>33.4</v>
      </c>
      <c r="J8" s="12" cm="1">
        <f t="array" ref="J8">_xlfn.IFNA(INDEX(VEU_Activities[SEF],MATCH(1,("1D"=VEU_Activities[Activity])*($D8=VEU_Activities[Load Size])*("Metropolitan"=VEU_Activities[Region]),0)),"")</f>
        <v>3.27</v>
      </c>
      <c r="K8" s="12" cm="1">
        <f t="array" ref="K8">_xlfn.IFNA(INDEX(VEU_Activities[AEF],MATCH(1,("1D"=VEU_Activities[Activity])*($D8=VEU_Activities[Load Size])*("Metropolitan"=VEU_Activities[Region]),0)),"")</f>
        <v>3.27</v>
      </c>
      <c r="L8" s="119">
        <f t="shared" si="0"/>
        <v>9.9972141719999996</v>
      </c>
      <c r="M8" s="119">
        <f t="shared" si="1"/>
        <v>9.7500875189999991</v>
      </c>
      <c r="N8" s="12" cm="1">
        <f t="array" ref="N8">_xlfn.IFNA(INDEX(VEU_Activities[Abatement],MATCH(1,("1D"=VEU_Activities[Activity])*($D8=VEU_Activities[Load Size])*("Regional"=VEU_Activities[Region]),0)),"")</f>
        <v>35.44</v>
      </c>
      <c r="O8" s="12" cm="1">
        <f t="array" ref="O8">_xlfn.IFNA(INDEX(VEU_Activities[SEF],MATCH(1,("1D"=VEU_Activities[Activity])*($D8=VEU_Activities[Load Size])*("Regional"=VEU_Activities[Region]),0)),"")</f>
        <v>3.47</v>
      </c>
      <c r="P8" s="12" cm="1">
        <f t="array" ref="P8">_xlfn.IFNA(INDEX(VEU_Activities[AEF],MATCH(1,("1D"=VEU_Activities[Activity])*($D8=VEU_Activities[Load Size])*("Regional"=VEU_Activities[Region]),0)),"")</f>
        <v>3.47</v>
      </c>
      <c r="Q8" s="119">
        <f t="shared" si="2"/>
        <v>10.607558891999998</v>
      </c>
      <c r="R8" s="119">
        <f t="shared" si="3"/>
        <v>10.345317459</v>
      </c>
    </row>
    <row r="9" spans="2:18">
      <c r="B9" s="12" t="s">
        <v>204</v>
      </c>
      <c r="C9" s="12" t="s">
        <v>466</v>
      </c>
      <c r="D9" s="12" t="s">
        <v>28</v>
      </c>
      <c r="E9" s="12">
        <v>2.8027000000000002</v>
      </c>
      <c r="F9" s="12">
        <v>0</v>
      </c>
      <c r="G9" s="12">
        <v>3.0246</v>
      </c>
      <c r="H9" s="12">
        <v>0</v>
      </c>
      <c r="I9" s="12" cm="1">
        <f t="array" ref="I9">_xlfn.IFNA(INDEX(VEU_Activities[Abatement],MATCH(1,("1D"=VEU_Activities[Activity])*($D9=VEU_Activities[Load Size])*("Metropolitan"=VEU_Activities[Region]),0)),"")</f>
        <v>33.4</v>
      </c>
      <c r="J9" s="12" cm="1">
        <f t="array" ref="J9">_xlfn.IFNA(INDEX(VEU_Activities[SEF],MATCH(1,("1D"=VEU_Activities[Activity])*($D9=VEU_Activities[Load Size])*("Metropolitan"=VEU_Activities[Region]),0)),"")</f>
        <v>3.27</v>
      </c>
      <c r="K9" s="12" cm="1">
        <f t="array" ref="K9">_xlfn.IFNA(INDEX(VEU_Activities[AEF],MATCH(1,("1D"=VEU_Activities[Activity])*($D9=VEU_Activities[Load Size])*("Metropolitan"=VEU_Activities[Region]),0)),"")</f>
        <v>3.27</v>
      </c>
      <c r="L9" s="119">
        <f t="shared" si="0"/>
        <v>9.5244222030000003</v>
      </c>
      <c r="M9" s="119">
        <f t="shared" si="1"/>
        <v>9.2392562940000005</v>
      </c>
      <c r="N9" s="12" cm="1">
        <f t="array" ref="N9">_xlfn.IFNA(INDEX(VEU_Activities[Abatement],MATCH(1,("1D"=VEU_Activities[Activity])*($D9=VEU_Activities[Load Size])*("Regional"=VEU_Activities[Region]),0)),"")</f>
        <v>35.44</v>
      </c>
      <c r="O9" s="12" cm="1">
        <f t="array" ref="O9">_xlfn.IFNA(INDEX(VEU_Activities[SEF],MATCH(1,("1D"=VEU_Activities[Activity])*($D9=VEU_Activities[Load Size])*("Regional"=VEU_Activities[Region]),0)),"")</f>
        <v>3.47</v>
      </c>
      <c r="P9" s="12" cm="1">
        <f t="array" ref="P9">_xlfn.IFNA(INDEX(VEU_Activities[AEF],MATCH(1,("1D"=VEU_Activities[Activity])*($D9=VEU_Activities[Load Size])*("Regional"=VEU_Activities[Region]),0)),"")</f>
        <v>3.47</v>
      </c>
      <c r="Q9" s="119">
        <f t="shared" si="2"/>
        <v>10.105849982999999</v>
      </c>
      <c r="R9" s="119">
        <f t="shared" si="3"/>
        <v>9.8032427339999995</v>
      </c>
    </row>
    <row r="10" spans="2:18">
      <c r="B10" s="12" t="s">
        <v>204</v>
      </c>
      <c r="C10" s="12" t="s">
        <v>462</v>
      </c>
      <c r="D10" s="12" t="s">
        <v>28</v>
      </c>
      <c r="E10" s="12">
        <v>2.8936999999999999</v>
      </c>
      <c r="F10" s="12">
        <v>0</v>
      </c>
      <c r="G10" s="12">
        <v>3.1848000000000001</v>
      </c>
      <c r="H10" s="12">
        <v>0</v>
      </c>
      <c r="I10" s="12" cm="1">
        <f t="array" ref="I10">_xlfn.IFNA(INDEX(VEU_Activities[Abatement],MATCH(1,("1D"=VEU_Activities[Activity])*($D10=VEU_Activities[Load Size])*("Metropolitan"=VEU_Activities[Region]),0)),"")</f>
        <v>33.4</v>
      </c>
      <c r="J10" s="12" cm="1">
        <f t="array" ref="J10">_xlfn.IFNA(INDEX(VEU_Activities[SEF],MATCH(1,("1D"=VEU_Activities[Activity])*($D10=VEU_Activities[Load Size])*("Metropolitan"=VEU_Activities[Region]),0)),"")</f>
        <v>3.27</v>
      </c>
      <c r="K10" s="12" cm="1">
        <f t="array" ref="K10">_xlfn.IFNA(INDEX(VEU_Activities[AEF],MATCH(1,("1D"=VEU_Activities[Activity])*($D10=VEU_Activities[Load Size])*("Metropolitan"=VEU_Activities[Region]),0)),"")</f>
        <v>3.27</v>
      </c>
      <c r="L10" s="119">
        <f t="shared" si="0"/>
        <v>9.4074771930000001</v>
      </c>
      <c r="M10" s="119">
        <f t="shared" si="1"/>
        <v>9.0333816719999991</v>
      </c>
      <c r="N10" s="12" cm="1">
        <f t="array" ref="N10">_xlfn.IFNA(INDEX(VEU_Activities[Abatement],MATCH(1,("1D"=VEU_Activities[Activity])*($D10=VEU_Activities[Load Size])*("Regional"=VEU_Activities[Region]),0)),"")</f>
        <v>35.44</v>
      </c>
      <c r="O10" s="12" cm="1">
        <f t="array" ref="O10">_xlfn.IFNA(INDEX(VEU_Activities[SEF],MATCH(1,("1D"=VEU_Activities[Activity])*($D10=VEU_Activities[Load Size])*("Regional"=VEU_Activities[Region]),0)),"")</f>
        <v>3.47</v>
      </c>
      <c r="P10" s="12" cm="1">
        <f t="array" ref="P10">_xlfn.IFNA(INDEX(VEU_Activities[AEF],MATCH(1,("1D"=VEU_Activities[Activity])*($D10=VEU_Activities[Load Size])*("Regional"=VEU_Activities[Region]),0)),"")</f>
        <v>3.47</v>
      </c>
      <c r="Q10" s="119">
        <f t="shared" si="2"/>
        <v>9.9817523729999991</v>
      </c>
      <c r="R10" s="119">
        <f t="shared" si="3"/>
        <v>9.5847763919999984</v>
      </c>
    </row>
    <row r="11" spans="2:18">
      <c r="B11" s="12" t="s">
        <v>204</v>
      </c>
      <c r="C11" s="12" t="s">
        <v>207</v>
      </c>
      <c r="D11" s="12" t="s">
        <v>28</v>
      </c>
      <c r="E11" s="12">
        <v>2.0969000000000002</v>
      </c>
      <c r="F11" s="12">
        <v>0</v>
      </c>
      <c r="G11" s="12">
        <v>2.3041999999999998</v>
      </c>
      <c r="H11" s="12">
        <v>0</v>
      </c>
      <c r="I11" s="12" cm="1">
        <f t="array" ref="I11">_xlfn.IFNA(INDEX(VEU_Activities[Abatement],MATCH(1,("1D"=VEU_Activities[Activity])*($D11=VEU_Activities[Load Size])*("Metropolitan"=VEU_Activities[Region]),0)),"")</f>
        <v>33.4</v>
      </c>
      <c r="J11" s="12" cm="1">
        <f t="array" ref="J11">_xlfn.IFNA(INDEX(VEU_Activities[SEF],MATCH(1,("1D"=VEU_Activities[Activity])*($D11=VEU_Activities[Load Size])*("Metropolitan"=VEU_Activities[Region]),0)),"")</f>
        <v>3.27</v>
      </c>
      <c r="K11" s="12" cm="1">
        <f t="array" ref="K11">_xlfn.IFNA(INDEX(VEU_Activities[AEF],MATCH(1,("1D"=VEU_Activities[Activity])*($D11=VEU_Activities[Load Size])*("Metropolitan"=VEU_Activities[Region]),0)),"")</f>
        <v>3.27</v>
      </c>
      <c r="L11" s="119">
        <f t="shared" si="0"/>
        <v>10.431452841</v>
      </c>
      <c r="M11" s="119">
        <f t="shared" si="1"/>
        <v>10.165049538</v>
      </c>
      <c r="N11" s="12" cm="1">
        <f t="array" ref="N11">_xlfn.IFNA(INDEX(VEU_Activities[Abatement],MATCH(1,("1D"=VEU_Activities[Activity])*($D11=VEU_Activities[Load Size])*("Regional"=VEU_Activities[Region]),0)),"")</f>
        <v>35.44</v>
      </c>
      <c r="O11" s="12" cm="1">
        <f t="array" ref="O11">_xlfn.IFNA(INDEX(VEU_Activities[SEF],MATCH(1,("1D"=VEU_Activities[Activity])*($D11=VEU_Activities[Load Size])*("Regional"=VEU_Activities[Region]),0)),"")</f>
        <v>3.47</v>
      </c>
      <c r="P11" s="12" cm="1">
        <f t="array" ref="P11">_xlfn.IFNA(INDEX(VEU_Activities[AEF],MATCH(1,("1D"=VEU_Activities[Activity])*($D11=VEU_Activities[Load Size])*("Regional"=VEU_Activities[Region]),0)),"")</f>
        <v>3.47</v>
      </c>
      <c r="Q11" s="119">
        <f t="shared" si="2"/>
        <v>11.068356500999998</v>
      </c>
      <c r="R11" s="119">
        <f t="shared" si="3"/>
        <v>10.785659418</v>
      </c>
    </row>
    <row r="12" spans="2:18">
      <c r="B12" s="12" t="s">
        <v>204</v>
      </c>
      <c r="C12" s="12" t="s">
        <v>461</v>
      </c>
      <c r="D12" s="12" t="s">
        <v>28</v>
      </c>
      <c r="E12" s="12">
        <v>2.7690999999999999</v>
      </c>
      <c r="F12" s="12">
        <v>0</v>
      </c>
      <c r="G12" s="12">
        <v>3.0177</v>
      </c>
      <c r="H12" s="12">
        <v>0</v>
      </c>
      <c r="I12" s="12" cm="1">
        <f t="array" ref="I12">_xlfn.IFNA(INDEX(VEU_Activities[Abatement],MATCH(1,("1D"=VEU_Activities[Activity])*($D12=VEU_Activities[Load Size])*("Metropolitan"=VEU_Activities[Region]),0)),"")</f>
        <v>33.4</v>
      </c>
      <c r="J12" s="12" cm="1">
        <f t="array" ref="J12">_xlfn.IFNA(INDEX(VEU_Activities[SEF],MATCH(1,("1D"=VEU_Activities[Activity])*($D12=VEU_Activities[Load Size])*("Metropolitan"=VEU_Activities[Region]),0)),"")</f>
        <v>3.27</v>
      </c>
      <c r="K12" s="12" cm="1">
        <f t="array" ref="K12">_xlfn.IFNA(INDEX(VEU_Activities[AEF],MATCH(1,("1D"=VEU_Activities[Activity])*($D12=VEU_Activities[Load Size])*("Metropolitan"=VEU_Activities[Region]),0)),"")</f>
        <v>3.27</v>
      </c>
      <c r="L12" s="119">
        <f t="shared" si="0"/>
        <v>9.5676018989999996</v>
      </c>
      <c r="M12" s="119">
        <f t="shared" si="1"/>
        <v>9.2481235529999992</v>
      </c>
      <c r="N12" s="12" cm="1">
        <f t="array" ref="N12">_xlfn.IFNA(INDEX(VEU_Activities[Abatement],MATCH(1,("1D"=VEU_Activities[Activity])*($D12=VEU_Activities[Load Size])*("Regional"=VEU_Activities[Region]),0)),"")</f>
        <v>35.44</v>
      </c>
      <c r="O12" s="12" cm="1">
        <f t="array" ref="O12">_xlfn.IFNA(INDEX(VEU_Activities[SEF],MATCH(1,("1D"=VEU_Activities[Activity])*($D12=VEU_Activities[Load Size])*("Regional"=VEU_Activities[Region]),0)),"")</f>
        <v>3.47</v>
      </c>
      <c r="P12" s="12" cm="1">
        <f t="array" ref="P12">_xlfn.IFNA(INDEX(VEU_Activities[AEF],MATCH(1,("1D"=VEU_Activities[Activity])*($D12=VEU_Activities[Load Size])*("Regional"=VEU_Activities[Region]),0)),"")</f>
        <v>3.47</v>
      </c>
      <c r="Q12" s="119">
        <f t="shared" si="2"/>
        <v>10.151670638999999</v>
      </c>
      <c r="R12" s="119">
        <f t="shared" si="3"/>
        <v>9.8126523329999991</v>
      </c>
    </row>
    <row r="13" spans="2:18">
      <c r="B13" s="12" t="s">
        <v>204</v>
      </c>
      <c r="C13" s="12" t="s">
        <v>458</v>
      </c>
      <c r="D13" s="12" t="s">
        <v>28</v>
      </c>
      <c r="E13" s="12">
        <v>3.6046</v>
      </c>
      <c r="F13" s="12">
        <v>0</v>
      </c>
      <c r="G13" s="12">
        <v>3.8620000000000001</v>
      </c>
      <c r="H13" s="12">
        <v>0</v>
      </c>
      <c r="I13" s="12" cm="1">
        <f t="array" ref="I13">_xlfn.IFNA(INDEX(VEU_Activities[Abatement],MATCH(1,("1D"=VEU_Activities[Activity])*($D13=VEU_Activities[Load Size])*("Metropolitan"=VEU_Activities[Region]),0)),"")</f>
        <v>33.4</v>
      </c>
      <c r="J13" s="12" cm="1">
        <f t="array" ref="J13">_xlfn.IFNA(INDEX(VEU_Activities[SEF],MATCH(1,("1D"=VEU_Activities[Activity])*($D13=VEU_Activities[Load Size])*("Metropolitan"=VEU_Activities[Region]),0)),"")</f>
        <v>3.27</v>
      </c>
      <c r="K13" s="12" cm="1">
        <f t="array" ref="K13">_xlfn.IFNA(INDEX(VEU_Activities[AEF],MATCH(1,("1D"=VEU_Activities[Activity])*($D13=VEU_Activities[Load Size])*("Metropolitan"=VEU_Activities[Region]),0)),"")</f>
        <v>3.27</v>
      </c>
      <c r="L13" s="119">
        <f t="shared" si="0"/>
        <v>8.4938924940000007</v>
      </c>
      <c r="M13" s="119">
        <f t="shared" si="1"/>
        <v>8.1631051799999987</v>
      </c>
      <c r="N13" s="12" cm="1">
        <f t="array" ref="N13">_xlfn.IFNA(INDEX(VEU_Activities[Abatement],MATCH(1,("1D"=VEU_Activities[Activity])*($D13=VEU_Activities[Load Size])*("Regional"=VEU_Activities[Region]),0)),"")</f>
        <v>35.44</v>
      </c>
      <c r="O13" s="12" cm="1">
        <f t="array" ref="O13">_xlfn.IFNA(INDEX(VEU_Activities[SEF],MATCH(1,("1D"=VEU_Activities[Activity])*($D13=VEU_Activities[Load Size])*("Regional"=VEU_Activities[Region]),0)),"")</f>
        <v>3.47</v>
      </c>
      <c r="P13" s="12" cm="1">
        <f t="array" ref="P13">_xlfn.IFNA(INDEX(VEU_Activities[AEF],MATCH(1,("1D"=VEU_Activities[Activity])*($D13=VEU_Activities[Load Size])*("Regional"=VEU_Activities[Region]),0)),"")</f>
        <v>3.47</v>
      </c>
      <c r="Q13" s="119">
        <f t="shared" si="2"/>
        <v>9.0122909339999993</v>
      </c>
      <c r="R13" s="119">
        <f t="shared" si="3"/>
        <v>8.6612719799999986</v>
      </c>
    </row>
    <row r="14" spans="2:18">
      <c r="B14" s="12" t="s">
        <v>204</v>
      </c>
      <c r="C14" s="12" t="s">
        <v>452</v>
      </c>
      <c r="D14" s="12" t="s">
        <v>28</v>
      </c>
      <c r="E14" s="12">
        <v>3.1987999999999999</v>
      </c>
      <c r="F14" s="12">
        <v>0</v>
      </c>
      <c r="G14" s="12">
        <v>3.4723000000000002</v>
      </c>
      <c r="H14" s="12">
        <v>0</v>
      </c>
      <c r="I14" s="12" cm="1">
        <f t="array" ref="I14">_xlfn.IFNA(INDEX(VEU_Activities[Abatement],MATCH(1,("1D"=VEU_Activities[Activity])*($D14=VEU_Activities[Load Size])*("Metropolitan"=VEU_Activities[Region]),0)),"")</f>
        <v>33.4</v>
      </c>
      <c r="J14" s="12" cm="1">
        <f t="array" ref="J14">_xlfn.IFNA(INDEX(VEU_Activities[SEF],MATCH(1,("1D"=VEU_Activities[Activity])*($D14=VEU_Activities[Load Size])*("Metropolitan"=VEU_Activities[Region]),0)),"")</f>
        <v>3.27</v>
      </c>
      <c r="K14" s="12" cm="1">
        <f t="array" ref="K14">_xlfn.IFNA(INDEX(VEU_Activities[AEF],MATCH(1,("1D"=VEU_Activities[Activity])*($D14=VEU_Activities[Load Size])*("Metropolitan"=VEU_Activities[Region]),0)),"")</f>
        <v>3.27</v>
      </c>
      <c r="L14" s="119">
        <f t="shared" si="0"/>
        <v>9.0153901320000003</v>
      </c>
      <c r="M14" s="119">
        <f t="shared" si="1"/>
        <v>8.6639125469999989</v>
      </c>
      <c r="N14" s="12" cm="1">
        <f t="array" ref="N14">_xlfn.IFNA(INDEX(VEU_Activities[Abatement],MATCH(1,("1D"=VEU_Activities[Activity])*($D14=VEU_Activities[Load Size])*("Regional"=VEU_Activities[Region]),0)),"")</f>
        <v>35.44</v>
      </c>
      <c r="O14" s="12" cm="1">
        <f t="array" ref="O14">_xlfn.IFNA(INDEX(VEU_Activities[SEF],MATCH(1,("1D"=VEU_Activities[Activity])*($D14=VEU_Activities[Load Size])*("Regional"=VEU_Activities[Region]),0)),"")</f>
        <v>3.47</v>
      </c>
      <c r="P14" s="12" cm="1">
        <f t="array" ref="P14">_xlfn.IFNA(INDEX(VEU_Activities[AEF],MATCH(1,("1D"=VEU_Activities[Activity])*($D14=VEU_Activities[Load Size])*("Regional"=VEU_Activities[Region]),0)),"")</f>
        <v>3.47</v>
      </c>
      <c r="Q14" s="119">
        <f t="shared" si="2"/>
        <v>9.5656844519999993</v>
      </c>
      <c r="R14" s="119">
        <f t="shared" si="3"/>
        <v>9.1927097669999984</v>
      </c>
    </row>
    <row r="15" spans="2:18">
      <c r="B15" s="12" t="s">
        <v>204</v>
      </c>
      <c r="C15" s="12" t="s">
        <v>463</v>
      </c>
      <c r="D15" s="12" t="s">
        <v>28</v>
      </c>
      <c r="E15" s="12">
        <v>2.1328999999999998</v>
      </c>
      <c r="F15" s="12">
        <v>0</v>
      </c>
      <c r="G15" s="12">
        <v>2.327</v>
      </c>
      <c r="H15" s="12">
        <v>0</v>
      </c>
      <c r="I15" s="12" cm="1">
        <f t="array" ref="I15">_xlfn.IFNA(INDEX(VEU_Activities[Abatement],MATCH(1,("1D"=VEU_Activities[Activity])*($D15=VEU_Activities[Load Size])*("Metropolitan"=VEU_Activities[Region]),0)),"")</f>
        <v>33.4</v>
      </c>
      <c r="J15" s="12" cm="1">
        <f t="array" ref="J15">_xlfn.IFNA(INDEX(VEU_Activities[SEF],MATCH(1,("1D"=VEU_Activities[Activity])*($D15=VEU_Activities[Load Size])*("Metropolitan"=VEU_Activities[Region]),0)),"")</f>
        <v>3.27</v>
      </c>
      <c r="K15" s="12" cm="1">
        <f t="array" ref="K15">_xlfn.IFNA(INDEX(VEU_Activities[AEF],MATCH(1,("1D"=VEU_Activities[Activity])*($D15=VEU_Activities[Load Size])*("Metropolitan"=VEU_Activities[Region]),0)),"")</f>
        <v>3.27</v>
      </c>
      <c r="L15" s="119">
        <f t="shared" si="0"/>
        <v>10.385188880999999</v>
      </c>
      <c r="M15" s="119">
        <f t="shared" si="1"/>
        <v>10.135749029999999</v>
      </c>
      <c r="N15" s="12" cm="1">
        <f t="array" ref="N15">_xlfn.IFNA(INDEX(VEU_Activities[Abatement],MATCH(1,("1D"=VEU_Activities[Activity])*($D15=VEU_Activities[Load Size])*("Regional"=VEU_Activities[Region]),0)),"")</f>
        <v>35.44</v>
      </c>
      <c r="O15" s="12" cm="1">
        <f t="array" ref="O15">_xlfn.IFNA(INDEX(VEU_Activities[SEF],MATCH(1,("1D"=VEU_Activities[Activity])*($D15=VEU_Activities[Load Size])*("Regional"=VEU_Activities[Region]),0)),"")</f>
        <v>3.47</v>
      </c>
      <c r="P15" s="12" cm="1">
        <f t="array" ref="P15">_xlfn.IFNA(INDEX(VEU_Activities[AEF],MATCH(1,("1D"=VEU_Activities[Activity])*($D15=VEU_Activities[Load Size])*("Regional"=VEU_Activities[Region]),0)),"")</f>
        <v>3.47</v>
      </c>
      <c r="Q15" s="119">
        <f t="shared" si="2"/>
        <v>11.019262940999999</v>
      </c>
      <c r="R15" s="119">
        <f t="shared" si="3"/>
        <v>10.75456683</v>
      </c>
    </row>
    <row r="16" spans="2:18">
      <c r="B16" s="12" t="s">
        <v>204</v>
      </c>
      <c r="C16" s="12" t="s">
        <v>459</v>
      </c>
      <c r="D16" s="12" t="s">
        <v>28</v>
      </c>
      <c r="E16" s="12">
        <v>2.6917</v>
      </c>
      <c r="F16" s="12">
        <v>0</v>
      </c>
      <c r="G16" s="12">
        <v>2.9295</v>
      </c>
      <c r="H16" s="12">
        <v>0</v>
      </c>
      <c r="I16" s="12" cm="1">
        <f t="array" ref="I16">_xlfn.IFNA(INDEX(VEU_Activities[Abatement],MATCH(1,("1D"=VEU_Activities[Activity])*($D16=VEU_Activities[Load Size])*("Metropolitan"=VEU_Activities[Region]),0)),"")</f>
        <v>33.4</v>
      </c>
      <c r="J16" s="12" cm="1">
        <f t="array" ref="J16">_xlfn.IFNA(INDEX(VEU_Activities[SEF],MATCH(1,("1D"=VEU_Activities[Activity])*($D16=VEU_Activities[Load Size])*("Metropolitan"=VEU_Activities[Region]),0)),"")</f>
        <v>3.27</v>
      </c>
      <c r="K16" s="12" cm="1">
        <f t="array" ref="K16">_xlfn.IFNA(INDEX(VEU_Activities[AEF],MATCH(1,("1D"=VEU_Activities[Activity])*($D16=VEU_Activities[Load Size])*("Metropolitan"=VEU_Activities[Region]),0)),"")</f>
        <v>3.27</v>
      </c>
      <c r="L16" s="119">
        <f t="shared" si="0"/>
        <v>9.6670694130000001</v>
      </c>
      <c r="M16" s="119">
        <f t="shared" si="1"/>
        <v>9.3614702550000004</v>
      </c>
      <c r="N16" s="12" cm="1">
        <f t="array" ref="N16">_xlfn.IFNA(INDEX(VEU_Activities[Abatement],MATCH(1,("1D"=VEU_Activities[Activity])*($D16=VEU_Activities[Load Size])*("Regional"=VEU_Activities[Region]),0)),"")</f>
        <v>35.44</v>
      </c>
      <c r="O16" s="12" cm="1">
        <f t="array" ref="O16">_xlfn.IFNA(INDEX(VEU_Activities[SEF],MATCH(1,("1D"=VEU_Activities[Activity])*($D16=VEU_Activities[Load Size])*("Regional"=VEU_Activities[Region]),0)),"")</f>
        <v>3.47</v>
      </c>
      <c r="P16" s="12" cm="1">
        <f t="array" ref="P16">_xlfn.IFNA(INDEX(VEU_Activities[AEF],MATCH(1,("1D"=VEU_Activities[Activity])*($D16=VEU_Activities[Load Size])*("Regional"=VEU_Activities[Region]),0)),"")</f>
        <v>3.47</v>
      </c>
      <c r="Q16" s="119">
        <f t="shared" si="2"/>
        <v>10.257221792999999</v>
      </c>
      <c r="R16" s="119">
        <f t="shared" si="3"/>
        <v>9.9329315549999997</v>
      </c>
    </row>
    <row r="17" spans="2:18">
      <c r="B17" s="12" t="s">
        <v>204</v>
      </c>
      <c r="C17" s="12" t="s">
        <v>460</v>
      </c>
      <c r="D17" s="12" t="s">
        <v>28</v>
      </c>
      <c r="E17" s="12">
        <v>2.6871</v>
      </c>
      <c r="F17" s="12">
        <v>0</v>
      </c>
      <c r="G17" s="12">
        <v>2.9209999999999998</v>
      </c>
      <c r="H17" s="12">
        <v>0</v>
      </c>
      <c r="I17" s="12" cm="1">
        <f t="array" ref="I17">_xlfn.IFNA(INDEX(VEU_Activities[Abatement],MATCH(1,("1D"=VEU_Activities[Activity])*($D17=VEU_Activities[Load Size])*("Metropolitan"=VEU_Activities[Region]),0)),"")</f>
        <v>33.4</v>
      </c>
      <c r="J17" s="12" cm="1">
        <f t="array" ref="J17">_xlfn.IFNA(INDEX(VEU_Activities[SEF],MATCH(1,("1D"=VEU_Activities[Activity])*($D17=VEU_Activities[Load Size])*("Metropolitan"=VEU_Activities[Region]),0)),"")</f>
        <v>3.27</v>
      </c>
      <c r="K17" s="12" cm="1">
        <f t="array" ref="K17">_xlfn.IFNA(INDEX(VEU_Activities[AEF],MATCH(1,("1D"=VEU_Activities[Activity])*($D17=VEU_Activities[Load Size])*("Metropolitan"=VEU_Activities[Region]),0)),"")</f>
        <v>3.27</v>
      </c>
      <c r="L17" s="119">
        <f t="shared" si="0"/>
        <v>9.6729809190000005</v>
      </c>
      <c r="M17" s="119">
        <f t="shared" si="1"/>
        <v>9.3723936899999991</v>
      </c>
      <c r="N17" s="12" cm="1">
        <f t="array" ref="N17">_xlfn.IFNA(INDEX(VEU_Activities[Abatement],MATCH(1,("1D"=VEU_Activities[Activity])*($D17=VEU_Activities[Load Size])*("Regional"=VEU_Activities[Region]),0)),"")</f>
        <v>35.44</v>
      </c>
      <c r="O17" s="12" cm="1">
        <f t="array" ref="O17">_xlfn.IFNA(INDEX(VEU_Activities[SEF],MATCH(1,("1D"=VEU_Activities[Activity])*($D17=VEU_Activities[Load Size])*("Regional"=VEU_Activities[Region]),0)),"")</f>
        <v>3.47</v>
      </c>
      <c r="P17" s="12" cm="1">
        <f t="array" ref="P17">_xlfn.IFNA(INDEX(VEU_Activities[AEF],MATCH(1,("1D"=VEU_Activities[Activity])*($D17=VEU_Activities[Load Size])*("Regional"=VEU_Activities[Region]),0)),"")</f>
        <v>3.47</v>
      </c>
      <c r="Q17" s="119">
        <f t="shared" si="2"/>
        <v>10.263494859</v>
      </c>
      <c r="R17" s="119">
        <f t="shared" si="3"/>
        <v>9.9445230899999988</v>
      </c>
    </row>
    <row r="18" spans="2:18">
      <c r="B18" s="12" t="s">
        <v>204</v>
      </c>
      <c r="C18" s="12" t="s">
        <v>206</v>
      </c>
      <c r="D18" s="12" t="s">
        <v>28</v>
      </c>
      <c r="E18" s="12">
        <v>2.4247000000000001</v>
      </c>
      <c r="F18" s="12">
        <v>0</v>
      </c>
      <c r="G18" s="12">
        <v>2.6315</v>
      </c>
      <c r="H18" s="12">
        <v>0</v>
      </c>
      <c r="I18" s="12" cm="1">
        <f t="array" ref="I18">_xlfn.IFNA(INDEX(VEU_Activities[Abatement],MATCH(1,("1D"=VEU_Activities[Activity])*($D18=VEU_Activities[Load Size])*("Metropolitan"=VEU_Activities[Region]),0)),"")</f>
        <v>33.4</v>
      </c>
      <c r="J18" s="12" cm="1">
        <f t="array" ref="J18">_xlfn.IFNA(INDEX(VEU_Activities[SEF],MATCH(1,("1D"=VEU_Activities[Activity])*($D18=VEU_Activities[Load Size])*("Metropolitan"=VEU_Activities[Region]),0)),"")</f>
        <v>3.27</v>
      </c>
      <c r="K18" s="12" cm="1">
        <f t="array" ref="K18">_xlfn.IFNA(INDEX(VEU_Activities[AEF],MATCH(1,("1D"=VEU_Activities[Activity])*($D18=VEU_Activities[Load Size])*("Metropolitan"=VEU_Activities[Region]),0)),"")</f>
        <v>3.27</v>
      </c>
      <c r="L18" s="119">
        <f t="shared" si="0"/>
        <v>10.010193783</v>
      </c>
      <c r="M18" s="119">
        <f t="shared" si="1"/>
        <v>9.7444330350000001</v>
      </c>
      <c r="N18" s="12" cm="1">
        <f t="array" ref="N18">_xlfn.IFNA(INDEX(VEU_Activities[Abatement],MATCH(1,("1D"=VEU_Activities[Activity])*($D18=VEU_Activities[Load Size])*("Regional"=VEU_Activities[Region]),0)),"")</f>
        <v>35.44</v>
      </c>
      <c r="O18" s="12" cm="1">
        <f t="array" ref="O18">_xlfn.IFNA(INDEX(VEU_Activities[SEF],MATCH(1,("1D"=VEU_Activities[Activity])*($D18=VEU_Activities[Load Size])*("Regional"=VEU_Activities[Region]),0)),"")</f>
        <v>3.47</v>
      </c>
      <c r="P18" s="12" cm="1">
        <f t="array" ref="P18">_xlfn.IFNA(INDEX(VEU_Activities[AEF],MATCH(1,("1D"=VEU_Activities[Activity])*($D18=VEU_Activities[Load Size])*("Regional"=VEU_Activities[Region]),0)),"")</f>
        <v>3.47</v>
      </c>
      <c r="Q18" s="119">
        <f t="shared" si="2"/>
        <v>10.621332362999999</v>
      </c>
      <c r="R18" s="119">
        <f t="shared" si="3"/>
        <v>10.339317135</v>
      </c>
    </row>
    <row r="19" spans="2:18">
      <c r="B19" s="12" t="s">
        <v>204</v>
      </c>
      <c r="C19" s="12" t="s">
        <v>205</v>
      </c>
      <c r="D19" s="12" t="s">
        <v>28</v>
      </c>
      <c r="E19" s="12">
        <v>2.6819000000000002</v>
      </c>
      <c r="F19" s="12">
        <v>0</v>
      </c>
      <c r="G19" s="12">
        <v>2.9533999999999998</v>
      </c>
      <c r="H19" s="12">
        <v>0</v>
      </c>
      <c r="I19" s="12" cm="1">
        <f t="array" ref="I19">_xlfn.IFNA(INDEX(VEU_Activities[Abatement],MATCH(1,("1D"=VEU_Activities[Activity])*($D19=VEU_Activities[Load Size])*("Metropolitan"=VEU_Activities[Region]),0)),"")</f>
        <v>33.4</v>
      </c>
      <c r="J19" s="12" cm="1">
        <f t="array" ref="J19">_xlfn.IFNA(INDEX(VEU_Activities[SEF],MATCH(1,("1D"=VEU_Activities[Activity])*($D19=VEU_Activities[Load Size])*("Metropolitan"=VEU_Activities[Region]),0)),"")</f>
        <v>3.27</v>
      </c>
      <c r="K19" s="12" cm="1">
        <f t="array" ref="K19">_xlfn.IFNA(INDEX(VEU_Activities[AEF],MATCH(1,("1D"=VEU_Activities[Activity])*($D19=VEU_Activities[Load Size])*("Metropolitan"=VEU_Activities[Region]),0)),"")</f>
        <v>3.27</v>
      </c>
      <c r="L19" s="119">
        <f t="shared" si="0"/>
        <v>9.6796634909999995</v>
      </c>
      <c r="M19" s="119">
        <f t="shared" si="1"/>
        <v>9.3307561260000007</v>
      </c>
      <c r="N19" s="12" cm="1">
        <f t="array" ref="N19">_xlfn.IFNA(INDEX(VEU_Activities[Abatement],MATCH(1,("1D"=VEU_Activities[Activity])*($D19=VEU_Activities[Load Size])*("Regional"=VEU_Activities[Region]),0)),"")</f>
        <v>35.44</v>
      </c>
      <c r="O19" s="12" cm="1">
        <f t="array" ref="O19">_xlfn.IFNA(INDEX(VEU_Activities[SEF],MATCH(1,("1D"=VEU_Activities[Activity])*($D19=VEU_Activities[Load Size])*("Regional"=VEU_Activities[Region]),0)),"")</f>
        <v>3.47</v>
      </c>
      <c r="P19" s="12" cm="1">
        <f t="array" ref="P19">_xlfn.IFNA(INDEX(VEU_Activities[AEF],MATCH(1,("1D"=VEU_Activities[Activity])*($D19=VEU_Activities[Load Size])*("Regional"=VEU_Activities[Region]),0)),"")</f>
        <v>3.47</v>
      </c>
      <c r="Q19" s="119">
        <f t="shared" si="2"/>
        <v>10.270586151</v>
      </c>
      <c r="R19" s="119">
        <f t="shared" si="3"/>
        <v>9.9003388860000001</v>
      </c>
    </row>
    <row r="20" spans="2:18">
      <c r="B20" s="12" t="s">
        <v>203</v>
      </c>
      <c r="C20" s="12" t="s">
        <v>201</v>
      </c>
      <c r="D20" s="12" t="s">
        <v>28</v>
      </c>
      <c r="E20" s="12">
        <v>2.746</v>
      </c>
      <c r="F20" s="12">
        <v>0</v>
      </c>
      <c r="G20" s="12">
        <v>3.0129999999999999</v>
      </c>
      <c r="H20" s="12">
        <v>0</v>
      </c>
      <c r="I20" s="12" cm="1">
        <f t="array" ref="I20">_xlfn.IFNA(INDEX(VEU_Activities[Abatement],MATCH(1,("1D"=VEU_Activities[Activity])*($D20=VEU_Activities[Load Size])*("Metropolitan"=VEU_Activities[Region]),0)),"")</f>
        <v>33.4</v>
      </c>
      <c r="J20" s="12" cm="1">
        <f t="array" ref="J20">_xlfn.IFNA(INDEX(VEU_Activities[SEF],MATCH(1,("1D"=VEU_Activities[Activity])*($D20=VEU_Activities[Load Size])*("Metropolitan"=VEU_Activities[Region]),0)),"")</f>
        <v>3.27</v>
      </c>
      <c r="K20" s="12" cm="1">
        <f t="array" ref="K20">_xlfn.IFNA(INDEX(VEU_Activities[AEF],MATCH(1,("1D"=VEU_Activities[Activity])*($D20=VEU_Activities[Load Size])*("Metropolitan"=VEU_Activities[Region]),0)),"")</f>
        <v>3.27</v>
      </c>
      <c r="L20" s="119">
        <f t="shared" si="0"/>
        <v>9.5972879400000011</v>
      </c>
      <c r="M20" s="119">
        <f t="shared" si="1"/>
        <v>9.2541635699999993</v>
      </c>
      <c r="N20" s="12" cm="1">
        <f t="array" ref="N20">_xlfn.IFNA(INDEX(VEU_Activities[Abatement],MATCH(1,("1D"=VEU_Activities[Activity])*($D20=VEU_Activities[Load Size])*("Regional"=VEU_Activities[Region]),0)),"")</f>
        <v>35.44</v>
      </c>
      <c r="O20" s="12" cm="1">
        <f t="array" ref="O20">_xlfn.IFNA(INDEX(VEU_Activities[SEF],MATCH(1,("1D"=VEU_Activities[Activity])*($D20=VEU_Activities[Load Size])*("Regional"=VEU_Activities[Region]),0)),"")</f>
        <v>3.47</v>
      </c>
      <c r="P20" s="12" cm="1">
        <f t="array" ref="P20">_xlfn.IFNA(INDEX(VEU_Activities[AEF],MATCH(1,("1D"=VEU_Activities[Activity])*($D20=VEU_Activities[Load Size])*("Regional"=VEU_Activities[Region]),0)),"")</f>
        <v>3.47</v>
      </c>
      <c r="Q20" s="119">
        <f t="shared" si="2"/>
        <v>10.183172339999999</v>
      </c>
      <c r="R20" s="119">
        <f t="shared" si="3"/>
        <v>9.8190617700000011</v>
      </c>
    </row>
    <row r="21" spans="2:18">
      <c r="B21" s="12" t="s">
        <v>203</v>
      </c>
      <c r="C21" s="12" t="s">
        <v>202</v>
      </c>
      <c r="D21" s="12" t="s">
        <v>28</v>
      </c>
      <c r="E21" s="12">
        <v>2.8029999999999999</v>
      </c>
      <c r="F21" s="12">
        <v>0</v>
      </c>
      <c r="G21" s="12">
        <v>3.097</v>
      </c>
      <c r="H21" s="12">
        <v>0</v>
      </c>
      <c r="I21" s="12" cm="1">
        <f t="array" ref="I21">_xlfn.IFNA(INDEX(VEU_Activities[Abatement],MATCH(1,("1D"=VEU_Activities[Activity])*($D21=VEU_Activities[Load Size])*("Metropolitan"=VEU_Activities[Region]),0)),"")</f>
        <v>33.4</v>
      </c>
      <c r="J21" s="12" cm="1">
        <f t="array" ref="J21">_xlfn.IFNA(INDEX(VEU_Activities[SEF],MATCH(1,("1D"=VEU_Activities[Activity])*($D21=VEU_Activities[Load Size])*("Metropolitan"=VEU_Activities[Region]),0)),"")</f>
        <v>3.27</v>
      </c>
      <c r="K21" s="12" cm="1">
        <f t="array" ref="K21">_xlfn.IFNA(INDEX(VEU_Activities[AEF],MATCH(1,("1D"=VEU_Activities[Activity])*($D21=VEU_Activities[Load Size])*("Metropolitan"=VEU_Activities[Region]),0)),"")</f>
        <v>3.27</v>
      </c>
      <c r="L21" s="119">
        <f t="shared" si="0"/>
        <v>9.5240366699999992</v>
      </c>
      <c r="M21" s="119">
        <f t="shared" si="1"/>
        <v>9.1462143300000012</v>
      </c>
      <c r="N21" s="12" cm="1">
        <f t="array" ref="N21">_xlfn.IFNA(INDEX(VEU_Activities[Abatement],MATCH(1,("1D"=VEU_Activities[Activity])*($D21=VEU_Activities[Load Size])*("Regional"=VEU_Activities[Region]),0)),"")</f>
        <v>35.44</v>
      </c>
      <c r="O21" s="12" cm="1">
        <f t="array" ref="O21">_xlfn.IFNA(INDEX(VEU_Activities[SEF],MATCH(1,("1D"=VEU_Activities[Activity])*($D21=VEU_Activities[Load Size])*("Regional"=VEU_Activities[Region]),0)),"")</f>
        <v>3.47</v>
      </c>
      <c r="P21" s="12" cm="1">
        <f t="array" ref="P21">_xlfn.IFNA(INDEX(VEU_Activities[AEF],MATCH(1,("1D"=VEU_Activities[Activity])*($D21=VEU_Activities[Load Size])*("Regional"=VEU_Activities[Region]),0)),"")</f>
        <v>3.47</v>
      </c>
      <c r="Q21" s="119">
        <f t="shared" si="2"/>
        <v>10.105440869999999</v>
      </c>
      <c r="R21" s="119">
        <f t="shared" si="3"/>
        <v>9.7045101299999992</v>
      </c>
    </row>
    <row r="22" spans="2:18">
      <c r="B22" s="12" t="s">
        <v>203</v>
      </c>
      <c r="C22" s="12" t="s">
        <v>551</v>
      </c>
      <c r="D22" s="12" t="s">
        <v>28</v>
      </c>
      <c r="E22" s="12">
        <v>2.8826999999999998</v>
      </c>
      <c r="F22" s="12">
        <v>0</v>
      </c>
      <c r="G22" s="12">
        <v>3.1753999999999998</v>
      </c>
      <c r="H22" s="12">
        <v>0</v>
      </c>
      <c r="I22" s="12" cm="1">
        <f t="array" ref="I22">_xlfn.IFNA(INDEX(VEU_Activities[Abatement],MATCH(1,("1D"=VEU_Activities[Activity])*($D22=VEU_Activities[Load Size])*("Metropolitan"=VEU_Activities[Region]),0)),"")</f>
        <v>33.4</v>
      </c>
      <c r="J22" s="12" cm="1">
        <f t="array" ref="J22">_xlfn.IFNA(INDEX(VEU_Activities[SEF],MATCH(1,("1D"=VEU_Activities[Activity])*($D22=VEU_Activities[Load Size])*("Metropolitan"=VEU_Activities[Region]),0)),"")</f>
        <v>3.27</v>
      </c>
      <c r="K22" s="12" cm="1">
        <f t="array" ref="K22">_xlfn.IFNA(INDEX(VEU_Activities[AEF],MATCH(1,("1D"=VEU_Activities[Activity])*($D22=VEU_Activities[Load Size])*("Metropolitan"=VEU_Activities[Region]),0)),"")</f>
        <v>3.27</v>
      </c>
      <c r="L22" s="119">
        <f t="shared" ref="L22:L23" si="4">(I22-(J22*$E22)-(K22*$F22))*EEF</f>
        <v>9.4216134030000003</v>
      </c>
      <c r="M22" s="119">
        <f t="shared" ref="M22:M23" si="5">(I22-(J22*$G22)-(K22*$H22))*EEF</f>
        <v>9.0454617059999993</v>
      </c>
      <c r="N22" s="12" cm="1">
        <f t="array" ref="N22">_xlfn.IFNA(INDEX(VEU_Activities[Abatement],MATCH(1,("1D"=VEU_Activities[Activity])*($D22=VEU_Activities[Load Size])*("Regional"=VEU_Activities[Region]),0)),"")</f>
        <v>35.44</v>
      </c>
      <c r="O22" s="12" cm="1">
        <f t="array" ref="O22">_xlfn.IFNA(INDEX(VEU_Activities[SEF],MATCH(1,("1D"=VEU_Activities[Activity])*($D22=VEU_Activities[Load Size])*("Regional"=VEU_Activities[Region]),0)),"")</f>
        <v>3.47</v>
      </c>
      <c r="P22" s="12" cm="1">
        <f t="array" ref="P22">_xlfn.IFNA(INDEX(VEU_Activities[AEF],MATCH(1,("1D"=VEU_Activities[Activity])*($D22=VEU_Activities[Load Size])*("Regional"=VEU_Activities[Region]),0)),"")</f>
        <v>3.47</v>
      </c>
      <c r="Q22" s="119">
        <f t="shared" ref="Q22:Q23" si="6">(N22-(O22*$E22)-(P22*$F22))*EEF</f>
        <v>9.9967531829999992</v>
      </c>
      <c r="R22" s="119">
        <f t="shared" ref="R22:R23" si="7">(N22-(O22*$G22)-(P22*$H22))*EEF</f>
        <v>9.597595265999999</v>
      </c>
    </row>
    <row r="23" spans="2:18">
      <c r="B23" s="12" t="s">
        <v>203</v>
      </c>
      <c r="C23" s="12" t="s">
        <v>552</v>
      </c>
      <c r="D23" s="12" t="s">
        <v>28</v>
      </c>
      <c r="E23" s="12">
        <v>2.8826999999999998</v>
      </c>
      <c r="F23" s="12">
        <v>0</v>
      </c>
      <c r="G23" s="12">
        <v>3.1753999999999998</v>
      </c>
      <c r="H23" s="12">
        <v>0</v>
      </c>
      <c r="I23" s="12" cm="1">
        <f t="array" ref="I23">_xlfn.IFNA(INDEX(VEU_Activities[Abatement],MATCH(1,("1D"=VEU_Activities[Activity])*($D23=VEU_Activities[Load Size])*("Metropolitan"=VEU_Activities[Region]),0)),"")</f>
        <v>33.4</v>
      </c>
      <c r="J23" s="12" cm="1">
        <f t="array" ref="J23">_xlfn.IFNA(INDEX(VEU_Activities[SEF],MATCH(1,("1D"=VEU_Activities[Activity])*($D23=VEU_Activities[Load Size])*("Metropolitan"=VEU_Activities[Region]),0)),"")</f>
        <v>3.27</v>
      </c>
      <c r="K23" s="12" cm="1">
        <f t="array" ref="K23">_xlfn.IFNA(INDEX(VEU_Activities[AEF],MATCH(1,("1D"=VEU_Activities[Activity])*($D23=VEU_Activities[Load Size])*("Metropolitan"=VEU_Activities[Region]),0)),"")</f>
        <v>3.27</v>
      </c>
      <c r="L23" s="119">
        <f t="shared" si="4"/>
        <v>9.4216134030000003</v>
      </c>
      <c r="M23" s="119">
        <f t="shared" si="5"/>
        <v>9.0454617059999993</v>
      </c>
      <c r="N23" s="12" cm="1">
        <f t="array" ref="N23">_xlfn.IFNA(INDEX(VEU_Activities[Abatement],MATCH(1,("1D"=VEU_Activities[Activity])*($D23=VEU_Activities[Load Size])*("Regional"=VEU_Activities[Region]),0)),"")</f>
        <v>35.44</v>
      </c>
      <c r="O23" s="12" cm="1">
        <f t="array" ref="O23">_xlfn.IFNA(INDEX(VEU_Activities[SEF],MATCH(1,("1D"=VEU_Activities[Activity])*($D23=VEU_Activities[Load Size])*("Regional"=VEU_Activities[Region]),0)),"")</f>
        <v>3.47</v>
      </c>
      <c r="P23" s="12" cm="1">
        <f t="array" ref="P23">_xlfn.IFNA(INDEX(VEU_Activities[AEF],MATCH(1,("1D"=VEU_Activities[Activity])*($D23=VEU_Activities[Load Size])*("Regional"=VEU_Activities[Region]),0)),"")</f>
        <v>3.47</v>
      </c>
      <c r="Q23" s="119">
        <f t="shared" si="6"/>
        <v>9.9967531829999992</v>
      </c>
      <c r="R23" s="119">
        <f t="shared" si="7"/>
        <v>9.597595265999999</v>
      </c>
    </row>
    <row r="24" spans="2:18">
      <c r="B24" s="12" t="s">
        <v>492</v>
      </c>
      <c r="C24" s="12" t="s">
        <v>504</v>
      </c>
      <c r="D24" s="12" t="s">
        <v>28</v>
      </c>
      <c r="E24" s="12">
        <v>3.3269000000000002</v>
      </c>
      <c r="F24" s="12">
        <v>4.9599999999999998E-2</v>
      </c>
      <c r="G24" s="12">
        <v>4.1662999999999997</v>
      </c>
      <c r="H24" s="12">
        <v>4.7899999999999998E-2</v>
      </c>
      <c r="I24" s="12" cm="1">
        <f t="array" ref="I24">_xlfn.IFNA(INDEX(VEU_Activities[Abatement],MATCH(1,("1D"=VEU_Activities[Activity])*($D24=VEU_Activities[Load Size])*("Metropolitan"=VEU_Activities[Region]),0)),"")</f>
        <v>33.4</v>
      </c>
      <c r="J24" s="12" cm="1">
        <f t="array" ref="J24">_xlfn.IFNA(INDEX(VEU_Activities[SEF],MATCH(1,("1D"=VEU_Activities[Activity])*($D24=VEU_Activities[Load Size])*("Metropolitan"=VEU_Activities[Region]),0)),"")</f>
        <v>3.27</v>
      </c>
      <c r="K24" s="12" cm="1">
        <f t="array" ref="K24">_xlfn.IFNA(INDEX(VEU_Activities[AEF],MATCH(1,("1D"=VEU_Activities[Activity])*($D24=VEU_Activities[Load Size])*("Metropolitan"=VEU_Activities[Region]),0)),"")</f>
        <v>3.27</v>
      </c>
      <c r="L24" s="119">
        <f t="shared" si="0"/>
        <v>8.787026084999999</v>
      </c>
      <c r="M24" s="119">
        <f t="shared" si="1"/>
        <v>7.7104894379999998</v>
      </c>
      <c r="N24" s="12" cm="1">
        <f t="array" ref="N24">_xlfn.IFNA(INDEX(VEU_Activities[Abatement],MATCH(1,("1D"=VEU_Activities[Activity])*($D24=VEU_Activities[Load Size])*("Regional"=VEU_Activities[Region]),0)),"")</f>
        <v>35.44</v>
      </c>
      <c r="O24" s="12" cm="1">
        <f t="array" ref="O24">_xlfn.IFNA(INDEX(VEU_Activities[SEF],MATCH(1,("1D"=VEU_Activities[Activity])*($D24=VEU_Activities[Load Size])*("Regional"=VEU_Activities[Region]),0)),"")</f>
        <v>3.47</v>
      </c>
      <c r="P24" s="12" cm="1">
        <f t="array" ref="P24">_xlfn.IFNA(INDEX(VEU_Activities[AEF],MATCH(1,("1D"=VEU_Activities[Activity])*($D24=VEU_Activities[Load Size])*("Regional"=VEU_Activities[Region]),0)),"")</f>
        <v>3.47</v>
      </c>
      <c r="Q24" s="119">
        <f t="shared" si="2"/>
        <v>9.3233531850000002</v>
      </c>
      <c r="R24" s="119">
        <f t="shared" si="3"/>
        <v>8.1809733179999995</v>
      </c>
    </row>
    <row r="25" spans="2:18">
      <c r="B25" s="12" t="s">
        <v>492</v>
      </c>
      <c r="C25" s="12" t="s">
        <v>501</v>
      </c>
      <c r="D25" s="12" t="s">
        <v>28</v>
      </c>
      <c r="E25" s="12">
        <v>3.3269000000000002</v>
      </c>
      <c r="F25" s="12">
        <v>4.9599999999999998E-2</v>
      </c>
      <c r="G25" s="12">
        <v>4.1662999999999997</v>
      </c>
      <c r="H25" s="12">
        <v>4.7899999999999998E-2</v>
      </c>
      <c r="I25" s="12" cm="1">
        <f t="array" ref="I25">_xlfn.IFNA(INDEX(VEU_Activities[Abatement],MATCH(1,("1D"=VEU_Activities[Activity])*($D25=VEU_Activities[Load Size])*("Metropolitan"=VEU_Activities[Region]),0)),"")</f>
        <v>33.4</v>
      </c>
      <c r="J25" s="12" cm="1">
        <f t="array" ref="J25">_xlfn.IFNA(INDEX(VEU_Activities[SEF],MATCH(1,("1D"=VEU_Activities[Activity])*($D25=VEU_Activities[Load Size])*("Metropolitan"=VEU_Activities[Region]),0)),"")</f>
        <v>3.27</v>
      </c>
      <c r="K25" s="12" cm="1">
        <f t="array" ref="K25">_xlfn.IFNA(INDEX(VEU_Activities[AEF],MATCH(1,("1D"=VEU_Activities[Activity])*($D25=VEU_Activities[Load Size])*("Metropolitan"=VEU_Activities[Region]),0)),"")</f>
        <v>3.27</v>
      </c>
      <c r="L25" s="119">
        <f t="shared" si="0"/>
        <v>8.787026084999999</v>
      </c>
      <c r="M25" s="119">
        <f t="shared" si="1"/>
        <v>7.7104894379999998</v>
      </c>
      <c r="N25" s="12" cm="1">
        <f t="array" ref="N25">_xlfn.IFNA(INDEX(VEU_Activities[Abatement],MATCH(1,("1D"=VEU_Activities[Activity])*($D25=VEU_Activities[Load Size])*("Regional"=VEU_Activities[Region]),0)),"")</f>
        <v>35.44</v>
      </c>
      <c r="O25" s="12" cm="1">
        <f t="array" ref="O25">_xlfn.IFNA(INDEX(VEU_Activities[SEF],MATCH(1,("1D"=VEU_Activities[Activity])*($D25=VEU_Activities[Load Size])*("Regional"=VEU_Activities[Region]),0)),"")</f>
        <v>3.47</v>
      </c>
      <c r="P25" s="12" cm="1">
        <f t="array" ref="P25">_xlfn.IFNA(INDEX(VEU_Activities[AEF],MATCH(1,("1D"=VEU_Activities[Activity])*($D25=VEU_Activities[Load Size])*("Regional"=VEU_Activities[Region]),0)),"")</f>
        <v>3.47</v>
      </c>
      <c r="Q25" s="119">
        <f t="shared" si="2"/>
        <v>9.3233531850000002</v>
      </c>
      <c r="R25" s="119">
        <f t="shared" si="3"/>
        <v>8.1809733179999995</v>
      </c>
    </row>
    <row r="26" spans="2:18">
      <c r="B26" s="12" t="s">
        <v>492</v>
      </c>
      <c r="C26" s="12" t="s">
        <v>503</v>
      </c>
      <c r="D26" s="12" t="s">
        <v>28</v>
      </c>
      <c r="E26" s="12">
        <v>3.327</v>
      </c>
      <c r="F26" s="12">
        <v>4.9599999999999998E-2</v>
      </c>
      <c r="G26" s="12">
        <v>4.1660000000000004</v>
      </c>
      <c r="H26" s="12">
        <v>4.7899999999999998E-2</v>
      </c>
      <c r="I26" s="12" cm="1">
        <f t="array" ref="I26">_xlfn.IFNA(INDEX(VEU_Activities[Abatement],MATCH(1,("1D"=VEU_Activities[Activity])*($D26=VEU_Activities[Load Size])*("Metropolitan"=VEU_Activities[Region]),0)),"")</f>
        <v>33.4</v>
      </c>
      <c r="J26" s="12" cm="1">
        <f t="array" ref="J26">_xlfn.IFNA(INDEX(VEU_Activities[SEF],MATCH(1,("1D"=VEU_Activities[Activity])*($D26=VEU_Activities[Load Size])*("Metropolitan"=VEU_Activities[Region]),0)),"")</f>
        <v>3.27</v>
      </c>
      <c r="K26" s="12" cm="1">
        <f t="array" ref="K26">_xlfn.IFNA(INDEX(VEU_Activities[AEF],MATCH(1,("1D"=VEU_Activities[Activity])*($D26=VEU_Activities[Load Size])*("Metropolitan"=VEU_Activities[Region]),0)),"")</f>
        <v>3.27</v>
      </c>
      <c r="L26" s="119">
        <f t="shared" si="0"/>
        <v>8.786897574000001</v>
      </c>
      <c r="M26" s="119">
        <f t="shared" si="1"/>
        <v>7.710874971</v>
      </c>
      <c r="N26" s="12" cm="1">
        <f t="array" ref="N26">_xlfn.IFNA(INDEX(VEU_Activities[Abatement],MATCH(1,("1D"=VEU_Activities[Activity])*($D26=VEU_Activities[Load Size])*("Regional"=VEU_Activities[Region]),0)),"")</f>
        <v>35.44</v>
      </c>
      <c r="O26" s="12" cm="1">
        <f t="array" ref="O26">_xlfn.IFNA(INDEX(VEU_Activities[SEF],MATCH(1,("1D"=VEU_Activities[Activity])*($D26=VEU_Activities[Load Size])*("Regional"=VEU_Activities[Region]),0)),"")</f>
        <v>3.47</v>
      </c>
      <c r="P26" s="12" cm="1">
        <f t="array" ref="P26">_xlfn.IFNA(INDEX(VEU_Activities[AEF],MATCH(1,("1D"=VEU_Activities[Activity])*($D26=VEU_Activities[Load Size])*("Regional"=VEU_Activities[Region]),0)),"")</f>
        <v>3.47</v>
      </c>
      <c r="Q26" s="119">
        <f t="shared" si="2"/>
        <v>9.3232168139999985</v>
      </c>
      <c r="R26" s="119">
        <f t="shared" si="3"/>
        <v>8.1813824309999994</v>
      </c>
    </row>
    <row r="27" spans="2:18">
      <c r="B27" s="12" t="s">
        <v>492</v>
      </c>
      <c r="C27" s="12" t="s">
        <v>506</v>
      </c>
      <c r="D27" s="12" t="s">
        <v>28</v>
      </c>
      <c r="E27" s="12">
        <v>3.327</v>
      </c>
      <c r="F27" s="12">
        <v>4.9599999999999998E-2</v>
      </c>
      <c r="G27" s="12">
        <v>4.1660000000000004</v>
      </c>
      <c r="H27" s="12">
        <v>4.7899999999999998E-2</v>
      </c>
      <c r="I27" s="12" cm="1">
        <f t="array" ref="I27">_xlfn.IFNA(INDEX(VEU_Activities[Abatement],MATCH(1,("1D"=VEU_Activities[Activity])*($D27=VEU_Activities[Load Size])*("Metropolitan"=VEU_Activities[Region]),0)),"")</f>
        <v>33.4</v>
      </c>
      <c r="J27" s="12" cm="1">
        <f t="array" ref="J27">_xlfn.IFNA(INDEX(VEU_Activities[SEF],MATCH(1,("1D"=VEU_Activities[Activity])*($D27=VEU_Activities[Load Size])*("Metropolitan"=VEU_Activities[Region]),0)),"")</f>
        <v>3.27</v>
      </c>
      <c r="K27" s="12" cm="1">
        <f t="array" ref="K27">_xlfn.IFNA(INDEX(VEU_Activities[AEF],MATCH(1,("1D"=VEU_Activities[Activity])*($D27=VEU_Activities[Load Size])*("Metropolitan"=VEU_Activities[Region]),0)),"")</f>
        <v>3.27</v>
      </c>
      <c r="L27" s="119">
        <f t="shared" si="0"/>
        <v>8.786897574000001</v>
      </c>
      <c r="M27" s="119">
        <f t="shared" si="1"/>
        <v>7.710874971</v>
      </c>
      <c r="N27" s="12" cm="1">
        <f t="array" ref="N27">_xlfn.IFNA(INDEX(VEU_Activities[Abatement],MATCH(1,("1D"=VEU_Activities[Activity])*($D27=VEU_Activities[Load Size])*("Regional"=VEU_Activities[Region]),0)),"")</f>
        <v>35.44</v>
      </c>
      <c r="O27" s="12" cm="1">
        <f t="array" ref="O27">_xlfn.IFNA(INDEX(VEU_Activities[SEF],MATCH(1,("1D"=VEU_Activities[Activity])*($D27=VEU_Activities[Load Size])*("Regional"=VEU_Activities[Region]),0)),"")</f>
        <v>3.47</v>
      </c>
      <c r="P27" s="12" cm="1">
        <f t="array" ref="P27">_xlfn.IFNA(INDEX(VEU_Activities[AEF],MATCH(1,("1D"=VEU_Activities[Activity])*($D27=VEU_Activities[Load Size])*("Regional"=VEU_Activities[Region]),0)),"")</f>
        <v>3.47</v>
      </c>
      <c r="Q27" s="119">
        <f t="shared" si="2"/>
        <v>9.3232168139999985</v>
      </c>
      <c r="R27" s="119">
        <f t="shared" si="3"/>
        <v>8.1813824309999994</v>
      </c>
    </row>
    <row r="28" spans="2:18">
      <c r="B28" s="12" t="s">
        <v>492</v>
      </c>
      <c r="C28" s="12" t="s">
        <v>497</v>
      </c>
      <c r="D28" s="12" t="s">
        <v>28</v>
      </c>
      <c r="E28" s="12">
        <v>3.5674999999999999</v>
      </c>
      <c r="F28" s="12">
        <v>4.9099999999999998E-2</v>
      </c>
      <c r="G28" s="12">
        <v>4.3624999999999998</v>
      </c>
      <c r="H28" s="12">
        <v>4.7600000000000003E-2</v>
      </c>
      <c r="I28" s="12" cm="1">
        <f t="array" ref="I28">_xlfn.IFNA(INDEX(VEU_Activities[Abatement],MATCH(1,("1D"=VEU_Activities[Activity])*($D28=VEU_Activities[Load Size])*("Metropolitan"=VEU_Activities[Region]),0)),"")</f>
        <v>33.4</v>
      </c>
      <c r="J28" s="12" cm="1">
        <f t="array" ref="J28">_xlfn.IFNA(INDEX(VEU_Activities[SEF],MATCH(1,("1D"=VEU_Activities[Activity])*($D28=VEU_Activities[Load Size])*("Metropolitan"=VEU_Activities[Region]),0)),"")</f>
        <v>3.27</v>
      </c>
      <c r="K28" s="12" cm="1">
        <f t="array" ref="K28">_xlfn.IFNA(INDEX(VEU_Activities[AEF],MATCH(1,("1D"=VEU_Activities[Activity])*($D28=VEU_Activities[Load Size])*("Metropolitan"=VEU_Activities[Region]),0)),"")</f>
        <v>3.27</v>
      </c>
      <c r="L28" s="119">
        <f t="shared" si="0"/>
        <v>8.4784711739999992</v>
      </c>
      <c r="M28" s="119">
        <f t="shared" si="1"/>
        <v>7.4587363890000002</v>
      </c>
      <c r="N28" s="12" cm="1">
        <f t="array" ref="N28">_xlfn.IFNA(INDEX(VEU_Activities[Abatement],MATCH(1,("1D"=VEU_Activities[Activity])*($D28=VEU_Activities[Load Size])*("Regional"=VEU_Activities[Region]),0)),"")</f>
        <v>35.44</v>
      </c>
      <c r="O28" s="12" cm="1">
        <f t="array" ref="O28">_xlfn.IFNA(INDEX(VEU_Activities[SEF],MATCH(1,("1D"=VEU_Activities[Activity])*($D28=VEU_Activities[Load Size])*("Regional"=VEU_Activities[Region]),0)),"")</f>
        <v>3.47</v>
      </c>
      <c r="P28" s="12" cm="1">
        <f t="array" ref="P28">_xlfn.IFNA(INDEX(VEU_Activities[AEF],MATCH(1,("1D"=VEU_Activities[Activity])*($D28=VEU_Activities[Load Size])*("Regional"=VEU_Activities[Region]),0)),"")</f>
        <v>3.47</v>
      </c>
      <c r="Q28" s="119">
        <f t="shared" si="2"/>
        <v>8.9959264140000013</v>
      </c>
      <c r="R28" s="119">
        <f t="shared" si="3"/>
        <v>7.9138225289999999</v>
      </c>
    </row>
    <row r="29" spans="2:18">
      <c r="B29" s="12" t="s">
        <v>492</v>
      </c>
      <c r="C29" s="12" t="s">
        <v>494</v>
      </c>
      <c r="D29" s="12" t="s">
        <v>28</v>
      </c>
      <c r="E29" s="12">
        <v>3.5674999999999999</v>
      </c>
      <c r="F29" s="12">
        <v>4.9099999999999998E-2</v>
      </c>
      <c r="G29" s="12">
        <v>4.3624999999999998</v>
      </c>
      <c r="H29" s="12">
        <v>4.7600000000000003E-2</v>
      </c>
      <c r="I29" s="12" cm="1">
        <f t="array" ref="I29">_xlfn.IFNA(INDEX(VEU_Activities[Abatement],MATCH(1,("1D"=VEU_Activities[Activity])*($D29=VEU_Activities[Load Size])*("Metropolitan"=VEU_Activities[Region]),0)),"")</f>
        <v>33.4</v>
      </c>
      <c r="J29" s="12" cm="1">
        <f t="array" ref="J29">_xlfn.IFNA(INDEX(VEU_Activities[SEF],MATCH(1,("1D"=VEU_Activities[Activity])*($D29=VEU_Activities[Load Size])*("Metropolitan"=VEU_Activities[Region]),0)),"")</f>
        <v>3.27</v>
      </c>
      <c r="K29" s="12" cm="1">
        <f t="array" ref="K29">_xlfn.IFNA(INDEX(VEU_Activities[AEF],MATCH(1,("1D"=VEU_Activities[Activity])*($D29=VEU_Activities[Load Size])*("Metropolitan"=VEU_Activities[Region]),0)),"")</f>
        <v>3.27</v>
      </c>
      <c r="L29" s="119">
        <f t="shared" si="0"/>
        <v>8.4784711739999992</v>
      </c>
      <c r="M29" s="119">
        <f t="shared" si="1"/>
        <v>7.4587363890000002</v>
      </c>
      <c r="N29" s="12" cm="1">
        <f t="array" ref="N29">_xlfn.IFNA(INDEX(VEU_Activities[Abatement],MATCH(1,("1D"=VEU_Activities[Activity])*($D29=VEU_Activities[Load Size])*("Regional"=VEU_Activities[Region]),0)),"")</f>
        <v>35.44</v>
      </c>
      <c r="O29" s="12" cm="1">
        <f t="array" ref="O29">_xlfn.IFNA(INDEX(VEU_Activities[SEF],MATCH(1,("1D"=VEU_Activities[Activity])*($D29=VEU_Activities[Load Size])*("Regional"=VEU_Activities[Region]),0)),"")</f>
        <v>3.47</v>
      </c>
      <c r="P29" s="12" cm="1">
        <f t="array" ref="P29">_xlfn.IFNA(INDEX(VEU_Activities[AEF],MATCH(1,("1D"=VEU_Activities[Activity])*($D29=VEU_Activities[Load Size])*("Regional"=VEU_Activities[Region]),0)),"")</f>
        <v>3.47</v>
      </c>
      <c r="Q29" s="119">
        <f t="shared" si="2"/>
        <v>8.9959264140000013</v>
      </c>
      <c r="R29" s="119">
        <f t="shared" si="3"/>
        <v>7.9138225289999999</v>
      </c>
    </row>
    <row r="30" spans="2:18">
      <c r="B30" s="12" t="s">
        <v>492</v>
      </c>
      <c r="C30" s="12" t="s">
        <v>493</v>
      </c>
      <c r="D30" s="12" t="s">
        <v>28</v>
      </c>
      <c r="E30" s="12">
        <v>3.5680000000000001</v>
      </c>
      <c r="F30" s="12">
        <v>4.9099999999999998E-2</v>
      </c>
      <c r="G30" s="12">
        <v>4.3620000000000001</v>
      </c>
      <c r="H30" s="12">
        <v>4.7600000000000003E-2</v>
      </c>
      <c r="I30" s="12" cm="1">
        <f t="array" ref="I30">_xlfn.IFNA(INDEX(VEU_Activities[Abatement],MATCH(1,("1D"=VEU_Activities[Activity])*($D30=VEU_Activities[Load Size])*("Metropolitan"=VEU_Activities[Region]),0)),"")</f>
        <v>33.4</v>
      </c>
      <c r="J30" s="12" cm="1">
        <f t="array" ref="J30">_xlfn.IFNA(INDEX(VEU_Activities[SEF],MATCH(1,("1D"=VEU_Activities[Activity])*($D30=VEU_Activities[Load Size])*("Metropolitan"=VEU_Activities[Region]),0)),"")</f>
        <v>3.27</v>
      </c>
      <c r="K30" s="12" cm="1">
        <f t="array" ref="K30">_xlfn.IFNA(INDEX(VEU_Activities[AEF],MATCH(1,("1D"=VEU_Activities[Activity])*($D30=VEU_Activities[Load Size])*("Metropolitan"=VEU_Activities[Region]),0)),"")</f>
        <v>3.27</v>
      </c>
      <c r="L30" s="119">
        <f t="shared" si="0"/>
        <v>8.4778286189999985</v>
      </c>
      <c r="M30" s="119">
        <f t="shared" si="1"/>
        <v>7.459378944</v>
      </c>
      <c r="N30" s="12" cm="1">
        <f t="array" ref="N30">_xlfn.IFNA(INDEX(VEU_Activities[Abatement],MATCH(1,("1D"=VEU_Activities[Activity])*($D30=VEU_Activities[Load Size])*("Regional"=VEU_Activities[Region]),0)),"")</f>
        <v>35.44</v>
      </c>
      <c r="O30" s="12" cm="1">
        <f t="array" ref="O30">_xlfn.IFNA(INDEX(VEU_Activities[SEF],MATCH(1,("1D"=VEU_Activities[Activity])*($D30=VEU_Activities[Load Size])*("Regional"=VEU_Activities[Region]),0)),"")</f>
        <v>3.47</v>
      </c>
      <c r="P30" s="12" cm="1">
        <f t="array" ref="P30">_xlfn.IFNA(INDEX(VEU_Activities[AEF],MATCH(1,("1D"=VEU_Activities[Activity])*($D30=VEU_Activities[Load Size])*("Regional"=VEU_Activities[Region]),0)),"")</f>
        <v>3.47</v>
      </c>
      <c r="Q30" s="119">
        <f t="shared" si="2"/>
        <v>8.9952445589999996</v>
      </c>
      <c r="R30" s="119">
        <f t="shared" si="3"/>
        <v>7.9145043839999998</v>
      </c>
    </row>
    <row r="31" spans="2:18">
      <c r="B31" s="12" t="s">
        <v>492</v>
      </c>
      <c r="C31" s="12" t="s">
        <v>495</v>
      </c>
      <c r="D31" s="12" t="s">
        <v>28</v>
      </c>
      <c r="E31" s="12">
        <v>3.5680000000000001</v>
      </c>
      <c r="F31" s="12">
        <v>4.9099999999999998E-2</v>
      </c>
      <c r="G31" s="12">
        <v>4.3620000000000001</v>
      </c>
      <c r="H31" s="12">
        <v>4.7600000000000003E-2</v>
      </c>
      <c r="I31" s="12" cm="1">
        <f t="array" ref="I31">_xlfn.IFNA(INDEX(VEU_Activities[Abatement],MATCH(1,("1D"=VEU_Activities[Activity])*($D31=VEU_Activities[Load Size])*("Metropolitan"=VEU_Activities[Region]),0)),"")</f>
        <v>33.4</v>
      </c>
      <c r="J31" s="12" cm="1">
        <f t="array" ref="J31">_xlfn.IFNA(INDEX(VEU_Activities[SEF],MATCH(1,("1D"=VEU_Activities[Activity])*($D31=VEU_Activities[Load Size])*("Metropolitan"=VEU_Activities[Region]),0)),"")</f>
        <v>3.27</v>
      </c>
      <c r="K31" s="12" cm="1">
        <f t="array" ref="K31">_xlfn.IFNA(INDEX(VEU_Activities[AEF],MATCH(1,("1D"=VEU_Activities[Activity])*($D31=VEU_Activities[Load Size])*("Metropolitan"=VEU_Activities[Region]),0)),"")</f>
        <v>3.27</v>
      </c>
      <c r="L31" s="119">
        <f t="shared" si="0"/>
        <v>8.4778286189999985</v>
      </c>
      <c r="M31" s="119">
        <f t="shared" si="1"/>
        <v>7.459378944</v>
      </c>
      <c r="N31" s="12" cm="1">
        <f t="array" ref="N31">_xlfn.IFNA(INDEX(VEU_Activities[Abatement],MATCH(1,("1D"=VEU_Activities[Activity])*($D31=VEU_Activities[Load Size])*("Regional"=VEU_Activities[Region]),0)),"")</f>
        <v>35.44</v>
      </c>
      <c r="O31" s="12" cm="1">
        <f t="array" ref="O31">_xlfn.IFNA(INDEX(VEU_Activities[SEF],MATCH(1,("1D"=VEU_Activities[Activity])*($D31=VEU_Activities[Load Size])*("Regional"=VEU_Activities[Region]),0)),"")</f>
        <v>3.47</v>
      </c>
      <c r="P31" s="12" cm="1">
        <f t="array" ref="P31">_xlfn.IFNA(INDEX(VEU_Activities[AEF],MATCH(1,("1D"=VEU_Activities[Activity])*($D31=VEU_Activities[Load Size])*("Regional"=VEU_Activities[Region]),0)),"")</f>
        <v>3.47</v>
      </c>
      <c r="Q31" s="119">
        <f t="shared" si="2"/>
        <v>8.9952445589999996</v>
      </c>
      <c r="R31" s="119">
        <f t="shared" si="3"/>
        <v>7.9145043839999998</v>
      </c>
    </row>
    <row r="32" spans="2:18">
      <c r="B32" s="12" t="s">
        <v>492</v>
      </c>
      <c r="C32" s="12" t="s">
        <v>500</v>
      </c>
      <c r="D32" s="12" t="s">
        <v>28</v>
      </c>
      <c r="E32" s="12">
        <v>3.504</v>
      </c>
      <c r="F32" s="12">
        <v>0</v>
      </c>
      <c r="G32" s="12">
        <v>3.8250000000000002</v>
      </c>
      <c r="H32" s="12">
        <v>0</v>
      </c>
      <c r="I32" s="12" cm="1">
        <f t="array" ref="I32">_xlfn.IFNA(INDEX(VEU_Activities[Abatement],MATCH(1,("1D"=VEU_Activities[Activity])*($D32=VEU_Activities[Load Size])*("Metropolitan"=VEU_Activities[Region]),0)),"")</f>
        <v>33.4</v>
      </c>
      <c r="J32" s="12" cm="1">
        <f t="array" ref="J32">_xlfn.IFNA(INDEX(VEU_Activities[SEF],MATCH(1,("1D"=VEU_Activities[Activity])*($D32=VEU_Activities[Load Size])*("Metropolitan"=VEU_Activities[Region]),0)),"")</f>
        <v>3.27</v>
      </c>
      <c r="K32" s="12" cm="1">
        <f t="array" ref="K32">_xlfn.IFNA(INDEX(VEU_Activities[AEF],MATCH(1,("1D"=VEU_Activities[Activity])*($D32=VEU_Activities[Load Size])*("Metropolitan"=VEU_Activities[Region]),0)),"")</f>
        <v>3.27</v>
      </c>
      <c r="L32" s="119">
        <f t="shared" si="0"/>
        <v>8.6231745599999989</v>
      </c>
      <c r="M32" s="119">
        <f t="shared" si="1"/>
        <v>8.2106542499999993</v>
      </c>
      <c r="N32" s="12" cm="1">
        <f t="array" ref="N32">_xlfn.IFNA(INDEX(VEU_Activities[Abatement],MATCH(1,("1D"=VEU_Activities[Activity])*($D32=VEU_Activities[Load Size])*("Regional"=VEU_Activities[Region]),0)),"")</f>
        <v>35.44</v>
      </c>
      <c r="O32" s="12" cm="1">
        <f t="array" ref="O32">_xlfn.IFNA(INDEX(VEU_Activities[SEF],MATCH(1,("1D"=VEU_Activities[Activity])*($D32=VEU_Activities[Load Size])*("Regional"=VEU_Activities[Region]),0)),"")</f>
        <v>3.47</v>
      </c>
      <c r="P32" s="12" cm="1">
        <f t="array" ref="P32">_xlfn.IFNA(INDEX(VEU_Activities[AEF],MATCH(1,("1D"=VEU_Activities[Activity])*($D32=VEU_Activities[Load Size])*("Regional"=VEU_Activities[Region]),0)),"")</f>
        <v>3.47</v>
      </c>
      <c r="Q32" s="119">
        <f t="shared" si="2"/>
        <v>9.1494801599999995</v>
      </c>
      <c r="R32" s="119">
        <f t="shared" si="3"/>
        <v>8.7117292499999994</v>
      </c>
    </row>
    <row r="33" spans="2:18">
      <c r="B33" s="12" t="s">
        <v>492</v>
      </c>
      <c r="C33" s="12" t="s">
        <v>496</v>
      </c>
      <c r="D33" s="12" t="s">
        <v>28</v>
      </c>
      <c r="E33" s="12">
        <v>3.02</v>
      </c>
      <c r="F33" s="12">
        <v>0</v>
      </c>
      <c r="G33" s="12">
        <v>3.3239999999999998</v>
      </c>
      <c r="H33" s="12">
        <v>0</v>
      </c>
      <c r="I33" s="12" cm="1">
        <f t="array" ref="I33">_xlfn.IFNA(INDEX(VEU_Activities[Abatement],MATCH(1,("1D"=VEU_Activities[Activity])*($D33=VEU_Activities[Load Size])*("Metropolitan"=VEU_Activities[Region]),0)),"")</f>
        <v>33.4</v>
      </c>
      <c r="J33" s="12" cm="1">
        <f t="array" ref="J33">_xlfn.IFNA(INDEX(VEU_Activities[SEF],MATCH(1,("1D"=VEU_Activities[Activity])*($D33=VEU_Activities[Load Size])*("Metropolitan"=VEU_Activities[Region]),0)),"")</f>
        <v>3.27</v>
      </c>
      <c r="K33" s="12" cm="1">
        <f t="array" ref="K33">_xlfn.IFNA(INDEX(VEU_Activities[AEF],MATCH(1,("1D"=VEU_Activities[Activity])*($D33=VEU_Activities[Load Size])*("Metropolitan"=VEU_Activities[Region]),0)),"")</f>
        <v>3.27</v>
      </c>
      <c r="L33" s="119">
        <f t="shared" si="0"/>
        <v>9.2451678000000008</v>
      </c>
      <c r="M33" s="119">
        <f t="shared" si="1"/>
        <v>8.8544943600000003</v>
      </c>
      <c r="N33" s="12" cm="1">
        <f t="array" ref="N33">_xlfn.IFNA(INDEX(VEU_Activities[Abatement],MATCH(1,("1D"=VEU_Activities[Activity])*($D33=VEU_Activities[Load Size])*("Regional"=VEU_Activities[Region]),0)),"")</f>
        <v>35.44</v>
      </c>
      <c r="O33" s="12" cm="1">
        <f t="array" ref="O33">_xlfn.IFNA(INDEX(VEU_Activities[SEF],MATCH(1,("1D"=VEU_Activities[Activity])*($D33=VEU_Activities[Load Size])*("Regional"=VEU_Activities[Region]),0)),"")</f>
        <v>3.47</v>
      </c>
      <c r="P33" s="12" cm="1">
        <f t="array" ref="P33">_xlfn.IFNA(INDEX(VEU_Activities[AEF],MATCH(1,("1D"=VEU_Activities[Activity])*($D33=VEU_Activities[Load Size])*("Regional"=VEU_Activities[Region]),0)),"")</f>
        <v>3.47</v>
      </c>
      <c r="Q33" s="119">
        <f t="shared" si="2"/>
        <v>9.8095157999999998</v>
      </c>
      <c r="R33" s="119">
        <f t="shared" si="3"/>
        <v>9.3949479599999979</v>
      </c>
    </row>
    <row r="34" spans="2:18">
      <c r="B34" s="12" t="s">
        <v>492</v>
      </c>
      <c r="C34" s="12" t="s">
        <v>507</v>
      </c>
      <c r="D34" s="12" t="s">
        <v>28</v>
      </c>
      <c r="E34" s="12">
        <v>3.6560000000000001</v>
      </c>
      <c r="F34" s="12">
        <v>0</v>
      </c>
      <c r="G34" s="12">
        <v>4.0110000000000001</v>
      </c>
      <c r="H34" s="12">
        <v>0</v>
      </c>
      <c r="I34" s="12" cm="1">
        <f t="array" ref="I34">_xlfn.IFNA(INDEX(VEU_Activities[Abatement],MATCH(1,("1D"=VEU_Activities[Activity])*($D34=VEU_Activities[Load Size])*("Metropolitan"=VEU_Activities[Region]),0)),"")</f>
        <v>33.4</v>
      </c>
      <c r="J34" s="12" cm="1">
        <f t="array" ref="J34">_xlfn.IFNA(INDEX(VEU_Activities[SEF],MATCH(1,("1D"=VEU_Activities[Activity])*($D34=VEU_Activities[Load Size])*("Metropolitan"=VEU_Activities[Region]),0)),"")</f>
        <v>3.27</v>
      </c>
      <c r="K34" s="12" cm="1">
        <f t="array" ref="K34">_xlfn.IFNA(INDEX(VEU_Activities[AEF],MATCH(1,("1D"=VEU_Activities[Activity])*($D34=VEU_Activities[Load Size])*("Metropolitan"=VEU_Activities[Region]),0)),"")</f>
        <v>3.27</v>
      </c>
      <c r="L34" s="119">
        <f t="shared" si="0"/>
        <v>8.4278378399999987</v>
      </c>
      <c r="M34" s="119">
        <f t="shared" si="1"/>
        <v>7.9716237899999998</v>
      </c>
      <c r="N34" s="12" cm="1">
        <f t="array" ref="N34">_xlfn.IFNA(INDEX(VEU_Activities[Abatement],MATCH(1,("1D"=VEU_Activities[Activity])*($D34=VEU_Activities[Load Size])*("Regional"=VEU_Activities[Region]),0)),"")</f>
        <v>35.44</v>
      </c>
      <c r="O34" s="12" cm="1">
        <f t="array" ref="O34">_xlfn.IFNA(INDEX(VEU_Activities[SEF],MATCH(1,("1D"=VEU_Activities[Activity])*($D34=VEU_Activities[Load Size])*("Regional"=VEU_Activities[Region]),0)),"")</f>
        <v>3.47</v>
      </c>
      <c r="P34" s="12" cm="1">
        <f t="array" ref="P34">_xlfn.IFNA(INDEX(VEU_Activities[AEF],MATCH(1,("1D"=VEU_Activities[Activity])*($D34=VEU_Activities[Load Size])*("Regional"=VEU_Activities[Region]),0)),"")</f>
        <v>3.47</v>
      </c>
      <c r="Q34" s="119">
        <f t="shared" si="2"/>
        <v>8.9421962399999995</v>
      </c>
      <c r="R34" s="119">
        <f t="shared" si="3"/>
        <v>8.4580791899999976</v>
      </c>
    </row>
    <row r="35" spans="2:18">
      <c r="B35" s="12" t="s">
        <v>492</v>
      </c>
      <c r="C35" s="12" t="s">
        <v>499</v>
      </c>
      <c r="D35" s="12" t="s">
        <v>28</v>
      </c>
      <c r="E35" s="12">
        <v>3.8029999999999999</v>
      </c>
      <c r="F35" s="12">
        <v>0</v>
      </c>
      <c r="G35" s="12">
        <v>4.2690000000000001</v>
      </c>
      <c r="H35" s="12">
        <v>0</v>
      </c>
      <c r="I35" s="12" cm="1">
        <f t="array" ref="I35">_xlfn.IFNA(INDEX(VEU_Activities[Abatement],MATCH(1,("1D"=VEU_Activities[Activity])*($D35=VEU_Activities[Load Size])*("Metropolitan"=VEU_Activities[Region]),0)),"")</f>
        <v>33.4</v>
      </c>
      <c r="J35" s="12" cm="1">
        <f t="array" ref="J35">_xlfn.IFNA(INDEX(VEU_Activities[SEF],MATCH(1,("1D"=VEU_Activities[Activity])*($D35=VEU_Activities[Load Size])*("Metropolitan"=VEU_Activities[Region]),0)),"")</f>
        <v>3.27</v>
      </c>
      <c r="K35" s="12" cm="1">
        <f t="array" ref="K35">_xlfn.IFNA(INDEX(VEU_Activities[AEF],MATCH(1,("1D"=VEU_Activities[Activity])*($D35=VEU_Activities[Load Size])*("Metropolitan"=VEU_Activities[Region]),0)),"")</f>
        <v>3.27</v>
      </c>
      <c r="L35" s="119">
        <f t="shared" si="0"/>
        <v>8.2389266699999997</v>
      </c>
      <c r="M35" s="119">
        <f t="shared" si="1"/>
        <v>7.6400654099999992</v>
      </c>
      <c r="N35" s="12" cm="1">
        <f t="array" ref="N35">_xlfn.IFNA(INDEX(VEU_Activities[Abatement],MATCH(1,("1D"=VEU_Activities[Activity])*($D35=VEU_Activities[Load Size])*("Regional"=VEU_Activities[Region]),0)),"")</f>
        <v>35.44</v>
      </c>
      <c r="O35" s="12" cm="1">
        <f t="array" ref="O35">_xlfn.IFNA(INDEX(VEU_Activities[SEF],MATCH(1,("1D"=VEU_Activities[Activity])*($D35=VEU_Activities[Load Size])*("Regional"=VEU_Activities[Region]),0)),"")</f>
        <v>3.47</v>
      </c>
      <c r="P35" s="12" cm="1">
        <f t="array" ref="P35">_xlfn.IFNA(INDEX(VEU_Activities[AEF],MATCH(1,("1D"=VEU_Activities[Activity])*($D35=VEU_Activities[Load Size])*("Regional"=VEU_Activities[Region]),0)),"")</f>
        <v>3.47</v>
      </c>
      <c r="Q35" s="119">
        <f t="shared" si="2"/>
        <v>8.7417308699999996</v>
      </c>
      <c r="R35" s="119">
        <f t="shared" si="3"/>
        <v>8.1062420099999972</v>
      </c>
    </row>
  </sheetData>
  <autoFilter ref="B5:R35" xr:uid="{E28D6A1F-D278-43F8-A903-0F2AA21869B6}">
    <sortState xmlns:xlrd2="http://schemas.microsoft.com/office/spreadsheetml/2017/richdata2" ref="B6:R35">
      <sortCondition ref="B6:B35"/>
    </sortState>
  </autoFilter>
  <mergeCells count="2">
    <mergeCell ref="I4:M4"/>
    <mergeCell ref="N4:R4"/>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71679-05B3-4EC8-96FB-D0F96F400FF4}">
  <sheetPr codeName="Sheet47">
    <tabColor rgb="FFFFC000"/>
  </sheetPr>
  <dimension ref="B1:R737"/>
  <sheetViews>
    <sheetView zoomScaleNormal="100" workbookViewId="0">
      <selection activeCell="C26" sqref="C26"/>
    </sheetView>
  </sheetViews>
  <sheetFormatPr defaultColWidth="8.86328125" defaultRowHeight="14.75"/>
  <cols>
    <col min="1" max="1" width="8.86328125" style="65"/>
    <col min="2" max="2" width="15.86328125" style="84" customWidth="1"/>
    <col min="3" max="3" width="14.54296875" style="84" bestFit="1" customWidth="1"/>
    <col min="4" max="8" width="12" style="84" customWidth="1"/>
    <col min="9" max="17" width="10.54296875" style="87" customWidth="1"/>
    <col min="18" max="18" width="10.76953125" style="87" customWidth="1"/>
    <col min="19" max="580" width="8.86328125" style="65" customWidth="1"/>
    <col min="581" max="16384" width="8.86328125" style="65"/>
  </cols>
  <sheetData>
    <row r="1" spans="2:18">
      <c r="C1" s="65"/>
      <c r="D1" s="86"/>
      <c r="E1" s="65"/>
      <c r="G1" s="65"/>
      <c r="I1" s="65"/>
      <c r="J1" s="84"/>
      <c r="K1" s="65"/>
      <c r="M1" s="65"/>
      <c r="N1" s="84"/>
      <c r="O1" s="65"/>
      <c r="P1" s="84"/>
      <c r="Q1" s="65"/>
      <c r="R1" s="86"/>
    </row>
    <row r="2" spans="2:18" ht="18.5">
      <c r="B2" s="85" t="s">
        <v>198</v>
      </c>
    </row>
    <row r="3" spans="2:18">
      <c r="B3" s="65"/>
      <c r="C3" s="65"/>
      <c r="D3" s="65"/>
      <c r="E3" s="65"/>
      <c r="F3" s="65"/>
      <c r="G3" s="65"/>
      <c r="H3" s="65"/>
      <c r="I3" s="65"/>
      <c r="J3" s="65"/>
      <c r="K3" s="65"/>
      <c r="L3" s="89" t="s">
        <v>1</v>
      </c>
      <c r="M3" s="89" t="s">
        <v>1</v>
      </c>
      <c r="N3" s="88"/>
      <c r="O3" s="88"/>
      <c r="P3" s="88"/>
      <c r="Q3" s="88" t="s">
        <v>2</v>
      </c>
      <c r="R3" s="88" t="s">
        <v>2</v>
      </c>
    </row>
    <row r="4" spans="2:18">
      <c r="B4" s="77"/>
      <c r="C4" s="77"/>
      <c r="D4" s="77"/>
      <c r="E4" s="77"/>
      <c r="F4" s="77"/>
      <c r="G4" s="77"/>
      <c r="H4" s="99"/>
      <c r="I4" s="343" t="s">
        <v>74</v>
      </c>
      <c r="J4" s="343"/>
      <c r="K4" s="343"/>
      <c r="L4" s="343"/>
      <c r="M4" s="343"/>
      <c r="N4" s="343" t="s">
        <v>15</v>
      </c>
      <c r="O4" s="343"/>
      <c r="P4" s="343"/>
      <c r="Q4" s="343"/>
      <c r="R4" s="343"/>
    </row>
    <row r="5" spans="2:18">
      <c r="B5" s="16" t="s">
        <v>40</v>
      </c>
      <c r="C5" s="16" t="s">
        <v>9</v>
      </c>
      <c r="D5" s="16" t="s">
        <v>10</v>
      </c>
      <c r="E5" s="16" t="s">
        <v>52</v>
      </c>
      <c r="F5" s="16" t="s">
        <v>53</v>
      </c>
      <c r="G5" s="16" t="s">
        <v>54</v>
      </c>
      <c r="H5" s="16" t="s">
        <v>55</v>
      </c>
      <c r="I5" s="14" t="s">
        <v>21</v>
      </c>
      <c r="J5" s="14" t="s">
        <v>22</v>
      </c>
      <c r="K5" s="14" t="s">
        <v>23</v>
      </c>
      <c r="L5" s="14" t="s">
        <v>341</v>
      </c>
      <c r="M5" s="14" t="s">
        <v>184</v>
      </c>
      <c r="N5" s="14" t="s">
        <v>21</v>
      </c>
      <c r="O5" s="14" t="s">
        <v>22</v>
      </c>
      <c r="P5" s="14" t="s">
        <v>23</v>
      </c>
      <c r="Q5" s="14" t="s">
        <v>341</v>
      </c>
      <c r="R5" s="14" t="s">
        <v>184</v>
      </c>
    </row>
    <row r="6" spans="2:18">
      <c r="B6" s="12" t="s">
        <v>204</v>
      </c>
      <c r="C6" s="12" t="s">
        <v>464</v>
      </c>
      <c r="D6" s="12" t="s">
        <v>28</v>
      </c>
      <c r="E6" s="12">
        <v>2.4527999999999999</v>
      </c>
      <c r="F6" s="12">
        <v>0</v>
      </c>
      <c r="G6" s="12">
        <v>2.6600999999999999</v>
      </c>
      <c r="H6" s="12">
        <v>0</v>
      </c>
      <c r="I6" s="19" cm="1">
        <f t="array" ref="I6">_xlfn.IFNA(INDEX(VEU_Activities[Abatement],MATCH(1,("3C"=VEU_Activities[Activity])*($D6=VEU_Activities[Load Size])*("Metropolitan"=VEU_Activities[Region]),0)),"")</f>
        <v>13.23</v>
      </c>
      <c r="J6" s="19" cm="1">
        <f t="array" ref="J6">_xlfn.IFNA(INDEX(VEU_Activities[SEF],MATCH(1,("3C"=VEU_Activities[Activity])*($D6=VEU_Activities[Load Size])*("Metropolitan"=VEU_Activities[Region]),0)),"")</f>
        <v>4.17</v>
      </c>
      <c r="K6" s="19" cm="1">
        <f t="array" ref="K6">_xlfn.IFNA(INDEX(VEU_Activities[AEF],MATCH(1,("3C"=VEU_Activities[Activity])*($D6=VEU_Activities[Load Size])*("Metropolitan"=VEU_Activities[Region]),0)),"")</f>
        <v>4.17</v>
      </c>
      <c r="L6" s="20">
        <f t="shared" ref="L6:L35" si="0">I6-((J6*$E6)+(K6*$F6))*EEFm</f>
        <v>9.2103268319999998</v>
      </c>
      <c r="M6" s="20">
        <f t="shared" ref="M6:M35" si="1">I6-((J6*$G6)+(K6*$H6))*EEFm</f>
        <v>8.8706015190000009</v>
      </c>
      <c r="N6" s="19" cm="1">
        <f t="array" ref="N6">_xlfn.IFNA(INDEX(VEU_Activities[Abatement],MATCH(1,("3C"=VEU_Activities[Activity])*($D6=VEU_Activities[Load Size])*("Regional"=VEU_Activities[Region]),0)),"")</f>
        <v>13.23</v>
      </c>
      <c r="O6" s="19" cm="1">
        <f t="array" ref="O6">_xlfn.IFNA(INDEX(VEU_Activities[SEF],MATCH(1,("3C"=VEU_Activities[Activity])*($D6=VEU_Activities[Load Size])*("Regional"=VEU_Activities[Region]),0)),"")</f>
        <v>4.17</v>
      </c>
      <c r="P6" s="19" cm="1">
        <f t="array" ref="P6">_xlfn.IFNA(INDEX(VEU_Activities[AEF],MATCH(1,("3C"=VEU_Activities[Activity])*($D6=VEU_Activities[Load Size])*("Regional"=VEU_Activities[Region]),0)),"")</f>
        <v>4.17</v>
      </c>
      <c r="Q6" s="20">
        <f t="shared" ref="Q6:Q35" si="2">N6-((O6*$E6)+(P6*$F6))*EEFm</f>
        <v>9.2103268319999998</v>
      </c>
      <c r="R6" s="20">
        <f t="shared" ref="R6:R35" si="3">N6-((O6*$G6)+(P6*$H6))*EEFm</f>
        <v>8.8706015190000009</v>
      </c>
    </row>
    <row r="7" spans="2:18">
      <c r="B7" s="12" t="s">
        <v>204</v>
      </c>
      <c r="C7" s="12" t="s">
        <v>451</v>
      </c>
      <c r="D7" s="12" t="s">
        <v>28</v>
      </c>
      <c r="E7" s="12">
        <v>3.3411</v>
      </c>
      <c r="F7" s="12">
        <v>0</v>
      </c>
      <c r="G7" s="12">
        <v>3.6396000000000002</v>
      </c>
      <c r="H7" s="12">
        <v>0</v>
      </c>
      <c r="I7" s="19" cm="1">
        <f t="array" ref="I7">_xlfn.IFNA(INDEX(VEU_Activities[Abatement],MATCH(1,("3C"=VEU_Activities[Activity])*($D7=VEU_Activities[Load Size])*("Metropolitan"=VEU_Activities[Region]),0)),"")</f>
        <v>13.23</v>
      </c>
      <c r="J7" s="19" cm="1">
        <f t="array" ref="J7">_xlfn.IFNA(INDEX(VEU_Activities[SEF],MATCH(1,("3C"=VEU_Activities[Activity])*($D7=VEU_Activities[Load Size])*("Metropolitan"=VEU_Activities[Region]),0)),"")</f>
        <v>4.17</v>
      </c>
      <c r="K7" s="19" cm="1">
        <f t="array" ref="K7">_xlfn.IFNA(INDEX(VEU_Activities[AEF],MATCH(1,("3C"=VEU_Activities[Activity])*($D7=VEU_Activities[Load Size])*("Metropolitan"=VEU_Activities[Region]),0)),"")</f>
        <v>4.17</v>
      </c>
      <c r="L7" s="20">
        <f t="shared" si="0"/>
        <v>7.754571909</v>
      </c>
      <c r="M7" s="20">
        <f t="shared" si="1"/>
        <v>7.2653871240000001</v>
      </c>
      <c r="N7" s="19" cm="1">
        <f t="array" ref="N7">_xlfn.IFNA(INDEX(VEU_Activities[Abatement],MATCH(1,("3C"=VEU_Activities[Activity])*($D7=VEU_Activities[Load Size])*("Regional"=VEU_Activities[Region]),0)),"")</f>
        <v>13.23</v>
      </c>
      <c r="O7" s="19" cm="1">
        <f t="array" ref="O7">_xlfn.IFNA(INDEX(VEU_Activities[SEF],MATCH(1,("3C"=VEU_Activities[Activity])*($D7=VEU_Activities[Load Size])*("Regional"=VEU_Activities[Region]),0)),"")</f>
        <v>4.17</v>
      </c>
      <c r="P7" s="19" cm="1">
        <f t="array" ref="P7">_xlfn.IFNA(INDEX(VEU_Activities[AEF],MATCH(1,("3C"=VEU_Activities[Activity])*($D7=VEU_Activities[Load Size])*("Regional"=VEU_Activities[Region]),0)),"")</f>
        <v>4.17</v>
      </c>
      <c r="Q7" s="20">
        <f t="shared" si="2"/>
        <v>7.754571909</v>
      </c>
      <c r="R7" s="20">
        <f t="shared" si="3"/>
        <v>7.2653871240000001</v>
      </c>
    </row>
    <row r="8" spans="2:18">
      <c r="B8" s="12" t="s">
        <v>204</v>
      </c>
      <c r="C8" s="12" t="s">
        <v>465</v>
      </c>
      <c r="D8" s="12" t="s">
        <v>28</v>
      </c>
      <c r="E8" s="12">
        <v>2.4348000000000001</v>
      </c>
      <c r="F8" s="12">
        <v>0</v>
      </c>
      <c r="G8" s="12">
        <v>2.6271</v>
      </c>
      <c r="H8" s="12">
        <v>0</v>
      </c>
      <c r="I8" s="19" cm="1">
        <f t="array" ref="I8">_xlfn.IFNA(INDEX(VEU_Activities[Abatement],MATCH(1,("3C"=VEU_Activities[Activity])*($D8=VEU_Activities[Load Size])*("Metropolitan"=VEU_Activities[Region]),0)),"")</f>
        <v>13.23</v>
      </c>
      <c r="J8" s="19" cm="1">
        <f t="array" ref="J8">_xlfn.IFNA(INDEX(VEU_Activities[SEF],MATCH(1,("3C"=VEU_Activities[Activity])*($D8=VEU_Activities[Load Size])*("Metropolitan"=VEU_Activities[Region]),0)),"")</f>
        <v>4.17</v>
      </c>
      <c r="K8" s="19" cm="1">
        <f t="array" ref="K8">_xlfn.IFNA(INDEX(VEU_Activities[AEF],MATCH(1,("3C"=VEU_Activities[Activity])*($D8=VEU_Activities[Load Size])*("Metropolitan"=VEU_Activities[Region]),0)),"")</f>
        <v>4.17</v>
      </c>
      <c r="L8" s="20">
        <f t="shared" si="0"/>
        <v>9.2398254120000001</v>
      </c>
      <c r="M8" s="20">
        <f t="shared" si="1"/>
        <v>8.924682249</v>
      </c>
      <c r="N8" s="19" cm="1">
        <f t="array" ref="N8">_xlfn.IFNA(INDEX(VEU_Activities[Abatement],MATCH(1,("3C"=VEU_Activities[Activity])*($D8=VEU_Activities[Load Size])*("Regional"=VEU_Activities[Region]),0)),"")</f>
        <v>13.23</v>
      </c>
      <c r="O8" s="19" cm="1">
        <f t="array" ref="O8">_xlfn.IFNA(INDEX(VEU_Activities[SEF],MATCH(1,("3C"=VEU_Activities[Activity])*($D8=VEU_Activities[Load Size])*("Regional"=VEU_Activities[Region]),0)),"")</f>
        <v>4.17</v>
      </c>
      <c r="P8" s="19" cm="1">
        <f t="array" ref="P8">_xlfn.IFNA(INDEX(VEU_Activities[AEF],MATCH(1,("3C"=VEU_Activities[Activity])*($D8=VEU_Activities[Load Size])*("Regional"=VEU_Activities[Region]),0)),"")</f>
        <v>4.17</v>
      </c>
      <c r="Q8" s="20">
        <f t="shared" si="2"/>
        <v>9.2398254120000001</v>
      </c>
      <c r="R8" s="20">
        <f t="shared" si="3"/>
        <v>8.924682249</v>
      </c>
    </row>
    <row r="9" spans="2:18">
      <c r="B9" s="12" t="s">
        <v>204</v>
      </c>
      <c r="C9" s="12" t="s">
        <v>466</v>
      </c>
      <c r="D9" s="12" t="s">
        <v>28</v>
      </c>
      <c r="E9" s="12">
        <v>2.8027000000000002</v>
      </c>
      <c r="F9" s="12">
        <v>0</v>
      </c>
      <c r="G9" s="12">
        <v>3.0246</v>
      </c>
      <c r="H9" s="12">
        <v>0</v>
      </c>
      <c r="I9" s="19" cm="1">
        <f t="array" ref="I9">_xlfn.IFNA(INDEX(VEU_Activities[Abatement],MATCH(1,("3C"=VEU_Activities[Activity])*($D9=VEU_Activities[Load Size])*("Metropolitan"=VEU_Activities[Region]),0)),"")</f>
        <v>13.23</v>
      </c>
      <c r="J9" s="19" cm="1">
        <f t="array" ref="J9">_xlfn.IFNA(INDEX(VEU_Activities[SEF],MATCH(1,("3C"=VEU_Activities[Activity])*($D9=VEU_Activities[Load Size])*("Metropolitan"=VEU_Activities[Region]),0)),"")</f>
        <v>4.17</v>
      </c>
      <c r="K9" s="19" cm="1">
        <f t="array" ref="K9">_xlfn.IFNA(INDEX(VEU_Activities[AEF],MATCH(1,("3C"=VEU_Activities[Activity])*($D9=VEU_Activities[Load Size])*("Metropolitan"=VEU_Activities[Region]),0)),"")</f>
        <v>4.17</v>
      </c>
      <c r="L9" s="20">
        <f t="shared" si="0"/>
        <v>8.6369072130000006</v>
      </c>
      <c r="M9" s="20">
        <f t="shared" si="1"/>
        <v>8.2732552740000003</v>
      </c>
      <c r="N9" s="19" cm="1">
        <f t="array" ref="N9">_xlfn.IFNA(INDEX(VEU_Activities[Abatement],MATCH(1,("3C"=VEU_Activities[Activity])*($D9=VEU_Activities[Load Size])*("Regional"=VEU_Activities[Region]),0)),"")</f>
        <v>13.23</v>
      </c>
      <c r="O9" s="19" cm="1">
        <f t="array" ref="O9">_xlfn.IFNA(INDEX(VEU_Activities[SEF],MATCH(1,("3C"=VEU_Activities[Activity])*($D9=VEU_Activities[Load Size])*("Regional"=VEU_Activities[Region]),0)),"")</f>
        <v>4.17</v>
      </c>
      <c r="P9" s="19" cm="1">
        <f t="array" ref="P9">_xlfn.IFNA(INDEX(VEU_Activities[AEF],MATCH(1,("3C"=VEU_Activities[Activity])*($D9=VEU_Activities[Load Size])*("Regional"=VEU_Activities[Region]),0)),"")</f>
        <v>4.17</v>
      </c>
      <c r="Q9" s="20">
        <f t="shared" si="2"/>
        <v>8.6369072130000006</v>
      </c>
      <c r="R9" s="20">
        <f t="shared" si="3"/>
        <v>8.2732552740000003</v>
      </c>
    </row>
    <row r="10" spans="2:18">
      <c r="B10" s="12" t="s">
        <v>204</v>
      </c>
      <c r="C10" s="12" t="s">
        <v>462</v>
      </c>
      <c r="D10" s="12" t="s">
        <v>28</v>
      </c>
      <c r="E10" s="12">
        <v>2.8936999999999999</v>
      </c>
      <c r="F10" s="12">
        <v>0</v>
      </c>
      <c r="G10" s="12">
        <v>3.1848000000000001</v>
      </c>
      <c r="H10" s="12">
        <v>0</v>
      </c>
      <c r="I10" s="19" cm="1">
        <f t="array" ref="I10">_xlfn.IFNA(INDEX(VEU_Activities[Abatement],MATCH(1,("3C"=VEU_Activities[Activity])*($D10=VEU_Activities[Load Size])*("Metropolitan"=VEU_Activities[Region]),0)),"")</f>
        <v>13.23</v>
      </c>
      <c r="J10" s="19" cm="1">
        <f t="array" ref="J10">_xlfn.IFNA(INDEX(VEU_Activities[SEF],MATCH(1,("3C"=VEU_Activities[Activity])*($D10=VEU_Activities[Load Size])*("Metropolitan"=VEU_Activities[Region]),0)),"")</f>
        <v>4.17</v>
      </c>
      <c r="K10" s="19" cm="1">
        <f t="array" ref="K10">_xlfn.IFNA(INDEX(VEU_Activities[AEF],MATCH(1,("3C"=VEU_Activities[Activity])*($D10=VEU_Activities[Load Size])*("Metropolitan"=VEU_Activities[Region]),0)),"")</f>
        <v>4.17</v>
      </c>
      <c r="L10" s="20">
        <f t="shared" si="0"/>
        <v>8.4877755030000017</v>
      </c>
      <c r="M10" s="20">
        <f t="shared" si="1"/>
        <v>8.0107179120000005</v>
      </c>
      <c r="N10" s="19" cm="1">
        <f t="array" ref="N10">_xlfn.IFNA(INDEX(VEU_Activities[Abatement],MATCH(1,("3C"=VEU_Activities[Activity])*($D10=VEU_Activities[Load Size])*("Regional"=VEU_Activities[Region]),0)),"")</f>
        <v>13.23</v>
      </c>
      <c r="O10" s="19" cm="1">
        <f t="array" ref="O10">_xlfn.IFNA(INDEX(VEU_Activities[SEF],MATCH(1,("3C"=VEU_Activities[Activity])*($D10=VEU_Activities[Load Size])*("Regional"=VEU_Activities[Region]),0)),"")</f>
        <v>4.17</v>
      </c>
      <c r="P10" s="19" cm="1">
        <f t="array" ref="P10">_xlfn.IFNA(INDEX(VEU_Activities[AEF],MATCH(1,("3C"=VEU_Activities[Activity])*($D10=VEU_Activities[Load Size])*("Regional"=VEU_Activities[Region]),0)),"")</f>
        <v>4.17</v>
      </c>
      <c r="Q10" s="20">
        <f t="shared" si="2"/>
        <v>8.4877755030000017</v>
      </c>
      <c r="R10" s="20">
        <f t="shared" si="3"/>
        <v>8.0107179120000005</v>
      </c>
    </row>
    <row r="11" spans="2:18">
      <c r="B11" s="12" t="s">
        <v>204</v>
      </c>
      <c r="C11" s="12" t="s">
        <v>207</v>
      </c>
      <c r="D11" s="12" t="s">
        <v>28</v>
      </c>
      <c r="E11" s="12">
        <v>2.0969000000000002</v>
      </c>
      <c r="F11" s="12">
        <v>0</v>
      </c>
      <c r="G11" s="12">
        <v>2.3041999999999998</v>
      </c>
      <c r="H11" s="12">
        <v>0</v>
      </c>
      <c r="I11" s="19" cm="1">
        <f t="array" ref="I11">_xlfn.IFNA(INDEX(VEU_Activities[Abatement],MATCH(1,("3C"=VEU_Activities[Activity])*($D11=VEU_Activities[Load Size])*("Metropolitan"=VEU_Activities[Region]),0)),"")</f>
        <v>13.23</v>
      </c>
      <c r="J11" s="19" cm="1">
        <f t="array" ref="J11">_xlfn.IFNA(INDEX(VEU_Activities[SEF],MATCH(1,("3C"=VEU_Activities[Activity])*($D11=VEU_Activities[Load Size])*("Metropolitan"=VEU_Activities[Region]),0)),"")</f>
        <v>4.17</v>
      </c>
      <c r="K11" s="19" cm="1">
        <f t="array" ref="K11">_xlfn.IFNA(INDEX(VEU_Activities[AEF],MATCH(1,("3C"=VEU_Activities[Activity])*($D11=VEU_Activities[Load Size])*("Metropolitan"=VEU_Activities[Region]),0)),"")</f>
        <v>4.17</v>
      </c>
      <c r="L11" s="20">
        <f t="shared" si="0"/>
        <v>9.7935793110000002</v>
      </c>
      <c r="M11" s="20">
        <f t="shared" si="1"/>
        <v>9.4538539979999996</v>
      </c>
      <c r="N11" s="19" cm="1">
        <f t="array" ref="N11">_xlfn.IFNA(INDEX(VEU_Activities[Abatement],MATCH(1,("3C"=VEU_Activities[Activity])*($D11=VEU_Activities[Load Size])*("Regional"=VEU_Activities[Region]),0)),"")</f>
        <v>13.23</v>
      </c>
      <c r="O11" s="19" cm="1">
        <f t="array" ref="O11">_xlfn.IFNA(INDEX(VEU_Activities[SEF],MATCH(1,("3C"=VEU_Activities[Activity])*($D11=VEU_Activities[Load Size])*("Regional"=VEU_Activities[Region]),0)),"")</f>
        <v>4.17</v>
      </c>
      <c r="P11" s="19" cm="1">
        <f t="array" ref="P11">_xlfn.IFNA(INDEX(VEU_Activities[AEF],MATCH(1,("3C"=VEU_Activities[Activity])*($D11=VEU_Activities[Load Size])*("Regional"=VEU_Activities[Region]),0)),"")</f>
        <v>4.17</v>
      </c>
      <c r="Q11" s="20">
        <f t="shared" si="2"/>
        <v>9.7935793110000002</v>
      </c>
      <c r="R11" s="20">
        <f t="shared" si="3"/>
        <v>9.4538539979999996</v>
      </c>
    </row>
    <row r="12" spans="2:18">
      <c r="B12" s="12" t="s">
        <v>204</v>
      </c>
      <c r="C12" s="12" t="s">
        <v>461</v>
      </c>
      <c r="D12" s="12" t="s">
        <v>28</v>
      </c>
      <c r="E12" s="12">
        <v>2.7690999999999999</v>
      </c>
      <c r="F12" s="12">
        <v>0</v>
      </c>
      <c r="G12" s="12">
        <v>3.0177</v>
      </c>
      <c r="H12" s="12">
        <v>0</v>
      </c>
      <c r="I12" s="19" cm="1">
        <f t="array" ref="I12">_xlfn.IFNA(INDEX(VEU_Activities[Abatement],MATCH(1,("3C"=VEU_Activities[Activity])*($D12=VEU_Activities[Load Size])*("Metropolitan"=VEU_Activities[Region]),0)),"")</f>
        <v>13.23</v>
      </c>
      <c r="J12" s="19" cm="1">
        <f t="array" ref="J12">_xlfn.IFNA(INDEX(VEU_Activities[SEF],MATCH(1,("3C"=VEU_Activities[Activity])*($D12=VEU_Activities[Load Size])*("Metropolitan"=VEU_Activities[Region]),0)),"")</f>
        <v>4.17</v>
      </c>
      <c r="K12" s="19" cm="1">
        <f t="array" ref="K12">_xlfn.IFNA(INDEX(VEU_Activities[AEF],MATCH(1,("3C"=VEU_Activities[Activity])*($D12=VEU_Activities[Load Size])*("Metropolitan"=VEU_Activities[Region]),0)),"")</f>
        <v>4.17</v>
      </c>
      <c r="L12" s="20">
        <f t="shared" si="0"/>
        <v>8.691971229</v>
      </c>
      <c r="M12" s="20">
        <f t="shared" si="1"/>
        <v>8.2845630630000002</v>
      </c>
      <c r="N12" s="19" cm="1">
        <f t="array" ref="N12">_xlfn.IFNA(INDEX(VEU_Activities[Abatement],MATCH(1,("3C"=VEU_Activities[Activity])*($D12=VEU_Activities[Load Size])*("Regional"=VEU_Activities[Region]),0)),"")</f>
        <v>13.23</v>
      </c>
      <c r="O12" s="19" cm="1">
        <f t="array" ref="O12">_xlfn.IFNA(INDEX(VEU_Activities[SEF],MATCH(1,("3C"=VEU_Activities[Activity])*($D12=VEU_Activities[Load Size])*("Regional"=VEU_Activities[Region]),0)),"")</f>
        <v>4.17</v>
      </c>
      <c r="P12" s="19" cm="1">
        <f t="array" ref="P12">_xlfn.IFNA(INDEX(VEU_Activities[AEF],MATCH(1,("3C"=VEU_Activities[Activity])*($D12=VEU_Activities[Load Size])*("Regional"=VEU_Activities[Region]),0)),"")</f>
        <v>4.17</v>
      </c>
      <c r="Q12" s="20">
        <f t="shared" si="2"/>
        <v>8.691971229</v>
      </c>
      <c r="R12" s="20">
        <f t="shared" si="3"/>
        <v>8.2845630630000002</v>
      </c>
    </row>
    <row r="13" spans="2:18">
      <c r="B13" s="12" t="s">
        <v>204</v>
      </c>
      <c r="C13" s="12" t="s">
        <v>458</v>
      </c>
      <c r="D13" s="12" t="s">
        <v>28</v>
      </c>
      <c r="E13" s="12">
        <v>3.6046</v>
      </c>
      <c r="F13" s="12">
        <v>0</v>
      </c>
      <c r="G13" s="12">
        <v>3.8620000000000001</v>
      </c>
      <c r="H13" s="12">
        <v>0</v>
      </c>
      <c r="I13" s="19" cm="1">
        <f t="array" ref="I13">_xlfn.IFNA(INDEX(VEU_Activities[Abatement],MATCH(1,("3C"=VEU_Activities[Activity])*($D13=VEU_Activities[Load Size])*("Metropolitan"=VEU_Activities[Region]),0)),"")</f>
        <v>13.23</v>
      </c>
      <c r="J13" s="19" cm="1">
        <f t="array" ref="J13">_xlfn.IFNA(INDEX(VEU_Activities[SEF],MATCH(1,("3C"=VEU_Activities[Activity])*($D13=VEU_Activities[Load Size])*("Metropolitan"=VEU_Activities[Region]),0)),"")</f>
        <v>4.17</v>
      </c>
      <c r="K13" s="19" cm="1">
        <f t="array" ref="K13">_xlfn.IFNA(INDEX(VEU_Activities[AEF],MATCH(1,("3C"=VEU_Activities[Activity])*($D13=VEU_Activities[Load Size])*("Metropolitan"=VEU_Activities[Region]),0)),"")</f>
        <v>4.17</v>
      </c>
      <c r="L13" s="20">
        <f t="shared" si="0"/>
        <v>7.3227454740000004</v>
      </c>
      <c r="M13" s="20">
        <f t="shared" si="1"/>
        <v>6.9009157800000001</v>
      </c>
      <c r="N13" s="19" cm="1">
        <f t="array" ref="N13">_xlfn.IFNA(INDEX(VEU_Activities[Abatement],MATCH(1,("3C"=VEU_Activities[Activity])*($D13=VEU_Activities[Load Size])*("Regional"=VEU_Activities[Region]),0)),"")</f>
        <v>13.23</v>
      </c>
      <c r="O13" s="19" cm="1">
        <f t="array" ref="O13">_xlfn.IFNA(INDEX(VEU_Activities[SEF],MATCH(1,("3C"=VEU_Activities[Activity])*($D13=VEU_Activities[Load Size])*("Regional"=VEU_Activities[Region]),0)),"")</f>
        <v>4.17</v>
      </c>
      <c r="P13" s="19" cm="1">
        <f t="array" ref="P13">_xlfn.IFNA(INDEX(VEU_Activities[AEF],MATCH(1,("3C"=VEU_Activities[Activity])*($D13=VEU_Activities[Load Size])*("Regional"=VEU_Activities[Region]),0)),"")</f>
        <v>4.17</v>
      </c>
      <c r="Q13" s="20">
        <f t="shared" si="2"/>
        <v>7.3227454740000004</v>
      </c>
      <c r="R13" s="20">
        <f t="shared" si="3"/>
        <v>6.9009157800000001</v>
      </c>
    </row>
    <row r="14" spans="2:18">
      <c r="B14" s="12" t="s">
        <v>204</v>
      </c>
      <c r="C14" s="12" t="s">
        <v>452</v>
      </c>
      <c r="D14" s="12" t="s">
        <v>28</v>
      </c>
      <c r="E14" s="12">
        <v>3.1987999999999999</v>
      </c>
      <c r="F14" s="12">
        <v>0</v>
      </c>
      <c r="G14" s="12">
        <v>3.4723000000000002</v>
      </c>
      <c r="H14" s="12">
        <v>0</v>
      </c>
      <c r="I14" s="19" cm="1">
        <f t="array" ref="I14">_xlfn.IFNA(INDEX(VEU_Activities[Abatement],MATCH(1,("3C"=VEU_Activities[Activity])*($D14=VEU_Activities[Load Size])*("Metropolitan"=VEU_Activities[Region]),0)),"")</f>
        <v>13.23</v>
      </c>
      <c r="J14" s="19" cm="1">
        <f t="array" ref="J14">_xlfn.IFNA(INDEX(VEU_Activities[SEF],MATCH(1,("3C"=VEU_Activities[Activity])*($D14=VEU_Activities[Load Size])*("Metropolitan"=VEU_Activities[Region]),0)),"")</f>
        <v>4.17</v>
      </c>
      <c r="K14" s="19" cm="1">
        <f t="array" ref="K14">_xlfn.IFNA(INDEX(VEU_Activities[AEF],MATCH(1,("3C"=VEU_Activities[Activity])*($D14=VEU_Activities[Load Size])*("Metropolitan"=VEU_Activities[Region]),0)),"")</f>
        <v>4.17</v>
      </c>
      <c r="L14" s="20">
        <f t="shared" si="0"/>
        <v>7.9877745720000002</v>
      </c>
      <c r="M14" s="20">
        <f t="shared" si="1"/>
        <v>7.5395600369999993</v>
      </c>
      <c r="N14" s="19" cm="1">
        <f t="array" ref="N14">_xlfn.IFNA(INDEX(VEU_Activities[Abatement],MATCH(1,("3C"=VEU_Activities[Activity])*($D14=VEU_Activities[Load Size])*("Regional"=VEU_Activities[Region]),0)),"")</f>
        <v>13.23</v>
      </c>
      <c r="O14" s="19" cm="1">
        <f t="array" ref="O14">_xlfn.IFNA(INDEX(VEU_Activities[SEF],MATCH(1,("3C"=VEU_Activities[Activity])*($D14=VEU_Activities[Load Size])*("Regional"=VEU_Activities[Region]),0)),"")</f>
        <v>4.17</v>
      </c>
      <c r="P14" s="19" cm="1">
        <f t="array" ref="P14">_xlfn.IFNA(INDEX(VEU_Activities[AEF],MATCH(1,("3C"=VEU_Activities[Activity])*($D14=VEU_Activities[Load Size])*("Regional"=VEU_Activities[Region]),0)),"")</f>
        <v>4.17</v>
      </c>
      <c r="Q14" s="20">
        <f t="shared" si="2"/>
        <v>7.9877745720000002</v>
      </c>
      <c r="R14" s="20">
        <f t="shared" si="3"/>
        <v>7.5395600369999993</v>
      </c>
    </row>
    <row r="15" spans="2:18">
      <c r="B15" s="12" t="s">
        <v>204</v>
      </c>
      <c r="C15" s="12" t="s">
        <v>463</v>
      </c>
      <c r="D15" s="12" t="s">
        <v>28</v>
      </c>
      <c r="E15" s="12">
        <v>2.1328999999999998</v>
      </c>
      <c r="F15" s="12">
        <v>0</v>
      </c>
      <c r="G15" s="12">
        <v>2.327</v>
      </c>
      <c r="H15" s="12">
        <v>0</v>
      </c>
      <c r="I15" s="19" cm="1">
        <f t="array" ref="I15">_xlfn.IFNA(INDEX(VEU_Activities[Abatement],MATCH(1,("3C"=VEU_Activities[Activity])*($D15=VEU_Activities[Load Size])*("Metropolitan"=VEU_Activities[Region]),0)),"")</f>
        <v>13.23</v>
      </c>
      <c r="J15" s="19" cm="1">
        <f t="array" ref="J15">_xlfn.IFNA(INDEX(VEU_Activities[SEF],MATCH(1,("3C"=VEU_Activities[Activity])*($D15=VEU_Activities[Load Size])*("Metropolitan"=VEU_Activities[Region]),0)),"")</f>
        <v>4.17</v>
      </c>
      <c r="K15" s="19" cm="1">
        <f t="array" ref="K15">_xlfn.IFNA(INDEX(VEU_Activities[AEF],MATCH(1,("3C"=VEU_Activities[Activity])*($D15=VEU_Activities[Load Size])*("Metropolitan"=VEU_Activities[Region]),0)),"")</f>
        <v>4.17</v>
      </c>
      <c r="L15" s="20">
        <f t="shared" si="0"/>
        <v>9.7345821510000015</v>
      </c>
      <c r="M15" s="20">
        <f t="shared" si="1"/>
        <v>9.4164891300000004</v>
      </c>
      <c r="N15" s="19" cm="1">
        <f t="array" ref="N15">_xlfn.IFNA(INDEX(VEU_Activities[Abatement],MATCH(1,("3C"=VEU_Activities[Activity])*($D15=VEU_Activities[Load Size])*("Regional"=VEU_Activities[Region]),0)),"")</f>
        <v>13.23</v>
      </c>
      <c r="O15" s="19" cm="1">
        <f t="array" ref="O15">_xlfn.IFNA(INDEX(VEU_Activities[SEF],MATCH(1,("3C"=VEU_Activities[Activity])*($D15=VEU_Activities[Load Size])*("Regional"=VEU_Activities[Region]),0)),"")</f>
        <v>4.17</v>
      </c>
      <c r="P15" s="19" cm="1">
        <f t="array" ref="P15">_xlfn.IFNA(INDEX(VEU_Activities[AEF],MATCH(1,("3C"=VEU_Activities[Activity])*($D15=VEU_Activities[Load Size])*("Regional"=VEU_Activities[Region]),0)),"")</f>
        <v>4.17</v>
      </c>
      <c r="Q15" s="20">
        <f t="shared" si="2"/>
        <v>9.7345821510000015</v>
      </c>
      <c r="R15" s="20">
        <f t="shared" si="3"/>
        <v>9.4164891300000004</v>
      </c>
    </row>
    <row r="16" spans="2:18">
      <c r="B16" s="12" t="s">
        <v>204</v>
      </c>
      <c r="C16" s="12" t="s">
        <v>459</v>
      </c>
      <c r="D16" s="12" t="s">
        <v>28</v>
      </c>
      <c r="E16" s="12">
        <v>2.6917</v>
      </c>
      <c r="F16" s="12">
        <v>0</v>
      </c>
      <c r="G16" s="12">
        <v>2.9295</v>
      </c>
      <c r="H16" s="12">
        <v>0</v>
      </c>
      <c r="I16" s="19" cm="1">
        <f t="array" ref="I16">_xlfn.IFNA(INDEX(VEU_Activities[Abatement],MATCH(1,("3C"=VEU_Activities[Activity])*($D16=VEU_Activities[Load Size])*("Metropolitan"=VEU_Activities[Region]),0)),"")</f>
        <v>13.23</v>
      </c>
      <c r="J16" s="19" cm="1">
        <f t="array" ref="J16">_xlfn.IFNA(INDEX(VEU_Activities[SEF],MATCH(1,("3C"=VEU_Activities[Activity])*($D16=VEU_Activities[Load Size])*("Metropolitan"=VEU_Activities[Region]),0)),"")</f>
        <v>4.17</v>
      </c>
      <c r="K16" s="19" cm="1">
        <f t="array" ref="K16">_xlfn.IFNA(INDEX(VEU_Activities[AEF],MATCH(1,("3C"=VEU_Activities[Activity])*($D16=VEU_Activities[Load Size])*("Metropolitan"=VEU_Activities[Region]),0)),"")</f>
        <v>4.17</v>
      </c>
      <c r="L16" s="20">
        <f t="shared" si="0"/>
        <v>8.8188151230000003</v>
      </c>
      <c r="M16" s="20">
        <f t="shared" si="1"/>
        <v>8.4291061049999989</v>
      </c>
      <c r="N16" s="19" cm="1">
        <f t="array" ref="N16">_xlfn.IFNA(INDEX(VEU_Activities[Abatement],MATCH(1,("3C"=VEU_Activities[Activity])*($D16=VEU_Activities[Load Size])*("Regional"=VEU_Activities[Region]),0)),"")</f>
        <v>13.23</v>
      </c>
      <c r="O16" s="19" cm="1">
        <f t="array" ref="O16">_xlfn.IFNA(INDEX(VEU_Activities[SEF],MATCH(1,("3C"=VEU_Activities[Activity])*($D16=VEU_Activities[Load Size])*("Regional"=VEU_Activities[Region]),0)),"")</f>
        <v>4.17</v>
      </c>
      <c r="P16" s="19" cm="1">
        <f t="array" ref="P16">_xlfn.IFNA(INDEX(VEU_Activities[AEF],MATCH(1,("3C"=VEU_Activities[Activity])*($D16=VEU_Activities[Load Size])*("Regional"=VEU_Activities[Region]),0)),"")</f>
        <v>4.17</v>
      </c>
      <c r="Q16" s="20">
        <f t="shared" si="2"/>
        <v>8.8188151230000003</v>
      </c>
      <c r="R16" s="20">
        <f t="shared" si="3"/>
        <v>8.4291061049999989</v>
      </c>
    </row>
    <row r="17" spans="2:18">
      <c r="B17" s="12" t="s">
        <v>204</v>
      </c>
      <c r="C17" s="12" t="s">
        <v>460</v>
      </c>
      <c r="D17" s="12" t="s">
        <v>28</v>
      </c>
      <c r="E17" s="12">
        <v>2.6871</v>
      </c>
      <c r="F17" s="12">
        <v>0</v>
      </c>
      <c r="G17" s="12">
        <v>2.9209999999999998</v>
      </c>
      <c r="H17" s="12">
        <v>0</v>
      </c>
      <c r="I17" s="19" cm="1">
        <f t="array" ref="I17">_xlfn.IFNA(INDEX(VEU_Activities[Abatement],MATCH(1,("3C"=VEU_Activities[Activity])*($D17=VEU_Activities[Load Size])*("Metropolitan"=VEU_Activities[Region]),0)),"")</f>
        <v>13.23</v>
      </c>
      <c r="J17" s="19" cm="1">
        <f t="array" ref="J17">_xlfn.IFNA(INDEX(VEU_Activities[SEF],MATCH(1,("3C"=VEU_Activities[Activity])*($D17=VEU_Activities[Load Size])*("Metropolitan"=VEU_Activities[Region]),0)),"")</f>
        <v>4.17</v>
      </c>
      <c r="K17" s="19" cm="1">
        <f t="array" ref="K17">_xlfn.IFNA(INDEX(VEU_Activities[AEF],MATCH(1,("3C"=VEU_Activities[Activity])*($D17=VEU_Activities[Load Size])*("Metropolitan"=VEU_Activities[Region]),0)),"")</f>
        <v>4.17</v>
      </c>
      <c r="L17" s="20">
        <f t="shared" si="0"/>
        <v>8.8263536490000014</v>
      </c>
      <c r="M17" s="20">
        <f t="shared" si="1"/>
        <v>8.4430359900000003</v>
      </c>
      <c r="N17" s="19" cm="1">
        <f t="array" ref="N17">_xlfn.IFNA(INDEX(VEU_Activities[Abatement],MATCH(1,("3C"=VEU_Activities[Activity])*($D17=VEU_Activities[Load Size])*("Regional"=VEU_Activities[Region]),0)),"")</f>
        <v>13.23</v>
      </c>
      <c r="O17" s="19" cm="1">
        <f t="array" ref="O17">_xlfn.IFNA(INDEX(VEU_Activities[SEF],MATCH(1,("3C"=VEU_Activities[Activity])*($D17=VEU_Activities[Load Size])*("Regional"=VEU_Activities[Region]),0)),"")</f>
        <v>4.17</v>
      </c>
      <c r="P17" s="19" cm="1">
        <f t="array" ref="P17">_xlfn.IFNA(INDEX(VEU_Activities[AEF],MATCH(1,("3C"=VEU_Activities[Activity])*($D17=VEU_Activities[Load Size])*("Regional"=VEU_Activities[Region]),0)),"")</f>
        <v>4.17</v>
      </c>
      <c r="Q17" s="20">
        <f t="shared" si="2"/>
        <v>8.8263536490000014</v>
      </c>
      <c r="R17" s="20">
        <f t="shared" si="3"/>
        <v>8.4430359900000003</v>
      </c>
    </row>
    <row r="18" spans="2:18">
      <c r="B18" s="12" t="s">
        <v>204</v>
      </c>
      <c r="C18" s="12" t="s">
        <v>206</v>
      </c>
      <c r="D18" s="12" t="s">
        <v>28</v>
      </c>
      <c r="E18" s="12">
        <v>2.4247000000000001</v>
      </c>
      <c r="F18" s="12">
        <v>0</v>
      </c>
      <c r="G18" s="12">
        <v>2.6315</v>
      </c>
      <c r="H18" s="12">
        <v>0</v>
      </c>
      <c r="I18" s="19" cm="1">
        <f t="array" ref="I18">_xlfn.IFNA(INDEX(VEU_Activities[Abatement],MATCH(1,("3C"=VEU_Activities[Activity])*($D18=VEU_Activities[Load Size])*("Metropolitan"=VEU_Activities[Region]),0)),"")</f>
        <v>13.23</v>
      </c>
      <c r="J18" s="19" cm="1">
        <f t="array" ref="J18">_xlfn.IFNA(INDEX(VEU_Activities[SEF],MATCH(1,("3C"=VEU_Activities[Activity])*($D18=VEU_Activities[Load Size])*("Metropolitan"=VEU_Activities[Region]),0)),"")</f>
        <v>4.17</v>
      </c>
      <c r="K18" s="19" cm="1">
        <f t="array" ref="K18">_xlfn.IFNA(INDEX(VEU_Activities[AEF],MATCH(1,("3C"=VEU_Activities[Activity])*($D18=VEU_Activities[Load Size])*("Metropolitan"=VEU_Activities[Region]),0)),"")</f>
        <v>4.17</v>
      </c>
      <c r="L18" s="20">
        <f t="shared" si="0"/>
        <v>9.2563773930000011</v>
      </c>
      <c r="M18" s="20">
        <f t="shared" si="1"/>
        <v>8.9174714850000001</v>
      </c>
      <c r="N18" s="19" cm="1">
        <f t="array" ref="N18">_xlfn.IFNA(INDEX(VEU_Activities[Abatement],MATCH(1,("3C"=VEU_Activities[Activity])*($D18=VEU_Activities[Load Size])*("Regional"=VEU_Activities[Region]),0)),"")</f>
        <v>13.23</v>
      </c>
      <c r="O18" s="19" cm="1">
        <f t="array" ref="O18">_xlfn.IFNA(INDEX(VEU_Activities[SEF],MATCH(1,("3C"=VEU_Activities[Activity])*($D18=VEU_Activities[Load Size])*("Regional"=VEU_Activities[Region]),0)),"")</f>
        <v>4.17</v>
      </c>
      <c r="P18" s="19" cm="1">
        <f t="array" ref="P18">_xlfn.IFNA(INDEX(VEU_Activities[AEF],MATCH(1,("3C"=VEU_Activities[Activity])*($D18=VEU_Activities[Load Size])*("Regional"=VEU_Activities[Region]),0)),"")</f>
        <v>4.17</v>
      </c>
      <c r="Q18" s="20">
        <f t="shared" si="2"/>
        <v>9.2563773930000011</v>
      </c>
      <c r="R18" s="20">
        <f t="shared" si="3"/>
        <v>8.9174714850000001</v>
      </c>
    </row>
    <row r="19" spans="2:18">
      <c r="B19" s="12" t="s">
        <v>204</v>
      </c>
      <c r="C19" s="12" t="s">
        <v>205</v>
      </c>
      <c r="D19" s="12" t="s">
        <v>28</v>
      </c>
      <c r="E19" s="12">
        <v>2.6819000000000002</v>
      </c>
      <c r="F19" s="12">
        <v>0</v>
      </c>
      <c r="G19" s="12">
        <v>2.9533999999999998</v>
      </c>
      <c r="H19" s="12">
        <v>0</v>
      </c>
      <c r="I19" s="19" cm="1">
        <f t="array" ref="I19">_xlfn.IFNA(INDEX(VEU_Activities[Abatement],MATCH(1,("3C"=VEU_Activities[Activity])*($D19=VEU_Activities[Load Size])*("Metropolitan"=VEU_Activities[Region]),0)),"")</f>
        <v>13.23</v>
      </c>
      <c r="J19" s="19" cm="1">
        <f t="array" ref="J19">_xlfn.IFNA(INDEX(VEU_Activities[SEF],MATCH(1,("3C"=VEU_Activities[Activity])*($D19=VEU_Activities[Load Size])*("Metropolitan"=VEU_Activities[Region]),0)),"")</f>
        <v>4.17</v>
      </c>
      <c r="K19" s="19" cm="1">
        <f t="array" ref="K19">_xlfn.IFNA(INDEX(VEU_Activities[AEF],MATCH(1,("3C"=VEU_Activities[Activity])*($D19=VEU_Activities[Load Size])*("Metropolitan"=VEU_Activities[Region]),0)),"")</f>
        <v>4.17</v>
      </c>
      <c r="L19" s="20">
        <f t="shared" si="0"/>
        <v>8.8348754609999993</v>
      </c>
      <c r="M19" s="20">
        <f t="shared" si="1"/>
        <v>8.3899385459999998</v>
      </c>
      <c r="N19" s="19" cm="1">
        <f t="array" ref="N19">_xlfn.IFNA(INDEX(VEU_Activities[Abatement],MATCH(1,("3C"=VEU_Activities[Activity])*($D19=VEU_Activities[Load Size])*("Regional"=VEU_Activities[Region]),0)),"")</f>
        <v>13.23</v>
      </c>
      <c r="O19" s="19" cm="1">
        <f t="array" ref="O19">_xlfn.IFNA(INDEX(VEU_Activities[SEF],MATCH(1,("3C"=VEU_Activities[Activity])*($D19=VEU_Activities[Load Size])*("Regional"=VEU_Activities[Region]),0)),"")</f>
        <v>4.17</v>
      </c>
      <c r="P19" s="19" cm="1">
        <f t="array" ref="P19">_xlfn.IFNA(INDEX(VEU_Activities[AEF],MATCH(1,("3C"=VEU_Activities[Activity])*($D19=VEU_Activities[Load Size])*("Regional"=VEU_Activities[Region]),0)),"")</f>
        <v>4.17</v>
      </c>
      <c r="Q19" s="20">
        <f t="shared" si="2"/>
        <v>8.8348754609999993</v>
      </c>
      <c r="R19" s="20">
        <f t="shared" si="3"/>
        <v>8.3899385459999998</v>
      </c>
    </row>
    <row r="20" spans="2:18">
      <c r="B20" s="12" t="s">
        <v>203</v>
      </c>
      <c r="C20" s="12" t="s">
        <v>201</v>
      </c>
      <c r="D20" s="12" t="s">
        <v>28</v>
      </c>
      <c r="E20" s="12">
        <v>2.746</v>
      </c>
      <c r="F20" s="12">
        <v>0</v>
      </c>
      <c r="G20" s="12">
        <v>3.0129999999999999</v>
      </c>
      <c r="H20" s="12">
        <v>0</v>
      </c>
      <c r="I20" s="19" cm="1">
        <f t="array" ref="I20">_xlfn.IFNA(INDEX(VEU_Activities[Abatement],MATCH(1,("3C"=VEU_Activities[Activity])*($D20=VEU_Activities[Load Size])*("Metropolitan"=VEU_Activities[Region]),0)),"")</f>
        <v>13.23</v>
      </c>
      <c r="J20" s="19" cm="1">
        <f t="array" ref="J20">_xlfn.IFNA(INDEX(VEU_Activities[SEF],MATCH(1,("3C"=VEU_Activities[Activity])*($D20=VEU_Activities[Load Size])*("Metropolitan"=VEU_Activities[Region]),0)),"")</f>
        <v>4.17</v>
      </c>
      <c r="K20" s="19" cm="1">
        <f t="array" ref="K20">_xlfn.IFNA(INDEX(VEU_Activities[AEF],MATCH(1,("3C"=VEU_Activities[Activity])*($D20=VEU_Activities[Load Size])*("Metropolitan"=VEU_Activities[Region]),0)),"")</f>
        <v>4.17</v>
      </c>
      <c r="L20" s="20">
        <f t="shared" si="0"/>
        <v>8.7298277400000011</v>
      </c>
      <c r="M20" s="20">
        <f t="shared" si="1"/>
        <v>8.2922654700000002</v>
      </c>
      <c r="N20" s="19" cm="1">
        <f t="array" ref="N20">_xlfn.IFNA(INDEX(VEU_Activities[Abatement],MATCH(1,("3C"=VEU_Activities[Activity])*($D20=VEU_Activities[Load Size])*("Regional"=VEU_Activities[Region]),0)),"")</f>
        <v>13.23</v>
      </c>
      <c r="O20" s="19" cm="1">
        <f t="array" ref="O20">_xlfn.IFNA(INDEX(VEU_Activities[SEF],MATCH(1,("3C"=VEU_Activities[Activity])*($D20=VEU_Activities[Load Size])*("Regional"=VEU_Activities[Region]),0)),"")</f>
        <v>4.17</v>
      </c>
      <c r="P20" s="19" cm="1">
        <f t="array" ref="P20">_xlfn.IFNA(INDEX(VEU_Activities[AEF],MATCH(1,("3C"=VEU_Activities[Activity])*($D20=VEU_Activities[Load Size])*("Regional"=VEU_Activities[Region]),0)),"")</f>
        <v>4.17</v>
      </c>
      <c r="Q20" s="20">
        <f t="shared" si="2"/>
        <v>8.7298277400000011</v>
      </c>
      <c r="R20" s="20">
        <f t="shared" si="3"/>
        <v>8.2922654700000002</v>
      </c>
    </row>
    <row r="21" spans="2:18">
      <c r="B21" s="12" t="s">
        <v>203</v>
      </c>
      <c r="C21" s="12" t="s">
        <v>202</v>
      </c>
      <c r="D21" s="12" t="s">
        <v>28</v>
      </c>
      <c r="E21" s="12">
        <v>2.8029999999999999</v>
      </c>
      <c r="F21" s="12">
        <v>0</v>
      </c>
      <c r="G21" s="12">
        <v>3.097</v>
      </c>
      <c r="H21" s="12">
        <v>0</v>
      </c>
      <c r="I21" s="19" cm="1">
        <f t="array" ref="I21">_xlfn.IFNA(INDEX(VEU_Activities[Abatement],MATCH(1,("3C"=VEU_Activities[Activity])*($D21=VEU_Activities[Load Size])*("Metropolitan"=VEU_Activities[Region]),0)),"")</f>
        <v>13.23</v>
      </c>
      <c r="J21" s="19" cm="1">
        <f t="array" ref="J21">_xlfn.IFNA(INDEX(VEU_Activities[SEF],MATCH(1,("3C"=VEU_Activities[Activity])*($D21=VEU_Activities[Load Size])*("Metropolitan"=VEU_Activities[Region]),0)),"")</f>
        <v>4.17</v>
      </c>
      <c r="K21" s="19" cm="1">
        <f t="array" ref="K21">_xlfn.IFNA(INDEX(VEU_Activities[AEF],MATCH(1,("3C"=VEU_Activities[Activity])*($D21=VEU_Activities[Load Size])*("Metropolitan"=VEU_Activities[Region]),0)),"")</f>
        <v>4.17</v>
      </c>
      <c r="L21" s="20">
        <f t="shared" si="0"/>
        <v>8.6364155700000005</v>
      </c>
      <c r="M21" s="20">
        <f t="shared" si="1"/>
        <v>8.1546054300000002</v>
      </c>
      <c r="N21" s="19" cm="1">
        <f t="array" ref="N21">_xlfn.IFNA(INDEX(VEU_Activities[Abatement],MATCH(1,("3C"=VEU_Activities[Activity])*($D21=VEU_Activities[Load Size])*("Regional"=VEU_Activities[Region]),0)),"")</f>
        <v>13.23</v>
      </c>
      <c r="O21" s="19" cm="1">
        <f t="array" ref="O21">_xlfn.IFNA(INDEX(VEU_Activities[SEF],MATCH(1,("3C"=VEU_Activities[Activity])*($D21=VEU_Activities[Load Size])*("Regional"=VEU_Activities[Region]),0)),"")</f>
        <v>4.17</v>
      </c>
      <c r="P21" s="19" cm="1">
        <f t="array" ref="P21">_xlfn.IFNA(INDEX(VEU_Activities[AEF],MATCH(1,("3C"=VEU_Activities[Activity])*($D21=VEU_Activities[Load Size])*("Regional"=VEU_Activities[Region]),0)),"")</f>
        <v>4.17</v>
      </c>
      <c r="Q21" s="20">
        <f t="shared" si="2"/>
        <v>8.6364155700000005</v>
      </c>
      <c r="R21" s="20">
        <f t="shared" si="3"/>
        <v>8.1546054300000002</v>
      </c>
    </row>
    <row r="22" spans="2:18">
      <c r="B22" s="12" t="s">
        <v>203</v>
      </c>
      <c r="C22" s="12" t="s">
        <v>551</v>
      </c>
      <c r="D22" s="12" t="s">
        <v>28</v>
      </c>
      <c r="E22" s="12">
        <v>2.8826999999999998</v>
      </c>
      <c r="F22" s="12">
        <v>0</v>
      </c>
      <c r="G22" s="12">
        <v>3.1753999999999998</v>
      </c>
      <c r="H22" s="12">
        <v>0</v>
      </c>
      <c r="I22" s="19" cm="1">
        <f t="array" ref="I22">_xlfn.IFNA(INDEX(VEU_Activities[Abatement],MATCH(1,("3C"=VEU_Activities[Activity])*($D22=VEU_Activities[Load Size])*("Metropolitan"=VEU_Activities[Region]),0)),"")</f>
        <v>13.23</v>
      </c>
      <c r="J22" s="19" cm="1">
        <f t="array" ref="J22">_xlfn.IFNA(INDEX(VEU_Activities[SEF],MATCH(1,("3C"=VEU_Activities[Activity])*($D22=VEU_Activities[Load Size])*("Metropolitan"=VEU_Activities[Region]),0)),"")</f>
        <v>4.17</v>
      </c>
      <c r="K22" s="19" cm="1">
        <f t="array" ref="K22">_xlfn.IFNA(INDEX(VEU_Activities[AEF],MATCH(1,("3C"=VEU_Activities[Activity])*($D22=VEU_Activities[Load Size])*("Metropolitan"=VEU_Activities[Region]),0)),"")</f>
        <v>4.17</v>
      </c>
      <c r="L22" s="20">
        <f t="shared" ref="L22:L23" si="4">I22-((J22*$E22)+(K22*$F22))*EEFm</f>
        <v>8.5058024130000014</v>
      </c>
      <c r="M22" s="20">
        <f t="shared" ref="M22:M23" si="5">I22-((J22*$G22)+(K22*$H22))*EEFm</f>
        <v>8.0261227260000005</v>
      </c>
      <c r="N22" s="19" cm="1">
        <f t="array" ref="N22">_xlfn.IFNA(INDEX(VEU_Activities[Abatement],MATCH(1,("3C"=VEU_Activities[Activity])*($D22=VEU_Activities[Load Size])*("Regional"=VEU_Activities[Region]),0)),"")</f>
        <v>13.23</v>
      </c>
      <c r="O22" s="19" cm="1">
        <f t="array" ref="O22">_xlfn.IFNA(INDEX(VEU_Activities[SEF],MATCH(1,("3C"=VEU_Activities[Activity])*($D22=VEU_Activities[Load Size])*("Regional"=VEU_Activities[Region]),0)),"")</f>
        <v>4.17</v>
      </c>
      <c r="P22" s="19" cm="1">
        <f t="array" ref="P22">_xlfn.IFNA(INDEX(VEU_Activities[AEF],MATCH(1,("3C"=VEU_Activities[Activity])*($D22=VEU_Activities[Load Size])*("Regional"=VEU_Activities[Region]),0)),"")</f>
        <v>4.17</v>
      </c>
      <c r="Q22" s="20">
        <f t="shared" ref="Q22:Q23" si="6">N22-((O22*$E22)+(P22*$F22))*EEFm</f>
        <v>8.5058024130000014</v>
      </c>
      <c r="R22" s="20">
        <f t="shared" ref="R22:R23" si="7">N22-((O22*$G22)+(P22*$H22))*EEFm</f>
        <v>8.0261227260000005</v>
      </c>
    </row>
    <row r="23" spans="2:18">
      <c r="B23" s="12" t="s">
        <v>203</v>
      </c>
      <c r="C23" s="12" t="s">
        <v>552</v>
      </c>
      <c r="D23" s="12" t="s">
        <v>28</v>
      </c>
      <c r="E23" s="12">
        <v>2.8826999999999998</v>
      </c>
      <c r="F23" s="12">
        <v>0</v>
      </c>
      <c r="G23" s="12">
        <v>3.1753999999999998</v>
      </c>
      <c r="H23" s="12">
        <v>0</v>
      </c>
      <c r="I23" s="19" cm="1">
        <f t="array" ref="I23">_xlfn.IFNA(INDEX(VEU_Activities[Abatement],MATCH(1,("3C"=VEU_Activities[Activity])*($D23=VEU_Activities[Load Size])*("Metropolitan"=VEU_Activities[Region]),0)),"")</f>
        <v>13.23</v>
      </c>
      <c r="J23" s="19" cm="1">
        <f t="array" ref="J23">_xlfn.IFNA(INDEX(VEU_Activities[SEF],MATCH(1,("3C"=VEU_Activities[Activity])*($D23=VEU_Activities[Load Size])*("Metropolitan"=VEU_Activities[Region]),0)),"")</f>
        <v>4.17</v>
      </c>
      <c r="K23" s="19" cm="1">
        <f t="array" ref="K23">_xlfn.IFNA(INDEX(VEU_Activities[AEF],MATCH(1,("3C"=VEU_Activities[Activity])*($D23=VEU_Activities[Load Size])*("Metropolitan"=VEU_Activities[Region]),0)),"")</f>
        <v>4.17</v>
      </c>
      <c r="L23" s="20">
        <f t="shared" si="4"/>
        <v>8.5058024130000014</v>
      </c>
      <c r="M23" s="20">
        <f t="shared" si="5"/>
        <v>8.0261227260000005</v>
      </c>
      <c r="N23" s="19" cm="1">
        <f t="array" ref="N23">_xlfn.IFNA(INDEX(VEU_Activities[Abatement],MATCH(1,("3C"=VEU_Activities[Activity])*($D23=VEU_Activities[Load Size])*("Regional"=VEU_Activities[Region]),0)),"")</f>
        <v>13.23</v>
      </c>
      <c r="O23" s="19" cm="1">
        <f t="array" ref="O23">_xlfn.IFNA(INDEX(VEU_Activities[SEF],MATCH(1,("3C"=VEU_Activities[Activity])*($D23=VEU_Activities[Load Size])*("Regional"=VEU_Activities[Region]),0)),"")</f>
        <v>4.17</v>
      </c>
      <c r="P23" s="19" cm="1">
        <f t="array" ref="P23">_xlfn.IFNA(INDEX(VEU_Activities[AEF],MATCH(1,("3C"=VEU_Activities[Activity])*($D23=VEU_Activities[Load Size])*("Regional"=VEU_Activities[Region]),0)),"")</f>
        <v>4.17</v>
      </c>
      <c r="Q23" s="20">
        <f t="shared" si="6"/>
        <v>8.5058024130000014</v>
      </c>
      <c r="R23" s="20">
        <f t="shared" si="7"/>
        <v>8.0261227260000005</v>
      </c>
    </row>
    <row r="24" spans="2:18">
      <c r="B24" s="12" t="s">
        <v>492</v>
      </c>
      <c r="C24" s="12" t="s">
        <v>504</v>
      </c>
      <c r="D24" s="12" t="s">
        <v>28</v>
      </c>
      <c r="E24" s="12">
        <v>3.3269000000000002</v>
      </c>
      <c r="F24" s="12">
        <v>4.9599999999999998E-2</v>
      </c>
      <c r="G24" s="12">
        <v>4.1662999999999997</v>
      </c>
      <c r="H24" s="12">
        <v>4.7899999999999998E-2</v>
      </c>
      <c r="I24" s="19" cm="1">
        <f t="array" ref="I24">_xlfn.IFNA(INDEX(VEU_Activities[Abatement],MATCH(1,("3C"=VEU_Activities[Activity])*($D24=VEU_Activities[Load Size])*("Metropolitan"=VEU_Activities[Region]),0)),"")</f>
        <v>13.23</v>
      </c>
      <c r="J24" s="19" cm="1">
        <f t="array" ref="J24">_xlfn.IFNA(INDEX(VEU_Activities[SEF],MATCH(1,("3C"=VEU_Activities[Activity])*($D24=VEU_Activities[Load Size])*("Metropolitan"=VEU_Activities[Region]),0)),"")</f>
        <v>4.17</v>
      </c>
      <c r="K24" s="19" cm="1">
        <f t="array" ref="K24">_xlfn.IFNA(INDEX(VEU_Activities[AEF],MATCH(1,("3C"=VEU_Activities[Activity])*($D24=VEU_Activities[Load Size])*("Metropolitan"=VEU_Activities[Region]),0)),"")</f>
        <v>4.17</v>
      </c>
      <c r="L24" s="20">
        <f t="shared" si="0"/>
        <v>7.6965580349999998</v>
      </c>
      <c r="M24" s="20">
        <f t="shared" si="1"/>
        <v>6.3237268980000003</v>
      </c>
      <c r="N24" s="19" cm="1">
        <f t="array" ref="N24">_xlfn.IFNA(INDEX(VEU_Activities[Abatement],MATCH(1,("3C"=VEU_Activities[Activity])*($D24=VEU_Activities[Load Size])*("Regional"=VEU_Activities[Region]),0)),"")</f>
        <v>13.23</v>
      </c>
      <c r="O24" s="19" cm="1">
        <f t="array" ref="O24">_xlfn.IFNA(INDEX(VEU_Activities[SEF],MATCH(1,("3C"=VEU_Activities[Activity])*($D24=VEU_Activities[Load Size])*("Regional"=VEU_Activities[Region]),0)),"")</f>
        <v>4.17</v>
      </c>
      <c r="P24" s="19" cm="1">
        <f t="array" ref="P24">_xlfn.IFNA(INDEX(VEU_Activities[AEF],MATCH(1,("3C"=VEU_Activities[Activity])*($D24=VEU_Activities[Load Size])*("Regional"=VEU_Activities[Region]),0)),"")</f>
        <v>4.17</v>
      </c>
      <c r="Q24" s="20">
        <f t="shared" si="2"/>
        <v>7.6965580349999998</v>
      </c>
      <c r="R24" s="20">
        <f t="shared" si="3"/>
        <v>6.3237268980000003</v>
      </c>
    </row>
    <row r="25" spans="2:18">
      <c r="B25" s="12" t="s">
        <v>492</v>
      </c>
      <c r="C25" s="12" t="s">
        <v>501</v>
      </c>
      <c r="D25" s="12" t="s">
        <v>28</v>
      </c>
      <c r="E25" s="12">
        <v>3.3269000000000002</v>
      </c>
      <c r="F25" s="12">
        <v>4.9599999999999998E-2</v>
      </c>
      <c r="G25" s="12">
        <v>4.1662999999999997</v>
      </c>
      <c r="H25" s="12">
        <v>4.7899999999999998E-2</v>
      </c>
      <c r="I25" s="19" cm="1">
        <f t="array" ref="I25">_xlfn.IFNA(INDEX(VEU_Activities[Abatement],MATCH(1,("3C"=VEU_Activities[Activity])*($D25=VEU_Activities[Load Size])*("Metropolitan"=VEU_Activities[Region]),0)),"")</f>
        <v>13.23</v>
      </c>
      <c r="J25" s="19" cm="1">
        <f t="array" ref="J25">_xlfn.IFNA(INDEX(VEU_Activities[SEF],MATCH(1,("3C"=VEU_Activities[Activity])*($D25=VEU_Activities[Load Size])*("Metropolitan"=VEU_Activities[Region]),0)),"")</f>
        <v>4.17</v>
      </c>
      <c r="K25" s="19" cm="1">
        <f t="array" ref="K25">_xlfn.IFNA(INDEX(VEU_Activities[AEF],MATCH(1,("3C"=VEU_Activities[Activity])*($D25=VEU_Activities[Load Size])*("Metropolitan"=VEU_Activities[Region]),0)),"")</f>
        <v>4.17</v>
      </c>
      <c r="L25" s="20">
        <f t="shared" si="0"/>
        <v>7.6965580349999998</v>
      </c>
      <c r="M25" s="20">
        <f t="shared" si="1"/>
        <v>6.3237268980000003</v>
      </c>
      <c r="N25" s="19" cm="1">
        <f t="array" ref="N25">_xlfn.IFNA(INDEX(VEU_Activities[Abatement],MATCH(1,("3C"=VEU_Activities[Activity])*($D25=VEU_Activities[Load Size])*("Regional"=VEU_Activities[Region]),0)),"")</f>
        <v>13.23</v>
      </c>
      <c r="O25" s="19" cm="1">
        <f t="array" ref="O25">_xlfn.IFNA(INDEX(VEU_Activities[SEF],MATCH(1,("3C"=VEU_Activities[Activity])*($D25=VEU_Activities[Load Size])*("Regional"=VEU_Activities[Region]),0)),"")</f>
        <v>4.17</v>
      </c>
      <c r="P25" s="19" cm="1">
        <f t="array" ref="P25">_xlfn.IFNA(INDEX(VEU_Activities[AEF],MATCH(1,("3C"=VEU_Activities[Activity])*($D25=VEU_Activities[Load Size])*("Regional"=VEU_Activities[Region]),0)),"")</f>
        <v>4.17</v>
      </c>
      <c r="Q25" s="20">
        <f t="shared" si="2"/>
        <v>7.6965580349999998</v>
      </c>
      <c r="R25" s="20">
        <f t="shared" si="3"/>
        <v>6.3237268980000003</v>
      </c>
    </row>
    <row r="26" spans="2:18">
      <c r="B26" s="12" t="s">
        <v>492</v>
      </c>
      <c r="C26" s="12" t="s">
        <v>503</v>
      </c>
      <c r="D26" s="12" t="s">
        <v>28</v>
      </c>
      <c r="E26" s="12">
        <v>3.327</v>
      </c>
      <c r="F26" s="12">
        <v>4.9599999999999998E-2</v>
      </c>
      <c r="G26" s="12">
        <v>4.1660000000000004</v>
      </c>
      <c r="H26" s="12">
        <v>4.7899999999999998E-2</v>
      </c>
      <c r="I26" s="19" cm="1">
        <f t="array" ref="I26">_xlfn.IFNA(INDEX(VEU_Activities[Abatement],MATCH(1,("3C"=VEU_Activities[Activity])*($D26=VEU_Activities[Load Size])*("Metropolitan"=VEU_Activities[Region]),0)),"")</f>
        <v>13.23</v>
      </c>
      <c r="J26" s="19" cm="1">
        <f t="array" ref="J26">_xlfn.IFNA(INDEX(VEU_Activities[SEF],MATCH(1,("3C"=VEU_Activities[Activity])*($D26=VEU_Activities[Load Size])*("Metropolitan"=VEU_Activities[Region]),0)),"")</f>
        <v>4.17</v>
      </c>
      <c r="K26" s="19" cm="1">
        <f t="array" ref="K26">_xlfn.IFNA(INDEX(VEU_Activities[AEF],MATCH(1,("3C"=VEU_Activities[Activity])*($D26=VEU_Activities[Load Size])*("Metropolitan"=VEU_Activities[Region]),0)),"")</f>
        <v>4.17</v>
      </c>
      <c r="L26" s="20">
        <f t="shared" si="0"/>
        <v>7.696394154</v>
      </c>
      <c r="M26" s="20">
        <f t="shared" si="1"/>
        <v>6.3242185409999987</v>
      </c>
      <c r="N26" s="19" cm="1">
        <f t="array" ref="N26">_xlfn.IFNA(INDEX(VEU_Activities[Abatement],MATCH(1,("3C"=VEU_Activities[Activity])*($D26=VEU_Activities[Load Size])*("Regional"=VEU_Activities[Region]),0)),"")</f>
        <v>13.23</v>
      </c>
      <c r="O26" s="19" cm="1">
        <f t="array" ref="O26">_xlfn.IFNA(INDEX(VEU_Activities[SEF],MATCH(1,("3C"=VEU_Activities[Activity])*($D26=VEU_Activities[Load Size])*("Regional"=VEU_Activities[Region]),0)),"")</f>
        <v>4.17</v>
      </c>
      <c r="P26" s="19" cm="1">
        <f t="array" ref="P26">_xlfn.IFNA(INDEX(VEU_Activities[AEF],MATCH(1,("3C"=VEU_Activities[Activity])*($D26=VEU_Activities[Load Size])*("Regional"=VEU_Activities[Region]),0)),"")</f>
        <v>4.17</v>
      </c>
      <c r="Q26" s="20">
        <f t="shared" si="2"/>
        <v>7.696394154</v>
      </c>
      <c r="R26" s="20">
        <f t="shared" si="3"/>
        <v>6.3242185409999987</v>
      </c>
    </row>
    <row r="27" spans="2:18">
      <c r="B27" s="12" t="s">
        <v>492</v>
      </c>
      <c r="C27" s="12" t="s">
        <v>506</v>
      </c>
      <c r="D27" s="12" t="s">
        <v>28</v>
      </c>
      <c r="E27" s="12">
        <v>3.327</v>
      </c>
      <c r="F27" s="12">
        <v>4.9599999999999998E-2</v>
      </c>
      <c r="G27" s="12">
        <v>4.1660000000000004</v>
      </c>
      <c r="H27" s="12">
        <v>4.7899999999999998E-2</v>
      </c>
      <c r="I27" s="19" cm="1">
        <f t="array" ref="I27">_xlfn.IFNA(INDEX(VEU_Activities[Abatement],MATCH(1,("3C"=VEU_Activities[Activity])*($D27=VEU_Activities[Load Size])*("Metropolitan"=VEU_Activities[Region]),0)),"")</f>
        <v>13.23</v>
      </c>
      <c r="J27" s="19" cm="1">
        <f t="array" ref="J27">_xlfn.IFNA(INDEX(VEU_Activities[SEF],MATCH(1,("3C"=VEU_Activities[Activity])*($D27=VEU_Activities[Load Size])*("Metropolitan"=VEU_Activities[Region]),0)),"")</f>
        <v>4.17</v>
      </c>
      <c r="K27" s="19" cm="1">
        <f t="array" ref="K27">_xlfn.IFNA(INDEX(VEU_Activities[AEF],MATCH(1,("3C"=VEU_Activities[Activity])*($D27=VEU_Activities[Load Size])*("Metropolitan"=VEU_Activities[Region]),0)),"")</f>
        <v>4.17</v>
      </c>
      <c r="L27" s="20">
        <f t="shared" si="0"/>
        <v>7.696394154</v>
      </c>
      <c r="M27" s="20">
        <f t="shared" si="1"/>
        <v>6.3242185409999987</v>
      </c>
      <c r="N27" s="19" cm="1">
        <f t="array" ref="N27">_xlfn.IFNA(INDEX(VEU_Activities[Abatement],MATCH(1,("3C"=VEU_Activities[Activity])*($D27=VEU_Activities[Load Size])*("Regional"=VEU_Activities[Region]),0)),"")</f>
        <v>13.23</v>
      </c>
      <c r="O27" s="19" cm="1">
        <f t="array" ref="O27">_xlfn.IFNA(INDEX(VEU_Activities[SEF],MATCH(1,("3C"=VEU_Activities[Activity])*($D27=VEU_Activities[Load Size])*("Regional"=VEU_Activities[Region]),0)),"")</f>
        <v>4.17</v>
      </c>
      <c r="P27" s="19" cm="1">
        <f t="array" ref="P27">_xlfn.IFNA(INDEX(VEU_Activities[AEF],MATCH(1,("3C"=VEU_Activities[Activity])*($D27=VEU_Activities[Load Size])*("Regional"=VEU_Activities[Region]),0)),"")</f>
        <v>4.17</v>
      </c>
      <c r="Q27" s="20">
        <f t="shared" si="2"/>
        <v>7.696394154</v>
      </c>
      <c r="R27" s="20">
        <f t="shared" si="3"/>
        <v>6.3242185409999987</v>
      </c>
    </row>
    <row r="28" spans="2:18">
      <c r="B28" s="12" t="s">
        <v>492</v>
      </c>
      <c r="C28" s="12" t="s">
        <v>497</v>
      </c>
      <c r="D28" s="12" t="s">
        <v>28</v>
      </c>
      <c r="E28" s="12">
        <v>3.5674999999999999</v>
      </c>
      <c r="F28" s="12">
        <v>4.9099999999999998E-2</v>
      </c>
      <c r="G28" s="12">
        <v>4.3624999999999998</v>
      </c>
      <c r="H28" s="12">
        <v>4.7600000000000003E-2</v>
      </c>
      <c r="I28" s="19" cm="1">
        <f t="array" ref="I28">_xlfn.IFNA(INDEX(VEU_Activities[Abatement],MATCH(1,("3C"=VEU_Activities[Activity])*($D28=VEU_Activities[Load Size])*("Metropolitan"=VEU_Activities[Region]),0)),"")</f>
        <v>13.23</v>
      </c>
      <c r="J28" s="19" cm="1">
        <f t="array" ref="J28">_xlfn.IFNA(INDEX(VEU_Activities[SEF],MATCH(1,("3C"=VEU_Activities[Activity])*($D28=VEU_Activities[Load Size])*("Metropolitan"=VEU_Activities[Region]),0)),"")</f>
        <v>4.17</v>
      </c>
      <c r="K28" s="19" cm="1">
        <f t="array" ref="K28">_xlfn.IFNA(INDEX(VEU_Activities[AEF],MATCH(1,("3C"=VEU_Activities[Activity])*($D28=VEU_Activities[Load Size])*("Metropolitan"=VEU_Activities[Region]),0)),"")</f>
        <v>4.17</v>
      </c>
      <c r="L28" s="20">
        <f t="shared" si="0"/>
        <v>7.3030797540000005</v>
      </c>
      <c r="M28" s="20">
        <f t="shared" si="1"/>
        <v>6.0026840190000001</v>
      </c>
      <c r="N28" s="19" cm="1">
        <f t="array" ref="N28">_xlfn.IFNA(INDEX(VEU_Activities[Abatement],MATCH(1,("3C"=VEU_Activities[Activity])*($D28=VEU_Activities[Load Size])*("Regional"=VEU_Activities[Region]),0)),"")</f>
        <v>13.23</v>
      </c>
      <c r="O28" s="19" cm="1">
        <f t="array" ref="O28">_xlfn.IFNA(INDEX(VEU_Activities[SEF],MATCH(1,("3C"=VEU_Activities[Activity])*($D28=VEU_Activities[Load Size])*("Regional"=VEU_Activities[Region]),0)),"")</f>
        <v>4.17</v>
      </c>
      <c r="P28" s="19" cm="1">
        <f t="array" ref="P28">_xlfn.IFNA(INDEX(VEU_Activities[AEF],MATCH(1,("3C"=VEU_Activities[Activity])*($D28=VEU_Activities[Load Size])*("Regional"=VEU_Activities[Region]),0)),"")</f>
        <v>4.17</v>
      </c>
      <c r="Q28" s="20">
        <f t="shared" si="2"/>
        <v>7.3030797540000005</v>
      </c>
      <c r="R28" s="20">
        <f t="shared" si="3"/>
        <v>6.0026840190000001</v>
      </c>
    </row>
    <row r="29" spans="2:18">
      <c r="B29" s="12" t="s">
        <v>492</v>
      </c>
      <c r="C29" s="12" t="s">
        <v>494</v>
      </c>
      <c r="D29" s="12" t="s">
        <v>28</v>
      </c>
      <c r="E29" s="12">
        <v>3.5674999999999999</v>
      </c>
      <c r="F29" s="12">
        <v>4.9099999999999998E-2</v>
      </c>
      <c r="G29" s="12">
        <v>4.3624999999999998</v>
      </c>
      <c r="H29" s="12">
        <v>4.7600000000000003E-2</v>
      </c>
      <c r="I29" s="19" cm="1">
        <f t="array" ref="I29">_xlfn.IFNA(INDEX(VEU_Activities[Abatement],MATCH(1,("3C"=VEU_Activities[Activity])*($D29=VEU_Activities[Load Size])*("Metropolitan"=VEU_Activities[Region]),0)),"")</f>
        <v>13.23</v>
      </c>
      <c r="J29" s="19" cm="1">
        <f t="array" ref="J29">_xlfn.IFNA(INDEX(VEU_Activities[SEF],MATCH(1,("3C"=VEU_Activities[Activity])*($D29=VEU_Activities[Load Size])*("Metropolitan"=VEU_Activities[Region]),0)),"")</f>
        <v>4.17</v>
      </c>
      <c r="K29" s="19" cm="1">
        <f t="array" ref="K29">_xlfn.IFNA(INDEX(VEU_Activities[AEF],MATCH(1,("3C"=VEU_Activities[Activity])*($D29=VEU_Activities[Load Size])*("Metropolitan"=VEU_Activities[Region]),0)),"")</f>
        <v>4.17</v>
      </c>
      <c r="L29" s="20">
        <f t="shared" si="0"/>
        <v>7.3030797540000005</v>
      </c>
      <c r="M29" s="20">
        <f t="shared" si="1"/>
        <v>6.0026840190000001</v>
      </c>
      <c r="N29" s="19" cm="1">
        <f t="array" ref="N29">_xlfn.IFNA(INDEX(VEU_Activities[Abatement],MATCH(1,("3C"=VEU_Activities[Activity])*($D29=VEU_Activities[Load Size])*("Regional"=VEU_Activities[Region]),0)),"")</f>
        <v>13.23</v>
      </c>
      <c r="O29" s="19" cm="1">
        <f t="array" ref="O29">_xlfn.IFNA(INDEX(VEU_Activities[SEF],MATCH(1,("3C"=VEU_Activities[Activity])*($D29=VEU_Activities[Load Size])*("Regional"=VEU_Activities[Region]),0)),"")</f>
        <v>4.17</v>
      </c>
      <c r="P29" s="19" cm="1">
        <f t="array" ref="P29">_xlfn.IFNA(INDEX(VEU_Activities[AEF],MATCH(1,("3C"=VEU_Activities[Activity])*($D29=VEU_Activities[Load Size])*("Regional"=VEU_Activities[Region]),0)),"")</f>
        <v>4.17</v>
      </c>
      <c r="Q29" s="20">
        <f t="shared" si="2"/>
        <v>7.3030797540000005</v>
      </c>
      <c r="R29" s="20">
        <f t="shared" si="3"/>
        <v>6.0026840190000001</v>
      </c>
    </row>
    <row r="30" spans="2:18">
      <c r="B30" s="12" t="s">
        <v>492</v>
      </c>
      <c r="C30" s="12" t="s">
        <v>493</v>
      </c>
      <c r="D30" s="12" t="s">
        <v>28</v>
      </c>
      <c r="E30" s="12">
        <v>3.5680000000000001</v>
      </c>
      <c r="F30" s="12">
        <v>4.9099999999999998E-2</v>
      </c>
      <c r="G30" s="12">
        <v>4.3620000000000001</v>
      </c>
      <c r="H30" s="12">
        <v>4.7600000000000003E-2</v>
      </c>
      <c r="I30" s="19" cm="1">
        <f t="array" ref="I30">_xlfn.IFNA(INDEX(VEU_Activities[Abatement],MATCH(1,("3C"=VEU_Activities[Activity])*($D30=VEU_Activities[Load Size])*("Metropolitan"=VEU_Activities[Region]),0)),"")</f>
        <v>13.23</v>
      </c>
      <c r="J30" s="19" cm="1">
        <f t="array" ref="J30">_xlfn.IFNA(INDEX(VEU_Activities[SEF],MATCH(1,("3C"=VEU_Activities[Activity])*($D30=VEU_Activities[Load Size])*("Metropolitan"=VEU_Activities[Region]),0)),"")</f>
        <v>4.17</v>
      </c>
      <c r="K30" s="19" cm="1">
        <f t="array" ref="K30">_xlfn.IFNA(INDEX(VEU_Activities[AEF],MATCH(1,("3C"=VEU_Activities[Activity])*($D30=VEU_Activities[Load Size])*("Metropolitan"=VEU_Activities[Region]),0)),"")</f>
        <v>4.17</v>
      </c>
      <c r="L30" s="20">
        <f t="shared" si="0"/>
        <v>7.302260349</v>
      </c>
      <c r="M30" s="20">
        <f t="shared" si="1"/>
        <v>6.0035034239999989</v>
      </c>
      <c r="N30" s="19" cm="1">
        <f t="array" ref="N30">_xlfn.IFNA(INDEX(VEU_Activities[Abatement],MATCH(1,("3C"=VEU_Activities[Activity])*($D30=VEU_Activities[Load Size])*("Regional"=VEU_Activities[Region]),0)),"")</f>
        <v>13.23</v>
      </c>
      <c r="O30" s="19" cm="1">
        <f t="array" ref="O30">_xlfn.IFNA(INDEX(VEU_Activities[SEF],MATCH(1,("3C"=VEU_Activities[Activity])*($D30=VEU_Activities[Load Size])*("Regional"=VEU_Activities[Region]),0)),"")</f>
        <v>4.17</v>
      </c>
      <c r="P30" s="19" cm="1">
        <f t="array" ref="P30">_xlfn.IFNA(INDEX(VEU_Activities[AEF],MATCH(1,("3C"=VEU_Activities[Activity])*($D30=VEU_Activities[Load Size])*("Regional"=VEU_Activities[Region]),0)),"")</f>
        <v>4.17</v>
      </c>
      <c r="Q30" s="20">
        <f t="shared" si="2"/>
        <v>7.302260349</v>
      </c>
      <c r="R30" s="20">
        <f t="shared" si="3"/>
        <v>6.0035034239999989</v>
      </c>
    </row>
    <row r="31" spans="2:18">
      <c r="B31" s="12" t="s">
        <v>492</v>
      </c>
      <c r="C31" s="12" t="s">
        <v>495</v>
      </c>
      <c r="D31" s="12" t="s">
        <v>28</v>
      </c>
      <c r="E31" s="12">
        <v>3.5680000000000001</v>
      </c>
      <c r="F31" s="12">
        <v>4.9099999999999998E-2</v>
      </c>
      <c r="G31" s="12">
        <v>4.3620000000000001</v>
      </c>
      <c r="H31" s="12">
        <v>4.7600000000000003E-2</v>
      </c>
      <c r="I31" s="19" cm="1">
        <f t="array" ref="I31">_xlfn.IFNA(INDEX(VEU_Activities[Abatement],MATCH(1,("3C"=VEU_Activities[Activity])*($D31=VEU_Activities[Load Size])*("Metropolitan"=VEU_Activities[Region]),0)),"")</f>
        <v>13.23</v>
      </c>
      <c r="J31" s="19" cm="1">
        <f t="array" ref="J31">_xlfn.IFNA(INDEX(VEU_Activities[SEF],MATCH(1,("3C"=VEU_Activities[Activity])*($D31=VEU_Activities[Load Size])*("Metropolitan"=VEU_Activities[Region]),0)),"")</f>
        <v>4.17</v>
      </c>
      <c r="K31" s="19" cm="1">
        <f t="array" ref="K31">_xlfn.IFNA(INDEX(VEU_Activities[AEF],MATCH(1,("3C"=VEU_Activities[Activity])*($D31=VEU_Activities[Load Size])*("Metropolitan"=VEU_Activities[Region]),0)),"")</f>
        <v>4.17</v>
      </c>
      <c r="L31" s="20">
        <f t="shared" si="0"/>
        <v>7.302260349</v>
      </c>
      <c r="M31" s="20">
        <f t="shared" si="1"/>
        <v>6.0035034239999989</v>
      </c>
      <c r="N31" s="19" cm="1">
        <f t="array" ref="N31">_xlfn.IFNA(INDEX(VEU_Activities[Abatement],MATCH(1,("3C"=VEU_Activities[Activity])*($D31=VEU_Activities[Load Size])*("Regional"=VEU_Activities[Region]),0)),"")</f>
        <v>13.23</v>
      </c>
      <c r="O31" s="19" cm="1">
        <f t="array" ref="O31">_xlfn.IFNA(INDEX(VEU_Activities[SEF],MATCH(1,("3C"=VEU_Activities[Activity])*($D31=VEU_Activities[Load Size])*("Regional"=VEU_Activities[Region]),0)),"")</f>
        <v>4.17</v>
      </c>
      <c r="P31" s="19" cm="1">
        <f t="array" ref="P31">_xlfn.IFNA(INDEX(VEU_Activities[AEF],MATCH(1,("3C"=VEU_Activities[Activity])*($D31=VEU_Activities[Load Size])*("Regional"=VEU_Activities[Region]),0)),"")</f>
        <v>4.17</v>
      </c>
      <c r="Q31" s="20">
        <f t="shared" si="2"/>
        <v>7.302260349</v>
      </c>
      <c r="R31" s="20">
        <f t="shared" si="3"/>
        <v>6.0035034239999989</v>
      </c>
    </row>
    <row r="32" spans="2:18">
      <c r="B32" s="12" t="s">
        <v>492</v>
      </c>
      <c r="C32" s="12" t="s">
        <v>500</v>
      </c>
      <c r="D32" s="12" t="s">
        <v>28</v>
      </c>
      <c r="E32" s="12">
        <v>3.504</v>
      </c>
      <c r="F32" s="12">
        <v>0</v>
      </c>
      <c r="G32" s="12">
        <v>3.8250000000000002</v>
      </c>
      <c r="H32" s="12">
        <v>0</v>
      </c>
      <c r="I32" s="19" cm="1">
        <f t="array" ref="I32">_xlfn.IFNA(INDEX(VEU_Activities[Abatement],MATCH(1,("3C"=VEU_Activities[Activity])*($D32=VEU_Activities[Load Size])*("Metropolitan"=VEU_Activities[Region]),0)),"")</f>
        <v>13.23</v>
      </c>
      <c r="J32" s="19" cm="1">
        <f t="array" ref="J32">_xlfn.IFNA(INDEX(VEU_Activities[SEF],MATCH(1,("3C"=VEU_Activities[Activity])*($D32=VEU_Activities[Load Size])*("Metropolitan"=VEU_Activities[Region]),0)),"")</f>
        <v>4.17</v>
      </c>
      <c r="K32" s="19" cm="1">
        <f t="array" ref="K32">_xlfn.IFNA(INDEX(VEU_Activities[AEF],MATCH(1,("3C"=VEU_Activities[Activity])*($D32=VEU_Activities[Load Size])*("Metropolitan"=VEU_Activities[Region]),0)),"")</f>
        <v>4.17</v>
      </c>
      <c r="L32" s="20">
        <f t="shared" si="0"/>
        <v>7.4876097600000007</v>
      </c>
      <c r="M32" s="20">
        <f t="shared" si="1"/>
        <v>6.9615517499999999</v>
      </c>
      <c r="N32" s="19" cm="1">
        <f t="array" ref="N32">_xlfn.IFNA(INDEX(VEU_Activities[Abatement],MATCH(1,("3C"=VEU_Activities[Activity])*($D32=VEU_Activities[Load Size])*("Regional"=VEU_Activities[Region]),0)),"")</f>
        <v>13.23</v>
      </c>
      <c r="O32" s="19" cm="1">
        <f t="array" ref="O32">_xlfn.IFNA(INDEX(VEU_Activities[SEF],MATCH(1,("3C"=VEU_Activities[Activity])*($D32=VEU_Activities[Load Size])*("Regional"=VEU_Activities[Region]),0)),"")</f>
        <v>4.17</v>
      </c>
      <c r="P32" s="19" cm="1">
        <f t="array" ref="P32">_xlfn.IFNA(INDEX(VEU_Activities[AEF],MATCH(1,("3C"=VEU_Activities[Activity])*($D32=VEU_Activities[Load Size])*("Regional"=VEU_Activities[Region]),0)),"")</f>
        <v>4.17</v>
      </c>
      <c r="Q32" s="20">
        <f t="shared" si="2"/>
        <v>7.4876097600000007</v>
      </c>
      <c r="R32" s="20">
        <f t="shared" si="3"/>
        <v>6.9615517499999999</v>
      </c>
    </row>
    <row r="33" spans="2:18">
      <c r="B33" s="12" t="s">
        <v>492</v>
      </c>
      <c r="C33" s="12" t="s">
        <v>496</v>
      </c>
      <c r="D33" s="12" t="s">
        <v>28</v>
      </c>
      <c r="E33" s="12">
        <v>3.02</v>
      </c>
      <c r="F33" s="12">
        <v>0</v>
      </c>
      <c r="G33" s="12">
        <v>3.3239999999999998</v>
      </c>
      <c r="H33" s="12">
        <v>0</v>
      </c>
      <c r="I33" s="19" cm="1">
        <f t="array" ref="I33">_xlfn.IFNA(INDEX(VEU_Activities[Abatement],MATCH(1,("3C"=VEU_Activities[Activity])*($D33=VEU_Activities[Load Size])*("Metropolitan"=VEU_Activities[Region]),0)),"")</f>
        <v>13.23</v>
      </c>
      <c r="J33" s="19" cm="1">
        <f t="array" ref="J33">_xlfn.IFNA(INDEX(VEU_Activities[SEF],MATCH(1,("3C"=VEU_Activities[Activity])*($D33=VEU_Activities[Load Size])*("Metropolitan"=VEU_Activities[Region]),0)),"")</f>
        <v>4.17</v>
      </c>
      <c r="K33" s="19" cm="1">
        <f t="array" ref="K33">_xlfn.IFNA(INDEX(VEU_Activities[AEF],MATCH(1,("3C"=VEU_Activities[Activity])*($D33=VEU_Activities[Load Size])*("Metropolitan"=VEU_Activities[Region]),0)),"")</f>
        <v>4.17</v>
      </c>
      <c r="L33" s="20">
        <f t="shared" si="0"/>
        <v>8.2807938000000014</v>
      </c>
      <c r="M33" s="20">
        <f t="shared" si="1"/>
        <v>7.7825955600000007</v>
      </c>
      <c r="N33" s="19" cm="1">
        <f t="array" ref="N33">_xlfn.IFNA(INDEX(VEU_Activities[Abatement],MATCH(1,("3C"=VEU_Activities[Activity])*($D33=VEU_Activities[Load Size])*("Regional"=VEU_Activities[Region]),0)),"")</f>
        <v>13.23</v>
      </c>
      <c r="O33" s="19" cm="1">
        <f t="array" ref="O33">_xlfn.IFNA(INDEX(VEU_Activities[SEF],MATCH(1,("3C"=VEU_Activities[Activity])*($D33=VEU_Activities[Load Size])*("Regional"=VEU_Activities[Region]),0)),"")</f>
        <v>4.17</v>
      </c>
      <c r="P33" s="19" cm="1">
        <f t="array" ref="P33">_xlfn.IFNA(INDEX(VEU_Activities[AEF],MATCH(1,("3C"=VEU_Activities[Activity])*($D33=VEU_Activities[Load Size])*("Regional"=VEU_Activities[Region]),0)),"")</f>
        <v>4.17</v>
      </c>
      <c r="Q33" s="20">
        <f t="shared" si="2"/>
        <v>8.2807938000000014</v>
      </c>
      <c r="R33" s="20">
        <f t="shared" si="3"/>
        <v>7.7825955600000007</v>
      </c>
    </row>
    <row r="34" spans="2:18">
      <c r="B34" s="12" t="s">
        <v>492</v>
      </c>
      <c r="C34" s="12" t="s">
        <v>507</v>
      </c>
      <c r="D34" s="12" t="s">
        <v>28</v>
      </c>
      <c r="E34" s="12">
        <v>3.6560000000000001</v>
      </c>
      <c r="F34" s="12">
        <v>0</v>
      </c>
      <c r="G34" s="12">
        <v>4.0110000000000001</v>
      </c>
      <c r="H34" s="12">
        <v>0</v>
      </c>
      <c r="I34" s="19" cm="1">
        <f t="array" ref="I34">_xlfn.IFNA(INDEX(VEU_Activities[Abatement],MATCH(1,("3C"=VEU_Activities[Activity])*($D34=VEU_Activities[Load Size])*("Metropolitan"=VEU_Activities[Region]),0)),"")</f>
        <v>13.23</v>
      </c>
      <c r="J34" s="19" cm="1">
        <f t="array" ref="J34">_xlfn.IFNA(INDEX(VEU_Activities[SEF],MATCH(1,("3C"=VEU_Activities[Activity])*($D34=VEU_Activities[Load Size])*("Metropolitan"=VEU_Activities[Region]),0)),"")</f>
        <v>4.17</v>
      </c>
      <c r="K34" s="19" cm="1">
        <f t="array" ref="K34">_xlfn.IFNA(INDEX(VEU_Activities[AEF],MATCH(1,("3C"=VEU_Activities[Activity])*($D34=VEU_Activities[Load Size])*("Metropolitan"=VEU_Activities[Region]),0)),"")</f>
        <v>4.17</v>
      </c>
      <c r="L34" s="20">
        <f t="shared" si="0"/>
        <v>7.2385106399999994</v>
      </c>
      <c r="M34" s="20">
        <f t="shared" si="1"/>
        <v>6.6567330900000004</v>
      </c>
      <c r="N34" s="19" cm="1">
        <f t="array" ref="N34">_xlfn.IFNA(INDEX(VEU_Activities[Abatement],MATCH(1,("3C"=VEU_Activities[Activity])*($D34=VEU_Activities[Load Size])*("Regional"=VEU_Activities[Region]),0)),"")</f>
        <v>13.23</v>
      </c>
      <c r="O34" s="19" cm="1">
        <f t="array" ref="O34">_xlfn.IFNA(INDEX(VEU_Activities[SEF],MATCH(1,("3C"=VEU_Activities[Activity])*($D34=VEU_Activities[Load Size])*("Regional"=VEU_Activities[Region]),0)),"")</f>
        <v>4.17</v>
      </c>
      <c r="P34" s="19" cm="1">
        <f t="array" ref="P34">_xlfn.IFNA(INDEX(VEU_Activities[AEF],MATCH(1,("3C"=VEU_Activities[Activity])*($D34=VEU_Activities[Load Size])*("Regional"=VEU_Activities[Region]),0)),"")</f>
        <v>4.17</v>
      </c>
      <c r="Q34" s="20">
        <f t="shared" si="2"/>
        <v>7.2385106399999994</v>
      </c>
      <c r="R34" s="20">
        <f t="shared" si="3"/>
        <v>6.6567330900000004</v>
      </c>
    </row>
    <row r="35" spans="2:18">
      <c r="B35" s="12" t="s">
        <v>492</v>
      </c>
      <c r="C35" s="12" t="s">
        <v>499</v>
      </c>
      <c r="D35" s="12" t="s">
        <v>28</v>
      </c>
      <c r="E35" s="12">
        <v>3.8029999999999999</v>
      </c>
      <c r="F35" s="12">
        <v>0</v>
      </c>
      <c r="G35" s="12">
        <v>4.2690000000000001</v>
      </c>
      <c r="H35" s="12">
        <v>0</v>
      </c>
      <c r="I35" s="19" cm="1">
        <f t="array" ref="I35">_xlfn.IFNA(INDEX(VEU_Activities[Abatement],MATCH(1,("3C"=VEU_Activities[Activity])*($D35=VEU_Activities[Load Size])*("Metropolitan"=VEU_Activities[Region]),0)),"")</f>
        <v>13.23</v>
      </c>
      <c r="J35" s="19" cm="1">
        <f t="array" ref="J35">_xlfn.IFNA(INDEX(VEU_Activities[SEF],MATCH(1,("3C"=VEU_Activities[Activity])*($D35=VEU_Activities[Load Size])*("Metropolitan"=VEU_Activities[Region]),0)),"")</f>
        <v>4.17</v>
      </c>
      <c r="K35" s="19" cm="1">
        <f t="array" ref="K35">_xlfn.IFNA(INDEX(VEU_Activities[AEF],MATCH(1,("3C"=VEU_Activities[Activity])*($D35=VEU_Activities[Load Size])*("Metropolitan"=VEU_Activities[Region]),0)),"")</f>
        <v>4.17</v>
      </c>
      <c r="L35" s="20">
        <f t="shared" si="0"/>
        <v>6.9976055700000002</v>
      </c>
      <c r="M35" s="20">
        <f t="shared" si="1"/>
        <v>6.2339201100000006</v>
      </c>
      <c r="N35" s="19" cm="1">
        <f t="array" ref="N35">_xlfn.IFNA(INDEX(VEU_Activities[Abatement],MATCH(1,("3C"=VEU_Activities[Activity])*($D35=VEU_Activities[Load Size])*("Regional"=VEU_Activities[Region]),0)),"")</f>
        <v>13.23</v>
      </c>
      <c r="O35" s="19" cm="1">
        <f t="array" ref="O35">_xlfn.IFNA(INDEX(VEU_Activities[SEF],MATCH(1,("3C"=VEU_Activities[Activity])*($D35=VEU_Activities[Load Size])*("Regional"=VEU_Activities[Region]),0)),"")</f>
        <v>4.17</v>
      </c>
      <c r="P35" s="19" cm="1">
        <f t="array" ref="P35">_xlfn.IFNA(INDEX(VEU_Activities[AEF],MATCH(1,("3C"=VEU_Activities[Activity])*($D35=VEU_Activities[Load Size])*("Regional"=VEU_Activities[Region]),0)),"")</f>
        <v>4.17</v>
      </c>
      <c r="Q35" s="20">
        <f t="shared" si="2"/>
        <v>6.9976055700000002</v>
      </c>
      <c r="R35" s="20">
        <f t="shared" si="3"/>
        <v>6.2339201100000006</v>
      </c>
    </row>
    <row r="36" spans="2:18">
      <c r="B36" s="92"/>
      <c r="C36" s="92"/>
      <c r="D36" s="65"/>
      <c r="E36" s="92"/>
      <c r="F36" s="92"/>
      <c r="G36" s="65"/>
      <c r="H36" s="92"/>
      <c r="I36" s="92"/>
      <c r="J36" s="65"/>
      <c r="K36" s="92"/>
      <c r="L36" s="92"/>
      <c r="M36" s="65"/>
      <c r="N36" s="92"/>
      <c r="O36" s="92"/>
      <c r="P36" s="65"/>
      <c r="Q36" s="92"/>
      <c r="R36" s="92"/>
    </row>
    <row r="37" spans="2:18">
      <c r="B37" s="92"/>
      <c r="C37" s="92"/>
      <c r="D37" s="92"/>
      <c r="E37" s="92"/>
      <c r="F37" s="92"/>
      <c r="G37" s="92"/>
      <c r="H37" s="92"/>
      <c r="I37" s="93"/>
      <c r="J37" s="93"/>
      <c r="K37" s="93"/>
      <c r="L37" s="100"/>
      <c r="M37" s="100"/>
      <c r="N37" s="93"/>
      <c r="O37" s="93"/>
      <c r="P37" s="93"/>
      <c r="Q37" s="100"/>
      <c r="R37" s="100"/>
    </row>
    <row r="38" spans="2:18">
      <c r="B38" s="92"/>
      <c r="C38" s="92"/>
      <c r="D38" s="92"/>
      <c r="E38" s="92"/>
      <c r="F38" s="92"/>
      <c r="G38" s="92"/>
      <c r="H38" s="92"/>
      <c r="I38" s="93"/>
      <c r="J38" s="93"/>
      <c r="K38" s="93"/>
      <c r="L38" s="100"/>
      <c r="M38" s="100"/>
      <c r="N38" s="93"/>
      <c r="O38" s="93"/>
      <c r="P38" s="93"/>
      <c r="Q38" s="100"/>
      <c r="R38" s="100"/>
    </row>
    <row r="39" spans="2:18">
      <c r="B39" s="92"/>
      <c r="C39" s="92"/>
      <c r="D39" s="92"/>
      <c r="E39" s="92"/>
      <c r="F39" s="92"/>
      <c r="G39" s="92"/>
      <c r="H39" s="92"/>
      <c r="I39" s="93"/>
      <c r="J39" s="93"/>
      <c r="K39" s="93"/>
      <c r="L39" s="100"/>
      <c r="M39" s="100"/>
      <c r="N39" s="93"/>
      <c r="O39" s="93"/>
      <c r="P39" s="93"/>
      <c r="Q39" s="100"/>
      <c r="R39" s="100"/>
    </row>
    <row r="40" spans="2:18">
      <c r="B40" s="92"/>
      <c r="C40" s="92"/>
      <c r="D40" s="92"/>
      <c r="E40" s="92"/>
      <c r="F40" s="92"/>
      <c r="G40" s="92"/>
      <c r="H40" s="92"/>
      <c r="I40" s="93"/>
      <c r="J40" s="93"/>
      <c r="K40" s="93"/>
      <c r="L40" s="100"/>
      <c r="M40" s="100"/>
      <c r="N40" s="93"/>
      <c r="O40" s="93"/>
      <c r="P40" s="93"/>
      <c r="Q40" s="100"/>
      <c r="R40" s="100"/>
    </row>
    <row r="41" spans="2:18">
      <c r="B41" s="92"/>
      <c r="C41" s="92"/>
      <c r="D41" s="92"/>
      <c r="E41" s="92"/>
      <c r="F41" s="92"/>
      <c r="G41" s="92"/>
      <c r="H41" s="92"/>
      <c r="I41" s="93"/>
      <c r="J41" s="93"/>
      <c r="K41" s="93"/>
      <c r="L41" s="100"/>
      <c r="M41" s="100"/>
      <c r="N41" s="93"/>
      <c r="O41" s="93"/>
      <c r="P41" s="93"/>
      <c r="Q41" s="100"/>
      <c r="R41" s="100"/>
    </row>
    <row r="42" spans="2:18">
      <c r="B42" s="92"/>
      <c r="C42" s="92"/>
      <c r="D42" s="92"/>
      <c r="E42" s="92"/>
      <c r="F42" s="92"/>
      <c r="G42" s="92"/>
      <c r="H42" s="92"/>
      <c r="I42" s="93"/>
      <c r="J42" s="93"/>
      <c r="K42" s="93"/>
      <c r="L42" s="100"/>
      <c r="M42" s="100"/>
      <c r="N42" s="93"/>
      <c r="O42" s="93"/>
      <c r="P42" s="93"/>
      <c r="Q42" s="100"/>
      <c r="R42" s="100"/>
    </row>
    <row r="43" spans="2:18">
      <c r="B43" s="92"/>
      <c r="C43" s="92"/>
      <c r="D43" s="92"/>
      <c r="E43" s="92"/>
      <c r="F43" s="92"/>
      <c r="G43" s="92"/>
      <c r="H43" s="92"/>
      <c r="I43" s="93"/>
      <c r="J43" s="93"/>
      <c r="K43" s="93"/>
      <c r="L43" s="100"/>
      <c r="M43" s="100"/>
      <c r="N43" s="93"/>
      <c r="O43" s="93"/>
      <c r="P43" s="93"/>
      <c r="Q43" s="100"/>
      <c r="R43" s="100"/>
    </row>
    <row r="44" spans="2:18" ht="15" customHeight="1">
      <c r="B44" s="92"/>
      <c r="C44" s="92"/>
      <c r="D44" s="92"/>
      <c r="E44" s="92"/>
      <c r="F44" s="92"/>
      <c r="G44" s="92"/>
      <c r="H44" s="92"/>
      <c r="I44" s="93"/>
      <c r="J44" s="93"/>
      <c r="K44" s="93"/>
      <c r="L44" s="100"/>
      <c r="M44" s="100"/>
      <c r="N44" s="93"/>
      <c r="O44" s="93"/>
      <c r="P44" s="93"/>
      <c r="Q44" s="100"/>
      <c r="R44" s="100"/>
    </row>
    <row r="45" spans="2:18" ht="15" customHeight="1">
      <c r="B45" s="92"/>
      <c r="C45" s="92"/>
      <c r="D45" s="92"/>
      <c r="E45" s="92"/>
      <c r="F45" s="92"/>
      <c r="G45" s="92"/>
      <c r="H45" s="92"/>
      <c r="I45" s="93"/>
      <c r="J45" s="93"/>
      <c r="K45" s="93"/>
      <c r="L45" s="100"/>
      <c r="M45" s="100"/>
      <c r="N45" s="93"/>
      <c r="O45" s="93"/>
      <c r="P45" s="93"/>
      <c r="Q45" s="100"/>
      <c r="R45" s="100"/>
    </row>
    <row r="46" spans="2:18" ht="15" customHeight="1">
      <c r="B46" s="92"/>
      <c r="C46" s="92"/>
      <c r="D46" s="92"/>
      <c r="E46" s="92"/>
      <c r="F46" s="92"/>
      <c r="G46" s="92"/>
      <c r="H46" s="92"/>
      <c r="I46" s="93"/>
      <c r="J46" s="93"/>
      <c r="K46" s="93"/>
      <c r="L46" s="100"/>
      <c r="M46" s="100"/>
      <c r="N46" s="93"/>
      <c r="O46" s="93"/>
      <c r="P46" s="93"/>
      <c r="Q46" s="100"/>
      <c r="R46" s="100"/>
    </row>
    <row r="47" spans="2:18" ht="15" customHeight="1">
      <c r="B47" s="92"/>
      <c r="C47" s="92"/>
      <c r="D47" s="92"/>
      <c r="E47" s="92"/>
      <c r="F47" s="92"/>
      <c r="G47" s="92"/>
      <c r="H47" s="92"/>
      <c r="I47" s="93"/>
      <c r="J47" s="93"/>
      <c r="K47" s="93"/>
      <c r="L47" s="100"/>
      <c r="M47" s="100"/>
      <c r="N47" s="93"/>
      <c r="O47" s="93"/>
      <c r="P47" s="93"/>
      <c r="Q47" s="100"/>
      <c r="R47" s="100"/>
    </row>
    <row r="48" spans="2:18">
      <c r="B48" s="92"/>
      <c r="C48" s="92"/>
      <c r="D48" s="92"/>
      <c r="E48" s="92"/>
      <c r="F48" s="92"/>
      <c r="G48" s="92"/>
      <c r="H48" s="92"/>
      <c r="I48" s="93"/>
      <c r="J48" s="93"/>
      <c r="K48" s="93"/>
      <c r="L48" s="100"/>
      <c r="M48" s="100"/>
      <c r="N48" s="93"/>
      <c r="O48" s="93"/>
      <c r="P48" s="93"/>
      <c r="Q48" s="100"/>
      <c r="R48" s="100"/>
    </row>
    <row r="49" spans="2:18">
      <c r="B49" s="92"/>
      <c r="C49" s="92"/>
      <c r="D49" s="92"/>
      <c r="E49" s="92"/>
      <c r="F49" s="92"/>
      <c r="G49" s="92"/>
      <c r="H49" s="92"/>
      <c r="I49" s="93"/>
      <c r="J49" s="93"/>
      <c r="K49" s="93"/>
      <c r="L49" s="100"/>
      <c r="M49" s="100"/>
      <c r="N49" s="93"/>
      <c r="O49" s="93"/>
      <c r="P49" s="93"/>
      <c r="Q49" s="100"/>
      <c r="R49" s="100"/>
    </row>
    <row r="50" spans="2:18">
      <c r="B50" s="92"/>
      <c r="C50" s="92"/>
      <c r="D50" s="92"/>
      <c r="E50" s="92"/>
      <c r="F50" s="92"/>
      <c r="G50" s="92"/>
      <c r="H50" s="92"/>
      <c r="I50" s="93"/>
      <c r="J50" s="93"/>
      <c r="K50" s="93"/>
      <c r="L50" s="100"/>
      <c r="M50" s="100"/>
      <c r="N50" s="93"/>
      <c r="O50" s="93"/>
      <c r="P50" s="93"/>
      <c r="Q50" s="100"/>
      <c r="R50" s="100"/>
    </row>
    <row r="51" spans="2:18">
      <c r="B51" s="92"/>
      <c r="C51" s="92"/>
      <c r="D51" s="92"/>
      <c r="E51" s="92"/>
      <c r="F51" s="92"/>
      <c r="G51" s="92"/>
      <c r="H51" s="92"/>
      <c r="I51" s="93"/>
      <c r="J51" s="93"/>
      <c r="K51" s="93"/>
      <c r="L51" s="100"/>
      <c r="M51" s="100"/>
      <c r="N51" s="93"/>
      <c r="O51" s="93"/>
      <c r="P51" s="93"/>
      <c r="Q51" s="100"/>
      <c r="R51" s="100"/>
    </row>
    <row r="52" spans="2:18">
      <c r="B52" s="92"/>
      <c r="C52" s="92"/>
      <c r="D52" s="92"/>
      <c r="E52" s="92"/>
      <c r="F52" s="92"/>
      <c r="G52" s="92"/>
      <c r="H52" s="92"/>
      <c r="I52" s="93"/>
      <c r="J52" s="93"/>
      <c r="K52" s="93"/>
      <c r="L52" s="100"/>
      <c r="M52" s="100"/>
      <c r="N52" s="93"/>
      <c r="O52" s="93"/>
      <c r="P52" s="93"/>
      <c r="Q52" s="100"/>
      <c r="R52" s="100"/>
    </row>
    <row r="53" spans="2:18">
      <c r="B53" s="92"/>
      <c r="C53" s="92"/>
      <c r="D53" s="92"/>
      <c r="E53" s="92"/>
      <c r="F53" s="92"/>
      <c r="G53" s="92"/>
      <c r="H53" s="92"/>
      <c r="I53" s="93"/>
      <c r="J53" s="93"/>
      <c r="K53" s="93"/>
      <c r="L53" s="100"/>
      <c r="M53" s="100"/>
      <c r="N53" s="93"/>
      <c r="O53" s="93"/>
      <c r="P53" s="93"/>
      <c r="Q53" s="100"/>
      <c r="R53" s="100"/>
    </row>
    <row r="54" spans="2:18">
      <c r="B54" s="92"/>
      <c r="C54" s="92"/>
      <c r="D54" s="92"/>
      <c r="E54" s="92"/>
      <c r="F54" s="92"/>
      <c r="G54" s="92"/>
      <c r="H54" s="92"/>
      <c r="I54" s="93"/>
      <c r="J54" s="93"/>
      <c r="K54" s="93"/>
      <c r="L54" s="100"/>
      <c r="M54" s="100"/>
      <c r="N54" s="93"/>
      <c r="O54" s="93"/>
      <c r="P54" s="93"/>
      <c r="Q54" s="100"/>
      <c r="R54" s="100"/>
    </row>
    <row r="55" spans="2:18">
      <c r="B55" s="92"/>
      <c r="C55" s="92"/>
      <c r="D55" s="92"/>
      <c r="E55" s="92"/>
      <c r="F55" s="92"/>
      <c r="G55" s="92"/>
      <c r="H55" s="92"/>
      <c r="I55" s="93"/>
      <c r="J55" s="93"/>
      <c r="K55" s="93"/>
      <c r="L55" s="100"/>
      <c r="M55" s="100"/>
      <c r="N55" s="93"/>
      <c r="O55" s="93"/>
      <c r="P55" s="93"/>
      <c r="Q55" s="100"/>
      <c r="R55" s="100"/>
    </row>
    <row r="56" spans="2:18">
      <c r="B56" s="92"/>
      <c r="C56" s="92"/>
      <c r="D56" s="92"/>
      <c r="E56" s="92"/>
      <c r="F56" s="92"/>
      <c r="G56" s="92"/>
      <c r="H56" s="92"/>
      <c r="I56" s="93"/>
      <c r="J56" s="93"/>
      <c r="K56" s="93"/>
      <c r="L56" s="100"/>
      <c r="M56" s="100"/>
      <c r="N56" s="93"/>
      <c r="O56" s="93"/>
      <c r="P56" s="93"/>
      <c r="Q56" s="100"/>
      <c r="R56" s="100"/>
    </row>
    <row r="57" spans="2:18">
      <c r="B57" s="92"/>
      <c r="C57" s="92"/>
      <c r="D57" s="92"/>
      <c r="E57" s="92"/>
      <c r="F57" s="92"/>
      <c r="G57" s="92"/>
      <c r="H57" s="92"/>
      <c r="I57" s="93"/>
      <c r="J57" s="93"/>
      <c r="K57" s="93"/>
      <c r="L57" s="100"/>
      <c r="M57" s="100"/>
      <c r="N57" s="93"/>
      <c r="O57" s="93"/>
      <c r="P57" s="93"/>
      <c r="Q57" s="100"/>
      <c r="R57" s="100"/>
    </row>
    <row r="58" spans="2:18">
      <c r="B58" s="92"/>
      <c r="C58" s="92"/>
      <c r="D58" s="92"/>
      <c r="E58" s="92"/>
      <c r="F58" s="92"/>
      <c r="G58" s="92"/>
      <c r="H58" s="92"/>
      <c r="I58" s="93"/>
      <c r="J58" s="93"/>
      <c r="K58" s="93"/>
      <c r="L58" s="100"/>
      <c r="M58" s="100"/>
      <c r="N58" s="93"/>
      <c r="O58" s="93"/>
      <c r="P58" s="93"/>
      <c r="Q58" s="100"/>
      <c r="R58" s="100"/>
    </row>
    <row r="59" spans="2:18">
      <c r="B59" s="92"/>
      <c r="C59" s="92"/>
      <c r="D59" s="92"/>
      <c r="E59" s="92"/>
      <c r="F59" s="92"/>
      <c r="G59" s="92"/>
      <c r="H59" s="92"/>
      <c r="I59" s="93"/>
      <c r="J59" s="93"/>
      <c r="K59" s="93"/>
      <c r="L59" s="100"/>
      <c r="M59" s="100"/>
      <c r="N59" s="93"/>
      <c r="O59" s="93"/>
      <c r="P59" s="93"/>
      <c r="Q59" s="100"/>
      <c r="R59" s="100"/>
    </row>
    <row r="60" spans="2:18">
      <c r="B60" s="92"/>
      <c r="C60" s="92"/>
      <c r="D60" s="92"/>
      <c r="E60" s="92"/>
      <c r="F60" s="92"/>
      <c r="G60" s="92"/>
      <c r="H60" s="92"/>
      <c r="I60" s="93"/>
      <c r="J60" s="93"/>
      <c r="K60" s="93"/>
      <c r="L60" s="100"/>
      <c r="M60" s="100"/>
      <c r="N60" s="93"/>
      <c r="O60" s="93"/>
      <c r="P60" s="93"/>
      <c r="Q60" s="100"/>
      <c r="R60" s="100"/>
    </row>
    <row r="61" spans="2:18">
      <c r="B61" s="92"/>
      <c r="C61" s="92"/>
      <c r="D61" s="92"/>
      <c r="E61" s="92"/>
      <c r="F61" s="92"/>
      <c r="G61" s="92"/>
      <c r="H61" s="92"/>
      <c r="I61" s="93"/>
      <c r="J61" s="93"/>
      <c r="K61" s="93"/>
      <c r="L61" s="100"/>
      <c r="M61" s="100"/>
      <c r="N61" s="93"/>
      <c r="O61" s="93"/>
      <c r="P61" s="93"/>
      <c r="Q61" s="100"/>
      <c r="R61" s="100"/>
    </row>
    <row r="62" spans="2:18">
      <c r="B62" s="92"/>
      <c r="C62" s="92"/>
      <c r="D62" s="92"/>
      <c r="E62" s="92"/>
      <c r="F62" s="92"/>
      <c r="G62" s="92"/>
      <c r="H62" s="92"/>
      <c r="I62" s="93"/>
      <c r="J62" s="93"/>
      <c r="K62" s="93"/>
      <c r="L62" s="100"/>
      <c r="M62" s="100"/>
      <c r="N62" s="93"/>
      <c r="O62" s="93"/>
      <c r="P62" s="93"/>
      <c r="Q62" s="100"/>
      <c r="R62" s="100"/>
    </row>
    <row r="63" spans="2:18">
      <c r="B63" s="92"/>
      <c r="C63" s="92"/>
      <c r="D63" s="92"/>
      <c r="E63" s="92"/>
      <c r="F63" s="92"/>
      <c r="G63" s="92"/>
      <c r="H63" s="92"/>
      <c r="I63" s="93"/>
      <c r="J63" s="93"/>
      <c r="K63" s="93"/>
      <c r="L63" s="100"/>
      <c r="M63" s="100"/>
      <c r="N63" s="93"/>
      <c r="O63" s="93"/>
      <c r="P63" s="93"/>
      <c r="Q63" s="100"/>
      <c r="R63" s="100"/>
    </row>
    <row r="64" spans="2:18">
      <c r="B64" s="92"/>
      <c r="C64" s="92"/>
      <c r="D64" s="92"/>
      <c r="E64" s="92"/>
      <c r="F64" s="92"/>
      <c r="G64" s="92"/>
      <c r="H64" s="92"/>
      <c r="I64" s="93"/>
      <c r="J64" s="93"/>
      <c r="K64" s="93"/>
      <c r="L64" s="100"/>
      <c r="M64" s="100"/>
      <c r="N64" s="93"/>
      <c r="O64" s="93"/>
      <c r="P64" s="93"/>
      <c r="Q64" s="100"/>
      <c r="R64" s="100"/>
    </row>
    <row r="65" spans="2:18">
      <c r="B65" s="92"/>
      <c r="C65" s="92"/>
      <c r="D65" s="92"/>
      <c r="E65" s="92"/>
      <c r="F65" s="92"/>
      <c r="G65" s="92"/>
      <c r="H65" s="92"/>
      <c r="I65" s="93"/>
      <c r="J65" s="93"/>
      <c r="K65" s="93"/>
      <c r="L65" s="100"/>
      <c r="M65" s="100"/>
      <c r="N65" s="93"/>
      <c r="O65" s="93"/>
      <c r="P65" s="93"/>
      <c r="Q65" s="100"/>
      <c r="R65" s="100"/>
    </row>
    <row r="66" spans="2:18">
      <c r="B66" s="92"/>
      <c r="C66" s="92"/>
      <c r="D66" s="92"/>
      <c r="E66" s="92"/>
      <c r="F66" s="92"/>
      <c r="G66" s="92"/>
      <c r="H66" s="92"/>
      <c r="I66" s="93"/>
      <c r="J66" s="93"/>
      <c r="K66" s="93"/>
      <c r="L66" s="100"/>
      <c r="M66" s="100"/>
      <c r="N66" s="93"/>
      <c r="O66" s="93"/>
      <c r="P66" s="93"/>
      <c r="Q66" s="100"/>
      <c r="R66" s="100"/>
    </row>
    <row r="67" spans="2:18">
      <c r="B67" s="92"/>
      <c r="C67" s="92"/>
      <c r="D67" s="92"/>
      <c r="E67" s="92"/>
      <c r="F67" s="92"/>
      <c r="G67" s="92"/>
      <c r="H67" s="92"/>
      <c r="I67" s="93"/>
      <c r="J67" s="93"/>
      <c r="K67" s="93"/>
      <c r="L67" s="100"/>
      <c r="M67" s="100"/>
      <c r="N67" s="93"/>
      <c r="O67" s="93"/>
      <c r="P67" s="93"/>
      <c r="Q67" s="100"/>
      <c r="R67" s="100"/>
    </row>
    <row r="68" spans="2:18">
      <c r="B68" s="92"/>
      <c r="C68" s="92"/>
      <c r="D68" s="92"/>
      <c r="E68" s="92"/>
      <c r="F68" s="92"/>
      <c r="G68" s="92"/>
      <c r="H68" s="92"/>
      <c r="I68" s="93"/>
      <c r="J68" s="93"/>
      <c r="K68" s="93"/>
      <c r="L68" s="100"/>
      <c r="M68" s="100"/>
      <c r="N68" s="93"/>
      <c r="O68" s="93"/>
      <c r="P68" s="93"/>
      <c r="Q68" s="100"/>
      <c r="R68" s="100"/>
    </row>
    <row r="69" spans="2:18">
      <c r="B69" s="92"/>
      <c r="C69" s="92"/>
      <c r="D69" s="92"/>
      <c r="E69" s="92"/>
      <c r="F69" s="92"/>
      <c r="G69" s="92"/>
      <c r="H69" s="92"/>
      <c r="I69" s="93"/>
      <c r="J69" s="93"/>
      <c r="K69" s="93"/>
      <c r="L69" s="100"/>
      <c r="M69" s="100"/>
      <c r="N69" s="93"/>
      <c r="O69" s="93"/>
      <c r="P69" s="93"/>
      <c r="Q69" s="100"/>
      <c r="R69" s="100"/>
    </row>
    <row r="70" spans="2:18">
      <c r="B70" s="92"/>
      <c r="C70" s="92"/>
      <c r="D70" s="92"/>
      <c r="E70" s="92"/>
      <c r="F70" s="92"/>
      <c r="G70" s="92"/>
      <c r="H70" s="92"/>
      <c r="I70" s="93"/>
      <c r="J70" s="93"/>
      <c r="K70" s="93"/>
      <c r="L70" s="100"/>
      <c r="M70" s="100"/>
      <c r="N70" s="93"/>
      <c r="O70" s="93"/>
      <c r="P70" s="93"/>
      <c r="Q70" s="100"/>
      <c r="R70" s="100"/>
    </row>
    <row r="71" spans="2:18">
      <c r="B71" s="92"/>
      <c r="C71" s="92"/>
      <c r="D71" s="92"/>
      <c r="E71" s="92"/>
      <c r="F71" s="92"/>
      <c r="G71" s="92"/>
      <c r="H71" s="92"/>
      <c r="I71" s="93"/>
      <c r="J71" s="93"/>
      <c r="K71" s="93"/>
      <c r="L71" s="100"/>
      <c r="M71" s="100"/>
      <c r="N71" s="93"/>
      <c r="O71" s="93"/>
      <c r="P71" s="93"/>
      <c r="Q71" s="100"/>
      <c r="R71" s="100"/>
    </row>
    <row r="72" spans="2:18">
      <c r="B72" s="92"/>
      <c r="C72" s="92"/>
      <c r="D72" s="92"/>
      <c r="E72" s="92"/>
      <c r="F72" s="92"/>
      <c r="G72" s="92"/>
      <c r="H72" s="92"/>
      <c r="I72" s="93"/>
      <c r="J72" s="93"/>
      <c r="K72" s="93"/>
      <c r="L72" s="100"/>
      <c r="M72" s="100"/>
      <c r="N72" s="93"/>
      <c r="O72" s="93"/>
      <c r="P72" s="93"/>
      <c r="Q72" s="100"/>
      <c r="R72" s="100"/>
    </row>
    <row r="73" spans="2:18">
      <c r="B73" s="92"/>
      <c r="C73" s="92"/>
      <c r="D73" s="92"/>
      <c r="E73" s="92"/>
      <c r="F73" s="92"/>
      <c r="G73" s="92"/>
      <c r="H73" s="92"/>
      <c r="I73" s="93"/>
      <c r="J73" s="93"/>
      <c r="K73" s="93"/>
      <c r="L73" s="100"/>
      <c r="M73" s="100"/>
      <c r="N73" s="93"/>
      <c r="O73" s="93"/>
      <c r="P73" s="93"/>
      <c r="Q73" s="100"/>
      <c r="R73" s="100"/>
    </row>
    <row r="74" spans="2:18">
      <c r="B74" s="92"/>
      <c r="C74" s="92"/>
      <c r="D74" s="92"/>
      <c r="E74" s="92"/>
      <c r="F74" s="92"/>
      <c r="G74" s="92"/>
      <c r="H74" s="92"/>
      <c r="I74" s="93"/>
      <c r="J74" s="93"/>
      <c r="K74" s="93"/>
      <c r="L74" s="100"/>
      <c r="M74" s="100"/>
      <c r="N74" s="93"/>
      <c r="O74" s="93"/>
      <c r="P74" s="93"/>
      <c r="Q74" s="100"/>
      <c r="R74" s="100"/>
    </row>
    <row r="75" spans="2:18">
      <c r="B75" s="92"/>
      <c r="C75" s="92"/>
      <c r="D75" s="92"/>
      <c r="E75" s="92"/>
      <c r="F75" s="92"/>
      <c r="G75" s="92"/>
      <c r="H75" s="92"/>
      <c r="I75" s="93"/>
      <c r="J75" s="93"/>
      <c r="K75" s="93"/>
      <c r="L75" s="100"/>
      <c r="M75" s="100"/>
      <c r="N75" s="93"/>
      <c r="O75" s="93"/>
      <c r="P75" s="93"/>
      <c r="Q75" s="100"/>
      <c r="R75" s="100"/>
    </row>
    <row r="76" spans="2:18">
      <c r="B76" s="92"/>
      <c r="C76" s="92"/>
      <c r="D76" s="92"/>
      <c r="E76" s="92"/>
      <c r="F76" s="92"/>
      <c r="G76" s="92"/>
      <c r="H76" s="92"/>
      <c r="I76" s="93"/>
      <c r="J76" s="93"/>
      <c r="K76" s="93"/>
      <c r="L76" s="100"/>
      <c r="M76" s="100"/>
      <c r="N76" s="93"/>
      <c r="O76" s="93"/>
      <c r="P76" s="93"/>
      <c r="Q76" s="100"/>
      <c r="R76" s="100"/>
    </row>
    <row r="77" spans="2:18">
      <c r="B77" s="92"/>
      <c r="C77" s="92"/>
      <c r="D77" s="92"/>
      <c r="E77" s="92"/>
      <c r="F77" s="92"/>
      <c r="G77" s="92"/>
      <c r="H77" s="92"/>
      <c r="I77" s="93"/>
      <c r="J77" s="93"/>
      <c r="K77" s="93"/>
      <c r="L77" s="100"/>
      <c r="M77" s="100"/>
      <c r="N77" s="93"/>
      <c r="O77" s="93"/>
      <c r="P77" s="93"/>
      <c r="Q77" s="100"/>
      <c r="R77" s="100"/>
    </row>
    <row r="78" spans="2:18">
      <c r="B78" s="92"/>
      <c r="C78" s="92"/>
      <c r="D78" s="92"/>
      <c r="E78" s="92"/>
      <c r="F78" s="92"/>
      <c r="G78" s="92"/>
      <c r="H78" s="92"/>
      <c r="I78" s="93"/>
      <c r="J78" s="93"/>
      <c r="K78" s="93"/>
      <c r="L78" s="100"/>
      <c r="M78" s="100"/>
      <c r="N78" s="93"/>
      <c r="O78" s="93"/>
      <c r="P78" s="93"/>
      <c r="Q78" s="100"/>
      <c r="R78" s="100"/>
    </row>
    <row r="79" spans="2:18">
      <c r="B79" s="92"/>
      <c r="C79" s="92"/>
      <c r="D79" s="92"/>
      <c r="E79" s="92"/>
      <c r="F79" s="92"/>
      <c r="G79" s="92"/>
      <c r="H79" s="92"/>
      <c r="I79" s="93"/>
      <c r="J79" s="93"/>
      <c r="K79" s="93"/>
      <c r="L79" s="100"/>
      <c r="M79" s="100"/>
      <c r="N79" s="93"/>
      <c r="O79" s="93"/>
      <c r="P79" s="93"/>
      <c r="Q79" s="100"/>
      <c r="R79" s="100"/>
    </row>
    <row r="80" spans="2:18">
      <c r="B80" s="92"/>
      <c r="C80" s="92"/>
      <c r="D80" s="92"/>
      <c r="E80" s="92"/>
      <c r="F80" s="92"/>
      <c r="G80" s="92"/>
      <c r="H80" s="92"/>
      <c r="I80" s="93"/>
      <c r="J80" s="93"/>
      <c r="K80" s="93"/>
      <c r="L80" s="100"/>
      <c r="M80" s="100"/>
      <c r="N80" s="93"/>
      <c r="O80" s="93"/>
      <c r="P80" s="93"/>
      <c r="Q80" s="100"/>
      <c r="R80" s="100"/>
    </row>
    <row r="81" spans="2:18">
      <c r="B81" s="92"/>
      <c r="C81" s="92"/>
      <c r="D81" s="92"/>
      <c r="E81" s="92"/>
      <c r="F81" s="92"/>
      <c r="G81" s="92"/>
      <c r="H81" s="92"/>
      <c r="I81" s="93"/>
      <c r="J81" s="93"/>
      <c r="K81" s="93"/>
      <c r="L81" s="100"/>
      <c r="M81" s="100"/>
      <c r="N81" s="93"/>
      <c r="O81" s="93"/>
      <c r="P81" s="93"/>
      <c r="Q81" s="100"/>
      <c r="R81" s="100"/>
    </row>
    <row r="82" spans="2:18">
      <c r="B82" s="92"/>
      <c r="C82" s="92"/>
      <c r="D82" s="92"/>
      <c r="E82" s="92"/>
      <c r="F82" s="92"/>
      <c r="G82" s="92"/>
      <c r="H82" s="92"/>
      <c r="I82" s="93"/>
      <c r="J82" s="93"/>
      <c r="K82" s="93"/>
      <c r="L82" s="100"/>
      <c r="M82" s="100"/>
      <c r="N82" s="93"/>
      <c r="O82" s="93"/>
      <c r="P82" s="93"/>
      <c r="Q82" s="100"/>
      <c r="R82" s="100"/>
    </row>
    <row r="83" spans="2:18">
      <c r="B83" s="92"/>
      <c r="C83" s="92"/>
      <c r="D83" s="92"/>
      <c r="E83" s="92"/>
      <c r="F83" s="92"/>
      <c r="G83" s="92"/>
      <c r="H83" s="92"/>
      <c r="I83" s="93"/>
      <c r="J83" s="93"/>
      <c r="K83" s="93"/>
      <c r="L83" s="100"/>
      <c r="M83" s="100"/>
      <c r="N83" s="93"/>
      <c r="O83" s="93"/>
      <c r="P83" s="93"/>
      <c r="Q83" s="100"/>
      <c r="R83" s="100"/>
    </row>
    <row r="84" spans="2:18">
      <c r="B84" s="92"/>
      <c r="C84" s="92"/>
      <c r="D84" s="92"/>
      <c r="E84" s="92"/>
      <c r="F84" s="92"/>
      <c r="G84" s="92"/>
      <c r="H84" s="92"/>
      <c r="I84" s="93"/>
      <c r="J84" s="93"/>
      <c r="K84" s="93"/>
      <c r="L84" s="100"/>
      <c r="M84" s="100"/>
      <c r="N84" s="93"/>
      <c r="O84" s="93"/>
      <c r="P84" s="93"/>
      <c r="Q84" s="100"/>
      <c r="R84" s="100"/>
    </row>
    <row r="85" spans="2:18">
      <c r="B85" s="92"/>
      <c r="C85" s="92"/>
      <c r="D85" s="92"/>
      <c r="E85" s="92"/>
      <c r="F85" s="92"/>
      <c r="G85" s="92"/>
      <c r="H85" s="92"/>
      <c r="I85" s="93"/>
      <c r="J85" s="93"/>
      <c r="K85" s="93"/>
      <c r="L85" s="100"/>
      <c r="M85" s="100"/>
      <c r="N85" s="93"/>
      <c r="O85" s="93"/>
      <c r="P85" s="93"/>
      <c r="Q85" s="100"/>
      <c r="R85" s="100"/>
    </row>
    <row r="86" spans="2:18">
      <c r="B86" s="92"/>
      <c r="C86" s="92"/>
      <c r="D86" s="92"/>
      <c r="E86" s="92"/>
      <c r="F86" s="92"/>
      <c r="G86" s="92"/>
      <c r="H86" s="92"/>
      <c r="I86" s="93"/>
      <c r="J86" s="93"/>
      <c r="K86" s="93"/>
      <c r="L86" s="100"/>
      <c r="M86" s="100"/>
      <c r="N86" s="93"/>
      <c r="O86" s="93"/>
      <c r="P86" s="93"/>
      <c r="Q86" s="100"/>
      <c r="R86" s="100"/>
    </row>
    <row r="87" spans="2:18">
      <c r="B87" s="92"/>
      <c r="C87" s="92"/>
      <c r="D87" s="92"/>
      <c r="E87" s="92"/>
      <c r="F87" s="92"/>
      <c r="G87" s="92"/>
      <c r="H87" s="92"/>
      <c r="I87" s="93"/>
      <c r="J87" s="93"/>
      <c r="K87" s="93"/>
      <c r="L87" s="100"/>
      <c r="M87" s="100"/>
      <c r="N87" s="93"/>
      <c r="O87" s="93"/>
      <c r="P87" s="93"/>
      <c r="Q87" s="100"/>
      <c r="R87" s="100"/>
    </row>
    <row r="88" spans="2:18">
      <c r="B88" s="92"/>
      <c r="C88" s="92"/>
      <c r="D88" s="92"/>
      <c r="E88" s="92"/>
      <c r="F88" s="92"/>
      <c r="G88" s="92"/>
      <c r="H88" s="92"/>
      <c r="I88" s="93"/>
      <c r="J88" s="93"/>
      <c r="K88" s="93"/>
      <c r="L88" s="100"/>
      <c r="M88" s="100"/>
      <c r="N88" s="93"/>
      <c r="O88" s="93"/>
      <c r="P88" s="93"/>
      <c r="Q88" s="100"/>
      <c r="R88" s="100"/>
    </row>
    <row r="89" spans="2:18">
      <c r="B89" s="92"/>
      <c r="C89" s="92"/>
      <c r="D89" s="92"/>
      <c r="E89" s="92"/>
      <c r="F89" s="92"/>
      <c r="G89" s="92"/>
      <c r="H89" s="92"/>
      <c r="I89" s="93"/>
      <c r="J89" s="93"/>
      <c r="K89" s="93"/>
      <c r="L89" s="100"/>
      <c r="M89" s="100"/>
      <c r="N89" s="93"/>
      <c r="O89" s="93"/>
      <c r="P89" s="93"/>
      <c r="Q89" s="100"/>
      <c r="R89" s="100"/>
    </row>
    <row r="90" spans="2:18">
      <c r="B90" s="92"/>
      <c r="C90" s="92"/>
      <c r="D90" s="92"/>
      <c r="E90" s="92"/>
      <c r="F90" s="92"/>
      <c r="G90" s="92"/>
      <c r="H90" s="92"/>
      <c r="I90" s="93"/>
      <c r="J90" s="93"/>
      <c r="K90" s="93"/>
      <c r="L90" s="100"/>
      <c r="M90" s="100"/>
      <c r="N90" s="93"/>
      <c r="O90" s="93"/>
      <c r="P90" s="93"/>
      <c r="Q90" s="100"/>
      <c r="R90" s="100"/>
    </row>
    <row r="91" spans="2:18">
      <c r="B91" s="92"/>
      <c r="C91" s="92"/>
      <c r="D91" s="92"/>
      <c r="E91" s="92"/>
      <c r="F91" s="92"/>
      <c r="G91" s="92"/>
      <c r="H91" s="92"/>
      <c r="I91" s="93"/>
      <c r="J91" s="93"/>
      <c r="K91" s="93"/>
      <c r="L91" s="100"/>
      <c r="M91" s="100"/>
      <c r="N91" s="93"/>
      <c r="O91" s="93"/>
      <c r="P91" s="93"/>
      <c r="Q91" s="100"/>
      <c r="R91" s="100"/>
    </row>
    <row r="92" spans="2:18">
      <c r="B92" s="92"/>
      <c r="C92" s="92"/>
      <c r="D92" s="92"/>
      <c r="E92" s="92"/>
      <c r="F92" s="92"/>
      <c r="G92" s="92"/>
      <c r="H92" s="92"/>
      <c r="I92" s="93"/>
      <c r="J92" s="93"/>
      <c r="K92" s="93"/>
      <c r="L92" s="100"/>
      <c r="M92" s="100"/>
      <c r="N92" s="93"/>
      <c r="O92" s="93"/>
      <c r="P92" s="93"/>
      <c r="Q92" s="100"/>
      <c r="R92" s="100"/>
    </row>
    <row r="93" spans="2:18">
      <c r="B93" s="92"/>
      <c r="C93" s="92"/>
      <c r="D93" s="92"/>
      <c r="E93" s="92"/>
      <c r="F93" s="92"/>
      <c r="G93" s="92"/>
      <c r="H93" s="92"/>
      <c r="I93" s="93"/>
      <c r="J93" s="93"/>
      <c r="K93" s="93"/>
      <c r="L93" s="100"/>
      <c r="M93" s="100"/>
      <c r="N93" s="93"/>
      <c r="O93" s="93"/>
      <c r="P93" s="93"/>
      <c r="Q93" s="100"/>
      <c r="R93" s="100"/>
    </row>
    <row r="94" spans="2:18">
      <c r="B94" s="92"/>
      <c r="C94" s="92"/>
      <c r="D94" s="92"/>
      <c r="E94" s="92"/>
      <c r="F94" s="92"/>
      <c r="G94" s="92"/>
      <c r="H94" s="92"/>
      <c r="I94" s="93"/>
      <c r="J94" s="93"/>
      <c r="K94" s="93"/>
      <c r="L94" s="100"/>
      <c r="M94" s="100"/>
      <c r="N94" s="93"/>
      <c r="O94" s="93"/>
      <c r="P94" s="93"/>
      <c r="Q94" s="100"/>
      <c r="R94" s="100"/>
    </row>
    <row r="95" spans="2:18">
      <c r="B95" s="92"/>
      <c r="C95" s="92"/>
      <c r="D95" s="92"/>
      <c r="E95" s="92"/>
      <c r="F95" s="92"/>
      <c r="G95" s="92"/>
      <c r="H95" s="92"/>
      <c r="I95" s="93"/>
      <c r="J95" s="93"/>
      <c r="K95" s="93"/>
      <c r="L95" s="100"/>
      <c r="M95" s="100"/>
      <c r="N95" s="93"/>
      <c r="O95" s="93"/>
      <c r="P95" s="93"/>
      <c r="Q95" s="100"/>
      <c r="R95" s="100"/>
    </row>
    <row r="96" spans="2:18">
      <c r="B96" s="92"/>
      <c r="C96" s="92"/>
      <c r="D96" s="92"/>
      <c r="E96" s="92"/>
      <c r="F96" s="92"/>
      <c r="G96" s="92"/>
      <c r="H96" s="92"/>
      <c r="I96" s="93"/>
      <c r="J96" s="93"/>
      <c r="K96" s="93"/>
      <c r="L96" s="100"/>
      <c r="M96" s="100"/>
      <c r="N96" s="93"/>
      <c r="O96" s="93"/>
      <c r="P96" s="93"/>
      <c r="Q96" s="100"/>
      <c r="R96" s="100"/>
    </row>
    <row r="97" spans="2:18">
      <c r="B97" s="92"/>
      <c r="C97" s="92"/>
      <c r="D97" s="92"/>
      <c r="E97" s="92"/>
      <c r="F97" s="92"/>
      <c r="G97" s="92"/>
      <c r="H97" s="92"/>
      <c r="I97" s="93"/>
      <c r="J97" s="93"/>
      <c r="K97" s="93"/>
      <c r="L97" s="100"/>
      <c r="M97" s="100"/>
      <c r="N97" s="93"/>
      <c r="O97" s="93"/>
      <c r="P97" s="93"/>
      <c r="Q97" s="100"/>
      <c r="R97" s="100"/>
    </row>
    <row r="98" spans="2:18">
      <c r="B98" s="92"/>
      <c r="C98" s="92"/>
      <c r="D98" s="92"/>
      <c r="E98" s="92"/>
      <c r="F98" s="92"/>
      <c r="G98" s="92"/>
      <c r="H98" s="92"/>
      <c r="I98" s="93"/>
      <c r="J98" s="93"/>
      <c r="K98" s="93"/>
      <c r="L98" s="100"/>
      <c r="M98" s="100"/>
      <c r="N98" s="93"/>
      <c r="O98" s="93"/>
      <c r="P98" s="93"/>
      <c r="Q98" s="100"/>
      <c r="R98" s="100"/>
    </row>
    <row r="99" spans="2:18">
      <c r="B99" s="92"/>
      <c r="C99" s="92"/>
      <c r="D99" s="92"/>
      <c r="E99" s="92"/>
      <c r="F99" s="92"/>
      <c r="G99" s="92"/>
      <c r="H99" s="92"/>
      <c r="I99" s="93"/>
      <c r="J99" s="93"/>
      <c r="K99" s="93"/>
      <c r="L99" s="100"/>
      <c r="M99" s="100"/>
      <c r="N99" s="93"/>
      <c r="O99" s="93"/>
      <c r="P99" s="93"/>
      <c r="Q99" s="100"/>
      <c r="R99" s="100"/>
    </row>
    <row r="100" spans="2:18">
      <c r="B100" s="92"/>
      <c r="C100" s="92"/>
      <c r="D100" s="92"/>
      <c r="E100" s="92"/>
      <c r="F100" s="92"/>
      <c r="G100" s="92"/>
      <c r="H100" s="92"/>
      <c r="I100" s="93"/>
      <c r="J100" s="93"/>
      <c r="K100" s="93"/>
      <c r="L100" s="100"/>
      <c r="M100" s="100"/>
      <c r="N100" s="93"/>
      <c r="O100" s="93"/>
      <c r="P100" s="93"/>
      <c r="Q100" s="100"/>
      <c r="R100" s="100"/>
    </row>
    <row r="101" spans="2:18">
      <c r="B101" s="92"/>
      <c r="C101" s="92"/>
      <c r="D101" s="92"/>
      <c r="E101" s="92"/>
      <c r="F101" s="92"/>
      <c r="G101" s="92"/>
      <c r="H101" s="92"/>
      <c r="I101" s="93"/>
      <c r="J101" s="93"/>
      <c r="K101" s="93"/>
      <c r="L101" s="100"/>
      <c r="M101" s="100"/>
      <c r="N101" s="93"/>
      <c r="O101" s="93"/>
      <c r="P101" s="93"/>
      <c r="Q101" s="100"/>
      <c r="R101" s="100"/>
    </row>
    <row r="102" spans="2:18">
      <c r="B102" s="92"/>
      <c r="C102" s="92"/>
      <c r="D102" s="92"/>
      <c r="E102" s="92"/>
      <c r="F102" s="92"/>
      <c r="G102" s="92"/>
      <c r="H102" s="92"/>
      <c r="I102" s="93"/>
      <c r="J102" s="93"/>
      <c r="K102" s="93"/>
      <c r="L102" s="100"/>
      <c r="M102" s="100"/>
      <c r="N102" s="93"/>
      <c r="O102" s="93"/>
      <c r="P102" s="93"/>
      <c r="Q102" s="100"/>
      <c r="R102" s="100"/>
    </row>
    <row r="103" spans="2:18">
      <c r="B103" s="92"/>
      <c r="C103" s="92"/>
      <c r="D103" s="92"/>
      <c r="E103" s="92"/>
      <c r="F103" s="92"/>
      <c r="G103" s="92"/>
      <c r="H103" s="92"/>
      <c r="I103" s="93"/>
      <c r="J103" s="93"/>
      <c r="K103" s="93"/>
      <c r="L103" s="100"/>
      <c r="M103" s="100"/>
      <c r="N103" s="93"/>
      <c r="O103" s="93"/>
      <c r="P103" s="93"/>
      <c r="Q103" s="100"/>
      <c r="R103" s="100"/>
    </row>
    <row r="104" spans="2:18">
      <c r="B104" s="92"/>
      <c r="C104" s="92"/>
      <c r="D104" s="92"/>
      <c r="E104" s="92"/>
      <c r="F104" s="92"/>
      <c r="G104" s="92"/>
      <c r="H104" s="92"/>
      <c r="I104" s="93"/>
      <c r="J104" s="93"/>
      <c r="K104" s="93"/>
      <c r="L104" s="100"/>
      <c r="M104" s="100"/>
      <c r="N104" s="93"/>
      <c r="O104" s="93"/>
      <c r="P104" s="93"/>
      <c r="Q104" s="100"/>
      <c r="R104" s="100"/>
    </row>
    <row r="105" spans="2:18">
      <c r="B105" s="92"/>
      <c r="C105" s="92"/>
      <c r="D105" s="92"/>
      <c r="E105" s="92"/>
      <c r="F105" s="92"/>
      <c r="G105" s="92"/>
      <c r="H105" s="92"/>
      <c r="I105" s="93"/>
      <c r="J105" s="93"/>
      <c r="K105" s="93"/>
      <c r="L105" s="100"/>
      <c r="M105" s="100"/>
      <c r="N105" s="93"/>
      <c r="O105" s="93"/>
      <c r="P105" s="93"/>
      <c r="Q105" s="100"/>
      <c r="R105" s="100"/>
    </row>
    <row r="106" spans="2:18">
      <c r="B106" s="92"/>
      <c r="C106" s="92"/>
      <c r="D106" s="92"/>
      <c r="E106" s="92"/>
      <c r="F106" s="92"/>
      <c r="G106" s="92"/>
      <c r="H106" s="92"/>
      <c r="I106" s="93"/>
      <c r="J106" s="93"/>
      <c r="K106" s="93"/>
      <c r="L106" s="100"/>
      <c r="M106" s="100"/>
      <c r="N106" s="93"/>
      <c r="O106" s="93"/>
      <c r="P106" s="93"/>
      <c r="Q106" s="100"/>
      <c r="R106" s="100"/>
    </row>
    <row r="107" spans="2:18">
      <c r="B107" s="92"/>
      <c r="C107" s="92"/>
      <c r="D107" s="92"/>
      <c r="E107" s="92"/>
      <c r="F107" s="92"/>
      <c r="G107" s="92"/>
      <c r="H107" s="92"/>
      <c r="I107" s="93"/>
      <c r="J107" s="93"/>
      <c r="K107" s="93"/>
      <c r="L107" s="100"/>
      <c r="M107" s="100"/>
      <c r="N107" s="93"/>
      <c r="O107" s="93"/>
      <c r="P107" s="93"/>
      <c r="Q107" s="100"/>
      <c r="R107" s="100"/>
    </row>
    <row r="108" spans="2:18">
      <c r="B108" s="92"/>
      <c r="C108" s="92"/>
      <c r="D108" s="92"/>
      <c r="E108" s="92"/>
      <c r="F108" s="92"/>
      <c r="G108" s="92"/>
      <c r="H108" s="92"/>
      <c r="I108" s="93"/>
      <c r="J108" s="93"/>
      <c r="K108" s="93"/>
      <c r="L108" s="100"/>
      <c r="M108" s="100"/>
      <c r="N108" s="93"/>
      <c r="O108" s="93"/>
      <c r="P108" s="93"/>
      <c r="Q108" s="100"/>
      <c r="R108" s="100"/>
    </row>
    <row r="109" spans="2:18">
      <c r="B109" s="92"/>
      <c r="C109" s="92"/>
      <c r="D109" s="92"/>
      <c r="E109" s="92"/>
      <c r="F109" s="92"/>
      <c r="G109" s="92"/>
      <c r="H109" s="92"/>
      <c r="I109" s="93"/>
      <c r="J109" s="93"/>
      <c r="K109" s="93"/>
      <c r="L109" s="100"/>
      <c r="M109" s="100"/>
      <c r="N109" s="93"/>
      <c r="O109" s="93"/>
      <c r="P109" s="93"/>
      <c r="Q109" s="100"/>
      <c r="R109" s="100"/>
    </row>
    <row r="110" spans="2:18">
      <c r="B110" s="92"/>
      <c r="C110" s="92"/>
      <c r="D110" s="92"/>
      <c r="E110" s="92"/>
      <c r="F110" s="92"/>
      <c r="G110" s="92"/>
      <c r="H110" s="92"/>
      <c r="I110" s="93"/>
      <c r="J110" s="93"/>
      <c r="K110" s="93"/>
      <c r="L110" s="100"/>
      <c r="M110" s="100"/>
      <c r="N110" s="93"/>
      <c r="O110" s="93"/>
      <c r="P110" s="93"/>
      <c r="Q110" s="100"/>
      <c r="R110" s="100"/>
    </row>
    <row r="111" spans="2:18">
      <c r="B111" s="92"/>
      <c r="C111" s="92"/>
      <c r="D111" s="92"/>
      <c r="E111" s="92"/>
      <c r="F111" s="92"/>
      <c r="G111" s="92"/>
      <c r="H111" s="92"/>
      <c r="I111" s="93"/>
      <c r="J111" s="93"/>
      <c r="K111" s="93"/>
      <c r="L111" s="100"/>
      <c r="M111" s="100"/>
      <c r="N111" s="93"/>
      <c r="O111" s="93"/>
      <c r="P111" s="93"/>
      <c r="Q111" s="100"/>
      <c r="R111" s="100"/>
    </row>
    <row r="112" spans="2:18">
      <c r="B112" s="92"/>
      <c r="C112" s="92"/>
      <c r="D112" s="92"/>
      <c r="E112" s="92"/>
      <c r="F112" s="92"/>
      <c r="G112" s="92"/>
      <c r="H112" s="92"/>
      <c r="I112" s="93"/>
      <c r="J112" s="93"/>
      <c r="K112" s="93"/>
      <c r="L112" s="100"/>
      <c r="M112" s="100"/>
      <c r="N112" s="93"/>
      <c r="O112" s="93"/>
      <c r="P112" s="93"/>
      <c r="Q112" s="100"/>
      <c r="R112" s="100"/>
    </row>
    <row r="113" spans="2:18">
      <c r="B113" s="92"/>
      <c r="C113" s="92"/>
      <c r="D113" s="92"/>
      <c r="E113" s="92"/>
      <c r="F113" s="92"/>
      <c r="G113" s="92"/>
      <c r="H113" s="92"/>
      <c r="I113" s="93"/>
      <c r="J113" s="93"/>
      <c r="K113" s="93"/>
      <c r="L113" s="100"/>
      <c r="M113" s="100"/>
      <c r="N113" s="93"/>
      <c r="O113" s="93"/>
      <c r="P113" s="93"/>
      <c r="Q113" s="100"/>
      <c r="R113" s="100"/>
    </row>
    <row r="114" spans="2:18">
      <c r="B114" s="92"/>
      <c r="C114" s="92"/>
      <c r="D114" s="92"/>
      <c r="E114" s="92"/>
      <c r="F114" s="92"/>
      <c r="G114" s="92"/>
      <c r="H114" s="92"/>
      <c r="I114" s="93"/>
      <c r="J114" s="93"/>
      <c r="K114" s="93"/>
      <c r="L114" s="100"/>
      <c r="M114" s="100"/>
      <c r="N114" s="93"/>
      <c r="O114" s="93"/>
      <c r="P114" s="93"/>
      <c r="Q114" s="100"/>
      <c r="R114" s="100"/>
    </row>
    <row r="115" spans="2:18">
      <c r="B115" s="92"/>
      <c r="C115" s="92"/>
      <c r="D115" s="92"/>
      <c r="E115" s="92"/>
      <c r="F115" s="92"/>
      <c r="G115" s="92"/>
      <c r="H115" s="92"/>
      <c r="I115" s="93"/>
      <c r="J115" s="93"/>
      <c r="K115" s="93"/>
      <c r="L115" s="100"/>
      <c r="M115" s="100"/>
      <c r="N115" s="93"/>
      <c r="O115" s="93"/>
      <c r="P115" s="93"/>
      <c r="Q115" s="100"/>
      <c r="R115" s="100"/>
    </row>
    <row r="116" spans="2:18">
      <c r="B116" s="92"/>
      <c r="C116" s="92"/>
      <c r="D116" s="92"/>
      <c r="E116" s="92"/>
      <c r="F116" s="92"/>
      <c r="G116" s="92"/>
      <c r="H116" s="92"/>
      <c r="I116" s="93"/>
      <c r="J116" s="93"/>
      <c r="K116" s="93"/>
      <c r="L116" s="100"/>
      <c r="M116" s="100"/>
      <c r="N116" s="93"/>
      <c r="O116" s="93"/>
      <c r="P116" s="93"/>
      <c r="Q116" s="100"/>
      <c r="R116" s="100"/>
    </row>
    <row r="117" spans="2:18">
      <c r="B117" s="92"/>
      <c r="C117" s="92"/>
      <c r="D117" s="92"/>
      <c r="E117" s="92"/>
      <c r="F117" s="92"/>
      <c r="G117" s="92"/>
      <c r="H117" s="92"/>
      <c r="I117" s="93"/>
      <c r="J117" s="93"/>
      <c r="K117" s="93"/>
      <c r="L117" s="100"/>
      <c r="M117" s="100"/>
      <c r="N117" s="93"/>
      <c r="O117" s="93"/>
      <c r="P117" s="93"/>
      <c r="Q117" s="100"/>
      <c r="R117" s="100"/>
    </row>
    <row r="118" spans="2:18">
      <c r="B118" s="92"/>
      <c r="C118" s="92"/>
      <c r="D118" s="92"/>
      <c r="E118" s="92"/>
      <c r="F118" s="92"/>
      <c r="G118" s="92"/>
      <c r="H118" s="92"/>
      <c r="I118" s="93"/>
      <c r="J118" s="93"/>
      <c r="K118" s="93"/>
      <c r="L118" s="100"/>
      <c r="M118" s="100"/>
      <c r="N118" s="93"/>
      <c r="O118" s="93"/>
      <c r="P118" s="93"/>
      <c r="Q118" s="100"/>
      <c r="R118" s="100"/>
    </row>
    <row r="119" spans="2:18">
      <c r="B119" s="92"/>
      <c r="C119" s="92"/>
      <c r="D119" s="92"/>
      <c r="E119" s="92"/>
      <c r="F119" s="92"/>
      <c r="G119" s="92"/>
      <c r="H119" s="92"/>
      <c r="I119" s="93"/>
      <c r="J119" s="93"/>
      <c r="K119" s="93"/>
      <c r="L119" s="100"/>
      <c r="M119" s="100"/>
      <c r="N119" s="93"/>
      <c r="O119" s="93"/>
      <c r="P119" s="93"/>
      <c r="Q119" s="100"/>
      <c r="R119" s="100"/>
    </row>
    <row r="120" spans="2:18">
      <c r="B120" s="92"/>
      <c r="C120" s="92"/>
      <c r="D120" s="92"/>
      <c r="E120" s="92"/>
      <c r="F120" s="92"/>
      <c r="G120" s="92"/>
      <c r="H120" s="92"/>
      <c r="I120" s="93"/>
      <c r="J120" s="93"/>
      <c r="K120" s="93"/>
      <c r="L120" s="100"/>
      <c r="M120" s="100"/>
      <c r="N120" s="93"/>
      <c r="O120" s="93"/>
      <c r="P120" s="93"/>
      <c r="Q120" s="100"/>
      <c r="R120" s="100"/>
    </row>
    <row r="121" spans="2:18">
      <c r="B121" s="92"/>
      <c r="C121" s="92"/>
      <c r="D121" s="92"/>
      <c r="E121" s="92"/>
      <c r="F121" s="92"/>
      <c r="G121" s="92"/>
      <c r="H121" s="92"/>
      <c r="I121" s="93"/>
      <c r="J121" s="93"/>
      <c r="K121" s="93"/>
      <c r="L121" s="100"/>
      <c r="M121" s="100"/>
      <c r="N121" s="93"/>
      <c r="O121" s="93"/>
      <c r="P121" s="93"/>
      <c r="Q121" s="100"/>
      <c r="R121" s="100"/>
    </row>
    <row r="122" spans="2:18">
      <c r="B122" s="92"/>
      <c r="C122" s="92"/>
      <c r="D122" s="92"/>
      <c r="E122" s="92"/>
      <c r="F122" s="92"/>
      <c r="G122" s="92"/>
      <c r="H122" s="92"/>
      <c r="I122" s="93"/>
      <c r="J122" s="93"/>
      <c r="K122" s="93"/>
      <c r="L122" s="100"/>
      <c r="M122" s="100"/>
      <c r="N122" s="93"/>
      <c r="O122" s="93"/>
      <c r="P122" s="93"/>
      <c r="Q122" s="100"/>
      <c r="R122" s="100"/>
    </row>
    <row r="123" spans="2:18">
      <c r="B123" s="92"/>
      <c r="C123" s="92"/>
      <c r="D123" s="92"/>
      <c r="E123" s="92"/>
      <c r="F123" s="92"/>
      <c r="G123" s="92"/>
      <c r="H123" s="92"/>
      <c r="I123" s="93"/>
      <c r="J123" s="93"/>
      <c r="K123" s="93"/>
      <c r="L123" s="100"/>
      <c r="M123" s="100"/>
      <c r="N123" s="93"/>
      <c r="O123" s="93"/>
      <c r="P123" s="93"/>
      <c r="Q123" s="100"/>
      <c r="R123" s="100"/>
    </row>
    <row r="124" spans="2:18">
      <c r="B124" s="92"/>
      <c r="C124" s="92"/>
      <c r="D124" s="92"/>
      <c r="E124" s="92"/>
      <c r="F124" s="92"/>
      <c r="G124" s="92"/>
      <c r="H124" s="92"/>
      <c r="I124" s="93"/>
      <c r="J124" s="93"/>
      <c r="K124" s="93"/>
      <c r="L124" s="100"/>
      <c r="M124" s="100"/>
      <c r="N124" s="93"/>
      <c r="O124" s="93"/>
      <c r="P124" s="93"/>
      <c r="Q124" s="100"/>
      <c r="R124" s="100"/>
    </row>
    <row r="125" spans="2:18">
      <c r="B125" s="92"/>
      <c r="C125" s="92"/>
      <c r="D125" s="92"/>
      <c r="E125" s="92"/>
      <c r="F125" s="92"/>
      <c r="G125" s="92"/>
      <c r="H125" s="92"/>
      <c r="I125" s="93"/>
      <c r="J125" s="93"/>
      <c r="K125" s="93"/>
      <c r="L125" s="100"/>
      <c r="M125" s="100"/>
      <c r="N125" s="93"/>
      <c r="O125" s="93"/>
      <c r="P125" s="93"/>
      <c r="Q125" s="100"/>
      <c r="R125" s="100"/>
    </row>
    <row r="126" spans="2:18">
      <c r="B126" s="92"/>
      <c r="C126" s="92"/>
      <c r="D126" s="92"/>
      <c r="E126" s="92"/>
      <c r="F126" s="92"/>
      <c r="G126" s="92"/>
      <c r="H126" s="92"/>
      <c r="I126" s="93"/>
      <c r="J126" s="93"/>
      <c r="K126" s="93"/>
      <c r="L126" s="100"/>
      <c r="M126" s="100"/>
      <c r="N126" s="93"/>
      <c r="O126" s="93"/>
      <c r="P126" s="93"/>
      <c r="Q126" s="100"/>
      <c r="R126" s="100"/>
    </row>
    <row r="127" spans="2:18">
      <c r="B127" s="92"/>
      <c r="C127" s="92"/>
      <c r="D127" s="92"/>
      <c r="E127" s="92"/>
      <c r="F127" s="92"/>
      <c r="G127" s="92"/>
      <c r="H127" s="92"/>
      <c r="I127" s="93"/>
      <c r="J127" s="93"/>
      <c r="K127" s="93"/>
      <c r="L127" s="100"/>
      <c r="M127" s="100"/>
      <c r="N127" s="93"/>
      <c r="O127" s="93"/>
      <c r="P127" s="93"/>
      <c r="Q127" s="100"/>
      <c r="R127" s="100"/>
    </row>
    <row r="128" spans="2:18">
      <c r="B128" s="92"/>
      <c r="C128" s="92"/>
      <c r="D128" s="92"/>
      <c r="E128" s="92"/>
      <c r="F128" s="92"/>
      <c r="G128" s="92"/>
      <c r="H128" s="92"/>
      <c r="I128" s="93"/>
      <c r="J128" s="93"/>
      <c r="K128" s="93"/>
      <c r="L128" s="100"/>
      <c r="M128" s="100"/>
      <c r="N128" s="93"/>
      <c r="O128" s="93"/>
      <c r="P128" s="93"/>
      <c r="Q128" s="100"/>
      <c r="R128" s="100"/>
    </row>
    <row r="129" spans="2:18">
      <c r="B129" s="92"/>
      <c r="C129" s="92"/>
      <c r="D129" s="92"/>
      <c r="E129" s="92"/>
      <c r="F129" s="92"/>
      <c r="G129" s="92"/>
      <c r="H129" s="92"/>
      <c r="I129" s="93"/>
      <c r="J129" s="93"/>
      <c r="K129" s="93"/>
      <c r="L129" s="100"/>
      <c r="M129" s="100"/>
      <c r="N129" s="93"/>
      <c r="O129" s="93"/>
      <c r="P129" s="93"/>
      <c r="Q129" s="100"/>
      <c r="R129" s="100"/>
    </row>
    <row r="130" spans="2:18">
      <c r="B130" s="92"/>
      <c r="C130" s="92"/>
      <c r="D130" s="92"/>
      <c r="E130" s="92"/>
      <c r="F130" s="92"/>
      <c r="G130" s="92"/>
      <c r="H130" s="92"/>
      <c r="I130" s="93"/>
      <c r="J130" s="93"/>
      <c r="K130" s="93"/>
      <c r="L130" s="100"/>
      <c r="M130" s="100"/>
      <c r="N130" s="93"/>
      <c r="O130" s="93"/>
      <c r="P130" s="93"/>
      <c r="Q130" s="100"/>
      <c r="R130" s="100"/>
    </row>
    <row r="131" spans="2:18">
      <c r="B131" s="92"/>
      <c r="C131" s="92"/>
      <c r="D131" s="92"/>
      <c r="E131" s="92"/>
      <c r="F131" s="92"/>
      <c r="G131" s="92"/>
      <c r="H131" s="92"/>
      <c r="I131" s="93"/>
      <c r="J131" s="93"/>
      <c r="K131" s="93"/>
      <c r="L131" s="100"/>
      <c r="M131" s="100"/>
      <c r="N131" s="93"/>
      <c r="O131" s="93"/>
      <c r="P131" s="93"/>
      <c r="Q131" s="100"/>
      <c r="R131" s="100"/>
    </row>
    <row r="132" spans="2:18">
      <c r="B132" s="92"/>
      <c r="C132" s="92"/>
      <c r="D132" s="92"/>
      <c r="E132" s="92"/>
      <c r="F132" s="92"/>
      <c r="G132" s="92"/>
      <c r="H132" s="92"/>
      <c r="I132" s="93"/>
      <c r="J132" s="93"/>
      <c r="K132" s="93"/>
      <c r="L132" s="100"/>
      <c r="M132" s="100"/>
      <c r="N132" s="93"/>
      <c r="O132" s="93"/>
      <c r="P132" s="93"/>
      <c r="Q132" s="100"/>
      <c r="R132" s="100"/>
    </row>
    <row r="133" spans="2:18">
      <c r="B133" s="92"/>
      <c r="C133" s="92"/>
      <c r="D133" s="92"/>
      <c r="E133" s="92"/>
      <c r="F133" s="92"/>
      <c r="G133" s="92"/>
      <c r="H133" s="92"/>
      <c r="I133" s="93"/>
      <c r="J133" s="93"/>
      <c r="K133" s="93"/>
      <c r="L133" s="100"/>
      <c r="M133" s="100"/>
      <c r="N133" s="93"/>
      <c r="O133" s="93"/>
      <c r="P133" s="93"/>
      <c r="Q133" s="100"/>
      <c r="R133" s="100"/>
    </row>
    <row r="134" spans="2:18">
      <c r="B134" s="92"/>
      <c r="C134" s="92"/>
      <c r="D134" s="92"/>
      <c r="E134" s="92"/>
      <c r="F134" s="92"/>
      <c r="G134" s="92"/>
      <c r="H134" s="92"/>
      <c r="I134" s="93"/>
      <c r="J134" s="93"/>
      <c r="K134" s="93"/>
      <c r="L134" s="100"/>
      <c r="M134" s="100"/>
      <c r="N134" s="93"/>
      <c r="O134" s="93"/>
      <c r="P134" s="93"/>
      <c r="Q134" s="100"/>
      <c r="R134" s="100"/>
    </row>
    <row r="135" spans="2:18">
      <c r="B135" s="92"/>
      <c r="C135" s="92"/>
      <c r="D135" s="92"/>
      <c r="E135" s="92"/>
      <c r="F135" s="92"/>
      <c r="G135" s="92"/>
      <c r="H135" s="92"/>
      <c r="I135" s="93"/>
      <c r="J135" s="93"/>
      <c r="K135" s="93"/>
      <c r="L135" s="100"/>
      <c r="M135" s="100"/>
      <c r="N135" s="93"/>
      <c r="O135" s="93"/>
      <c r="P135" s="93"/>
      <c r="Q135" s="100"/>
      <c r="R135" s="100"/>
    </row>
    <row r="136" spans="2:18">
      <c r="B136" s="92"/>
      <c r="C136" s="92"/>
      <c r="D136" s="92"/>
      <c r="E136" s="92"/>
      <c r="F136" s="92"/>
      <c r="G136" s="92"/>
      <c r="H136" s="92"/>
      <c r="I136" s="93"/>
      <c r="J136" s="93"/>
      <c r="K136" s="93"/>
      <c r="L136" s="100"/>
      <c r="M136" s="100"/>
      <c r="N136" s="93"/>
      <c r="O136" s="93"/>
      <c r="P136" s="93"/>
      <c r="Q136" s="100"/>
      <c r="R136" s="100"/>
    </row>
    <row r="137" spans="2:18">
      <c r="B137" s="92"/>
      <c r="C137" s="92"/>
      <c r="D137" s="92"/>
      <c r="E137" s="92"/>
      <c r="F137" s="92"/>
      <c r="G137" s="92"/>
      <c r="H137" s="92"/>
      <c r="I137" s="93"/>
      <c r="J137" s="93"/>
      <c r="K137" s="93"/>
      <c r="L137" s="100"/>
      <c r="M137" s="100"/>
      <c r="N137" s="93"/>
      <c r="O137" s="93"/>
      <c r="P137" s="93"/>
      <c r="Q137" s="100"/>
      <c r="R137" s="100"/>
    </row>
    <row r="138" spans="2:18">
      <c r="B138" s="92"/>
      <c r="C138" s="92"/>
      <c r="D138" s="92"/>
      <c r="E138" s="92"/>
      <c r="F138" s="92"/>
      <c r="G138" s="92"/>
      <c r="H138" s="92"/>
      <c r="I138" s="93"/>
      <c r="J138" s="93"/>
      <c r="K138" s="93"/>
      <c r="L138" s="100"/>
      <c r="M138" s="100"/>
      <c r="N138" s="93"/>
      <c r="O138" s="93"/>
      <c r="P138" s="93"/>
      <c r="Q138" s="100"/>
      <c r="R138" s="100"/>
    </row>
    <row r="139" spans="2:18">
      <c r="B139" s="92"/>
      <c r="C139" s="92"/>
      <c r="D139" s="92"/>
      <c r="E139" s="92"/>
      <c r="F139" s="92"/>
      <c r="G139" s="92"/>
      <c r="H139" s="92"/>
      <c r="I139" s="93"/>
      <c r="J139" s="93"/>
      <c r="K139" s="93"/>
      <c r="L139" s="100"/>
      <c r="M139" s="100"/>
      <c r="N139" s="93"/>
      <c r="O139" s="93"/>
      <c r="P139" s="93"/>
      <c r="Q139" s="100"/>
      <c r="R139" s="100"/>
    </row>
    <row r="140" spans="2:18">
      <c r="B140" s="92"/>
      <c r="C140" s="92"/>
      <c r="D140" s="92"/>
      <c r="E140" s="92"/>
      <c r="F140" s="92"/>
      <c r="G140" s="92"/>
      <c r="H140" s="92"/>
      <c r="I140" s="93"/>
      <c r="J140" s="93"/>
      <c r="K140" s="93"/>
      <c r="L140" s="100"/>
      <c r="M140" s="100"/>
      <c r="N140" s="93"/>
      <c r="O140" s="93"/>
      <c r="P140" s="93"/>
      <c r="Q140" s="100"/>
      <c r="R140" s="100"/>
    </row>
    <row r="141" spans="2:18">
      <c r="B141" s="92"/>
      <c r="C141" s="92"/>
      <c r="D141" s="92"/>
      <c r="E141" s="92"/>
      <c r="F141" s="92"/>
      <c r="G141" s="92"/>
      <c r="H141" s="92"/>
      <c r="I141" s="93"/>
      <c r="J141" s="93"/>
      <c r="K141" s="93"/>
      <c r="L141" s="100"/>
      <c r="M141" s="100"/>
      <c r="N141" s="93"/>
      <c r="O141" s="93"/>
      <c r="P141" s="93"/>
      <c r="Q141" s="100"/>
      <c r="R141" s="100"/>
    </row>
    <row r="142" spans="2:18">
      <c r="B142" s="92"/>
      <c r="C142" s="92"/>
      <c r="D142" s="92"/>
      <c r="E142" s="92"/>
      <c r="F142" s="92"/>
      <c r="G142" s="92"/>
      <c r="H142" s="92"/>
      <c r="I142" s="93"/>
      <c r="J142" s="93"/>
      <c r="K142" s="93"/>
      <c r="L142" s="100"/>
      <c r="M142" s="100"/>
      <c r="N142" s="93"/>
      <c r="O142" s="93"/>
      <c r="P142" s="93"/>
      <c r="Q142" s="100"/>
      <c r="R142" s="100"/>
    </row>
    <row r="143" spans="2:18">
      <c r="B143" s="92"/>
      <c r="C143" s="92"/>
      <c r="D143" s="92"/>
      <c r="E143" s="92"/>
      <c r="F143" s="92"/>
      <c r="G143" s="92"/>
      <c r="H143" s="92"/>
      <c r="I143" s="93"/>
      <c r="J143" s="93"/>
      <c r="K143" s="93"/>
      <c r="L143" s="100"/>
      <c r="M143" s="100"/>
      <c r="N143" s="93"/>
      <c r="O143" s="93"/>
      <c r="P143" s="93"/>
      <c r="Q143" s="100"/>
      <c r="R143" s="100"/>
    </row>
    <row r="144" spans="2:18">
      <c r="B144" s="92"/>
      <c r="C144" s="92"/>
      <c r="D144" s="92"/>
      <c r="E144" s="92"/>
      <c r="F144" s="92"/>
      <c r="G144" s="92"/>
      <c r="H144" s="92"/>
      <c r="I144" s="93"/>
      <c r="J144" s="93"/>
      <c r="K144" s="93"/>
      <c r="L144" s="100"/>
      <c r="M144" s="100"/>
      <c r="N144" s="93"/>
      <c r="O144" s="93"/>
      <c r="P144" s="93"/>
      <c r="Q144" s="100"/>
      <c r="R144" s="100"/>
    </row>
    <row r="145" spans="2:18">
      <c r="B145" s="92"/>
      <c r="C145" s="92"/>
      <c r="D145" s="92"/>
      <c r="E145" s="92"/>
      <c r="F145" s="92"/>
      <c r="G145" s="92"/>
      <c r="H145" s="92"/>
      <c r="I145" s="93"/>
      <c r="J145" s="93"/>
      <c r="K145" s="93"/>
      <c r="L145" s="100"/>
      <c r="M145" s="100"/>
      <c r="N145" s="93"/>
      <c r="O145" s="93"/>
      <c r="P145" s="93"/>
      <c r="Q145" s="100"/>
      <c r="R145" s="100"/>
    </row>
    <row r="146" spans="2:18">
      <c r="B146" s="92"/>
      <c r="C146" s="92"/>
      <c r="D146" s="92"/>
      <c r="E146" s="92"/>
      <c r="F146" s="92"/>
      <c r="G146" s="92"/>
      <c r="H146" s="92"/>
      <c r="I146" s="93"/>
      <c r="J146" s="93"/>
      <c r="K146" s="93"/>
      <c r="L146" s="100"/>
      <c r="M146" s="100"/>
      <c r="N146" s="93"/>
      <c r="O146" s="93"/>
      <c r="P146" s="93"/>
      <c r="Q146" s="100"/>
      <c r="R146" s="100"/>
    </row>
    <row r="147" spans="2:18">
      <c r="B147" s="92"/>
      <c r="C147" s="92"/>
      <c r="D147" s="92"/>
      <c r="E147" s="92"/>
      <c r="F147" s="92"/>
      <c r="G147" s="92"/>
      <c r="H147" s="92"/>
      <c r="I147" s="93"/>
      <c r="J147" s="93"/>
      <c r="K147" s="93"/>
      <c r="L147" s="100"/>
      <c r="M147" s="100"/>
      <c r="N147" s="93"/>
      <c r="O147" s="93"/>
      <c r="P147" s="93"/>
      <c r="Q147" s="100"/>
      <c r="R147" s="100"/>
    </row>
    <row r="148" spans="2:18">
      <c r="B148" s="92"/>
      <c r="C148" s="92"/>
      <c r="D148" s="92"/>
      <c r="E148" s="92"/>
      <c r="F148" s="92"/>
      <c r="G148" s="92"/>
      <c r="H148" s="92"/>
      <c r="I148" s="93"/>
      <c r="J148" s="93"/>
      <c r="K148" s="93"/>
      <c r="L148" s="100"/>
      <c r="M148" s="100"/>
      <c r="N148" s="93"/>
      <c r="O148" s="93"/>
      <c r="P148" s="93"/>
      <c r="Q148" s="100"/>
      <c r="R148" s="100"/>
    </row>
    <row r="149" spans="2:18">
      <c r="B149" s="92"/>
      <c r="C149" s="92"/>
      <c r="D149" s="92"/>
      <c r="E149" s="92"/>
      <c r="F149" s="92"/>
      <c r="G149" s="92"/>
      <c r="H149" s="92"/>
      <c r="I149" s="93"/>
      <c r="J149" s="93"/>
      <c r="K149" s="93"/>
      <c r="L149" s="100"/>
      <c r="M149" s="100"/>
      <c r="N149" s="93"/>
      <c r="O149" s="93"/>
      <c r="P149" s="93"/>
      <c r="Q149" s="100"/>
      <c r="R149" s="100"/>
    </row>
    <row r="150" spans="2:18">
      <c r="B150" s="92"/>
      <c r="C150" s="92"/>
      <c r="D150" s="92"/>
      <c r="E150" s="92"/>
      <c r="F150" s="92"/>
      <c r="G150" s="92"/>
      <c r="H150" s="92"/>
      <c r="I150" s="93"/>
      <c r="J150" s="93"/>
      <c r="K150" s="93"/>
      <c r="L150" s="100"/>
      <c r="M150" s="100"/>
      <c r="N150" s="93"/>
      <c r="O150" s="93"/>
      <c r="P150" s="93"/>
      <c r="Q150" s="100"/>
      <c r="R150" s="100"/>
    </row>
    <row r="151" spans="2:18">
      <c r="B151" s="92"/>
      <c r="C151" s="92"/>
      <c r="D151" s="92"/>
      <c r="E151" s="92"/>
      <c r="F151" s="92"/>
      <c r="G151" s="92"/>
      <c r="H151" s="92"/>
      <c r="I151" s="93"/>
      <c r="J151" s="93"/>
      <c r="K151" s="93"/>
      <c r="L151" s="100"/>
      <c r="M151" s="100"/>
      <c r="N151" s="93"/>
      <c r="O151" s="93"/>
      <c r="P151" s="93"/>
      <c r="Q151" s="100"/>
      <c r="R151" s="100"/>
    </row>
    <row r="152" spans="2:18">
      <c r="B152" s="92"/>
      <c r="C152" s="92"/>
      <c r="D152" s="92"/>
      <c r="E152" s="92"/>
      <c r="F152" s="92"/>
      <c r="G152" s="92"/>
      <c r="H152" s="92"/>
      <c r="I152" s="93"/>
      <c r="J152" s="93"/>
      <c r="K152" s="93"/>
      <c r="L152" s="100"/>
      <c r="M152" s="100"/>
      <c r="N152" s="93"/>
      <c r="O152" s="93"/>
      <c r="P152" s="93"/>
      <c r="Q152" s="100"/>
      <c r="R152" s="100"/>
    </row>
    <row r="153" spans="2:18">
      <c r="B153" s="92"/>
      <c r="C153" s="92"/>
      <c r="D153" s="92"/>
      <c r="E153" s="92"/>
      <c r="F153" s="92"/>
      <c r="G153" s="92"/>
      <c r="H153" s="92"/>
      <c r="I153" s="93"/>
      <c r="J153" s="93"/>
      <c r="K153" s="93"/>
      <c r="L153" s="100"/>
      <c r="M153" s="100"/>
      <c r="N153" s="93"/>
      <c r="O153" s="93"/>
      <c r="P153" s="93"/>
      <c r="Q153" s="100"/>
      <c r="R153" s="100"/>
    </row>
    <row r="154" spans="2:18">
      <c r="B154" s="92"/>
      <c r="C154" s="92"/>
      <c r="D154" s="92"/>
      <c r="E154" s="92"/>
      <c r="F154" s="92"/>
      <c r="G154" s="92"/>
      <c r="H154" s="92"/>
      <c r="I154" s="93"/>
      <c r="J154" s="93"/>
      <c r="K154" s="93"/>
      <c r="L154" s="100"/>
      <c r="M154" s="100"/>
      <c r="N154" s="93"/>
      <c r="O154" s="93"/>
      <c r="P154" s="93"/>
      <c r="Q154" s="100"/>
      <c r="R154" s="100"/>
    </row>
    <row r="155" spans="2:18">
      <c r="B155" s="92"/>
      <c r="C155" s="92"/>
      <c r="D155" s="92"/>
      <c r="E155" s="92"/>
      <c r="F155" s="92"/>
      <c r="G155" s="92"/>
      <c r="H155" s="92"/>
      <c r="I155" s="93"/>
      <c r="J155" s="93"/>
      <c r="K155" s="93"/>
      <c r="L155" s="100"/>
      <c r="M155" s="100"/>
      <c r="N155" s="93"/>
      <c r="O155" s="93"/>
      <c r="P155" s="93"/>
      <c r="Q155" s="100"/>
      <c r="R155" s="100"/>
    </row>
    <row r="156" spans="2:18">
      <c r="B156" s="92"/>
      <c r="C156" s="92"/>
      <c r="D156" s="92"/>
      <c r="E156" s="92"/>
      <c r="F156" s="92"/>
      <c r="G156" s="92"/>
      <c r="H156" s="92"/>
      <c r="I156" s="93"/>
      <c r="J156" s="93"/>
      <c r="K156" s="93"/>
      <c r="L156" s="100"/>
      <c r="M156" s="100"/>
      <c r="N156" s="93"/>
      <c r="O156" s="93"/>
      <c r="P156" s="93"/>
      <c r="Q156" s="100"/>
      <c r="R156" s="100"/>
    </row>
    <row r="157" spans="2:18">
      <c r="B157" s="92"/>
      <c r="C157" s="92"/>
      <c r="D157" s="92"/>
      <c r="E157" s="92"/>
      <c r="F157" s="92"/>
      <c r="G157" s="92"/>
      <c r="H157" s="92"/>
      <c r="I157" s="93"/>
      <c r="J157" s="93"/>
      <c r="K157" s="93"/>
      <c r="L157" s="100"/>
      <c r="M157" s="100"/>
      <c r="N157" s="93"/>
      <c r="O157" s="93"/>
      <c r="P157" s="93"/>
      <c r="Q157" s="100"/>
      <c r="R157" s="100"/>
    </row>
    <row r="158" spans="2:18">
      <c r="B158" s="92"/>
      <c r="C158" s="92"/>
      <c r="D158" s="92"/>
      <c r="E158" s="92"/>
      <c r="F158" s="92"/>
      <c r="G158" s="92"/>
      <c r="H158" s="92"/>
      <c r="I158" s="93"/>
      <c r="J158" s="93"/>
      <c r="K158" s="93"/>
      <c r="L158" s="100"/>
      <c r="M158" s="100"/>
      <c r="N158" s="93"/>
      <c r="O158" s="93"/>
      <c r="P158" s="93"/>
      <c r="Q158" s="100"/>
      <c r="R158" s="100"/>
    </row>
    <row r="159" spans="2:18">
      <c r="B159" s="92"/>
      <c r="C159" s="92"/>
      <c r="D159" s="92"/>
      <c r="E159" s="92"/>
      <c r="F159" s="92"/>
      <c r="G159" s="92"/>
      <c r="H159" s="92"/>
      <c r="I159" s="93"/>
      <c r="J159" s="93"/>
      <c r="K159" s="93"/>
      <c r="L159" s="100"/>
      <c r="M159" s="100"/>
      <c r="N159" s="93"/>
      <c r="O159" s="93"/>
      <c r="P159" s="93"/>
      <c r="Q159" s="100"/>
      <c r="R159" s="100"/>
    </row>
    <row r="160" spans="2:18">
      <c r="B160" s="92"/>
      <c r="C160" s="92"/>
      <c r="D160" s="92"/>
      <c r="E160" s="92"/>
      <c r="F160" s="92"/>
      <c r="G160" s="92"/>
      <c r="H160" s="92"/>
      <c r="I160" s="93"/>
      <c r="J160" s="93"/>
      <c r="K160" s="93"/>
      <c r="L160" s="100"/>
      <c r="M160" s="100"/>
      <c r="N160" s="93"/>
      <c r="O160" s="93"/>
      <c r="P160" s="93"/>
      <c r="Q160" s="100"/>
      <c r="R160" s="100"/>
    </row>
    <row r="161" spans="2:18">
      <c r="B161" s="92"/>
      <c r="C161" s="92"/>
      <c r="D161" s="92"/>
      <c r="E161" s="92"/>
      <c r="F161" s="92"/>
      <c r="G161" s="92"/>
      <c r="H161" s="92"/>
      <c r="I161" s="93"/>
      <c r="J161" s="93"/>
      <c r="K161" s="93"/>
      <c r="L161" s="100"/>
      <c r="M161" s="100"/>
      <c r="N161" s="93"/>
      <c r="O161" s="93"/>
      <c r="P161" s="93"/>
      <c r="Q161" s="100"/>
      <c r="R161" s="100"/>
    </row>
    <row r="162" spans="2:18">
      <c r="B162" s="92"/>
      <c r="C162" s="92"/>
      <c r="D162" s="92"/>
      <c r="E162" s="92"/>
      <c r="F162" s="92"/>
      <c r="G162" s="92"/>
      <c r="H162" s="92"/>
      <c r="I162" s="93"/>
      <c r="J162" s="93"/>
      <c r="K162" s="93"/>
      <c r="L162" s="100"/>
      <c r="M162" s="100"/>
      <c r="N162" s="93"/>
      <c r="O162" s="93"/>
      <c r="P162" s="93"/>
      <c r="Q162" s="100"/>
      <c r="R162" s="100"/>
    </row>
    <row r="163" spans="2:18">
      <c r="B163" s="92"/>
      <c r="C163" s="92"/>
      <c r="D163" s="92"/>
      <c r="E163" s="92"/>
      <c r="F163" s="92"/>
      <c r="G163" s="92"/>
      <c r="H163" s="92"/>
      <c r="I163" s="93"/>
      <c r="J163" s="93"/>
      <c r="K163" s="93"/>
      <c r="L163" s="100"/>
      <c r="M163" s="100"/>
      <c r="N163" s="93"/>
      <c r="O163" s="93"/>
      <c r="P163" s="93"/>
      <c r="Q163" s="100"/>
      <c r="R163" s="100"/>
    </row>
    <row r="164" spans="2:18">
      <c r="B164" s="92"/>
      <c r="C164" s="92"/>
      <c r="D164" s="92"/>
      <c r="E164" s="92"/>
      <c r="F164" s="92"/>
      <c r="G164" s="92"/>
      <c r="H164" s="92"/>
      <c r="I164" s="93"/>
      <c r="J164" s="93"/>
      <c r="K164" s="93"/>
      <c r="L164" s="100"/>
      <c r="M164" s="100"/>
      <c r="N164" s="93"/>
      <c r="O164" s="93"/>
      <c r="P164" s="93"/>
      <c r="Q164" s="100"/>
      <c r="R164" s="100"/>
    </row>
    <row r="165" spans="2:18">
      <c r="B165" s="92"/>
      <c r="C165" s="92"/>
      <c r="D165" s="92"/>
      <c r="E165" s="92"/>
      <c r="F165" s="92"/>
      <c r="G165" s="92"/>
      <c r="H165" s="92"/>
      <c r="I165" s="93"/>
      <c r="J165" s="93"/>
      <c r="K165" s="93"/>
      <c r="L165" s="100"/>
      <c r="M165" s="100"/>
      <c r="N165" s="93"/>
      <c r="O165" s="93"/>
      <c r="P165" s="93"/>
      <c r="Q165" s="100"/>
      <c r="R165" s="100"/>
    </row>
    <row r="166" spans="2:18">
      <c r="B166" s="92"/>
      <c r="C166" s="92"/>
      <c r="D166" s="92"/>
      <c r="E166" s="92"/>
      <c r="F166" s="92"/>
      <c r="G166" s="92"/>
      <c r="H166" s="92"/>
      <c r="I166" s="93"/>
      <c r="J166" s="93"/>
      <c r="K166" s="93"/>
      <c r="L166" s="100"/>
      <c r="M166" s="100"/>
      <c r="N166" s="93"/>
      <c r="O166" s="93"/>
      <c r="P166" s="93"/>
      <c r="Q166" s="100"/>
      <c r="R166" s="100"/>
    </row>
    <row r="167" spans="2:18">
      <c r="B167" s="92"/>
      <c r="C167" s="92"/>
      <c r="D167" s="92"/>
      <c r="E167" s="92"/>
      <c r="F167" s="92"/>
      <c r="G167" s="92"/>
      <c r="H167" s="92"/>
      <c r="I167" s="93"/>
      <c r="J167" s="93"/>
      <c r="K167" s="93"/>
      <c r="L167" s="100"/>
      <c r="M167" s="100"/>
      <c r="N167" s="93"/>
      <c r="O167" s="93"/>
      <c r="P167" s="93"/>
      <c r="Q167" s="100"/>
      <c r="R167" s="100"/>
    </row>
    <row r="168" spans="2:18">
      <c r="B168" s="92"/>
      <c r="C168" s="92"/>
      <c r="D168" s="92"/>
      <c r="E168" s="92"/>
      <c r="F168" s="92"/>
      <c r="G168" s="92"/>
      <c r="H168" s="92"/>
      <c r="I168" s="93"/>
      <c r="J168" s="93"/>
      <c r="K168" s="93"/>
      <c r="L168" s="100"/>
      <c r="M168" s="100"/>
      <c r="N168" s="93"/>
      <c r="O168" s="93"/>
      <c r="P168" s="93"/>
      <c r="Q168" s="100"/>
      <c r="R168" s="100"/>
    </row>
    <row r="169" spans="2:18">
      <c r="B169" s="92"/>
      <c r="C169" s="92"/>
      <c r="D169" s="92"/>
      <c r="E169" s="92"/>
      <c r="F169" s="92"/>
      <c r="G169" s="92"/>
      <c r="H169" s="92"/>
      <c r="I169" s="93"/>
      <c r="J169" s="93"/>
      <c r="K169" s="93"/>
      <c r="L169" s="100"/>
      <c r="M169" s="100"/>
      <c r="N169" s="93"/>
      <c r="O169" s="93"/>
      <c r="P169" s="93"/>
      <c r="Q169" s="100"/>
      <c r="R169" s="100"/>
    </row>
    <row r="170" spans="2:18">
      <c r="B170" s="92"/>
      <c r="C170" s="92"/>
      <c r="D170" s="92"/>
      <c r="E170" s="92"/>
      <c r="F170" s="92"/>
      <c r="G170" s="92"/>
      <c r="H170" s="92"/>
      <c r="I170" s="93"/>
      <c r="J170" s="93"/>
      <c r="K170" s="93"/>
      <c r="L170" s="100"/>
      <c r="M170" s="100"/>
      <c r="N170" s="93"/>
      <c r="O170" s="93"/>
      <c r="P170" s="93"/>
      <c r="Q170" s="100"/>
      <c r="R170" s="100"/>
    </row>
    <row r="171" spans="2:18">
      <c r="B171" s="92"/>
      <c r="C171" s="92"/>
      <c r="D171" s="92"/>
      <c r="E171" s="92"/>
      <c r="F171" s="92"/>
      <c r="G171" s="92"/>
      <c r="H171" s="92"/>
      <c r="I171" s="93"/>
      <c r="J171" s="93"/>
      <c r="K171" s="93"/>
      <c r="L171" s="100"/>
      <c r="M171" s="100"/>
      <c r="N171" s="93"/>
      <c r="O171" s="93"/>
      <c r="P171" s="93"/>
      <c r="Q171" s="100"/>
      <c r="R171" s="100"/>
    </row>
    <row r="172" spans="2:18">
      <c r="B172" s="92"/>
      <c r="C172" s="92"/>
      <c r="D172" s="92"/>
      <c r="E172" s="92"/>
      <c r="F172" s="92"/>
      <c r="G172" s="92"/>
      <c r="H172" s="92"/>
      <c r="I172" s="93"/>
      <c r="J172" s="93"/>
      <c r="K172" s="93"/>
      <c r="L172" s="100"/>
      <c r="M172" s="100"/>
      <c r="N172" s="93"/>
      <c r="O172" s="93"/>
      <c r="P172" s="93"/>
      <c r="Q172" s="100"/>
      <c r="R172" s="100"/>
    </row>
    <row r="173" spans="2:18">
      <c r="B173" s="92"/>
      <c r="C173" s="92"/>
      <c r="D173" s="92"/>
      <c r="E173" s="92"/>
      <c r="F173" s="92"/>
      <c r="G173" s="92"/>
      <c r="H173" s="92"/>
      <c r="I173" s="93"/>
      <c r="J173" s="93"/>
      <c r="K173" s="93"/>
      <c r="L173" s="100"/>
      <c r="M173" s="100"/>
      <c r="N173" s="93"/>
      <c r="O173" s="93"/>
      <c r="P173" s="93"/>
      <c r="Q173" s="100"/>
      <c r="R173" s="100"/>
    </row>
    <row r="174" spans="2:18">
      <c r="B174" s="92"/>
      <c r="C174" s="92"/>
      <c r="D174" s="92"/>
      <c r="E174" s="92"/>
      <c r="F174" s="92"/>
      <c r="G174" s="92"/>
      <c r="H174" s="92"/>
      <c r="I174" s="93"/>
      <c r="J174" s="93"/>
      <c r="K174" s="93"/>
      <c r="L174" s="100"/>
      <c r="M174" s="100"/>
      <c r="N174" s="93"/>
      <c r="O174" s="93"/>
      <c r="P174" s="93"/>
      <c r="Q174" s="100"/>
      <c r="R174" s="100"/>
    </row>
    <row r="175" spans="2:18">
      <c r="B175" s="92"/>
      <c r="C175" s="92"/>
      <c r="D175" s="92"/>
      <c r="E175" s="92"/>
      <c r="F175" s="92"/>
      <c r="G175" s="92"/>
      <c r="H175" s="92"/>
      <c r="I175" s="93"/>
      <c r="J175" s="93"/>
      <c r="K175" s="93"/>
      <c r="L175" s="100"/>
      <c r="M175" s="100"/>
      <c r="N175" s="93"/>
      <c r="O175" s="93"/>
      <c r="P175" s="93"/>
      <c r="Q175" s="100"/>
      <c r="R175" s="100"/>
    </row>
    <row r="176" spans="2:18">
      <c r="B176" s="92"/>
      <c r="C176" s="92"/>
      <c r="D176" s="92"/>
      <c r="E176" s="92"/>
      <c r="F176" s="92"/>
      <c r="G176" s="92"/>
      <c r="H176" s="92"/>
      <c r="I176" s="93"/>
      <c r="J176" s="93"/>
      <c r="K176" s="93"/>
      <c r="L176" s="100"/>
      <c r="M176" s="100"/>
      <c r="N176" s="93"/>
      <c r="O176" s="93"/>
      <c r="P176" s="93"/>
      <c r="Q176" s="100"/>
      <c r="R176" s="100"/>
    </row>
    <row r="177" spans="2:18">
      <c r="B177" s="92"/>
      <c r="C177" s="92"/>
      <c r="D177" s="92"/>
      <c r="E177" s="92"/>
      <c r="F177" s="92"/>
      <c r="G177" s="92"/>
      <c r="H177" s="92"/>
      <c r="I177" s="93"/>
      <c r="J177" s="93"/>
      <c r="K177" s="93"/>
      <c r="L177" s="100"/>
      <c r="M177" s="100"/>
      <c r="N177" s="93"/>
      <c r="O177" s="93"/>
      <c r="P177" s="93"/>
      <c r="Q177" s="100"/>
      <c r="R177" s="100"/>
    </row>
    <row r="178" spans="2:18">
      <c r="B178" s="92"/>
      <c r="C178" s="92"/>
      <c r="D178" s="92"/>
      <c r="E178" s="92"/>
      <c r="F178" s="92"/>
      <c r="G178" s="92"/>
      <c r="H178" s="92"/>
      <c r="I178" s="93"/>
      <c r="J178" s="93"/>
      <c r="K178" s="93"/>
      <c r="L178" s="100"/>
      <c r="M178" s="100"/>
      <c r="N178" s="93"/>
      <c r="O178" s="93"/>
      <c r="P178" s="93"/>
      <c r="Q178" s="100"/>
      <c r="R178" s="100"/>
    </row>
    <row r="179" spans="2:18">
      <c r="B179" s="92"/>
      <c r="C179" s="92"/>
      <c r="D179" s="92"/>
      <c r="E179" s="92"/>
      <c r="F179" s="92"/>
      <c r="G179" s="92"/>
      <c r="H179" s="92"/>
      <c r="I179" s="93"/>
      <c r="J179" s="93"/>
      <c r="K179" s="93"/>
      <c r="L179" s="100"/>
      <c r="M179" s="100"/>
      <c r="N179" s="93"/>
      <c r="O179" s="93"/>
      <c r="P179" s="93"/>
      <c r="Q179" s="100"/>
      <c r="R179" s="100"/>
    </row>
    <row r="180" spans="2:18">
      <c r="B180" s="92"/>
      <c r="C180" s="92"/>
      <c r="D180" s="92"/>
      <c r="E180" s="92"/>
      <c r="F180" s="92"/>
      <c r="G180" s="92"/>
      <c r="H180" s="92"/>
      <c r="I180" s="93"/>
      <c r="J180" s="93"/>
      <c r="K180" s="93"/>
      <c r="L180" s="100"/>
      <c r="M180" s="100"/>
      <c r="N180" s="93"/>
      <c r="O180" s="93"/>
      <c r="P180" s="93"/>
      <c r="Q180" s="100"/>
      <c r="R180" s="100"/>
    </row>
    <row r="181" spans="2:18">
      <c r="B181" s="92"/>
      <c r="C181" s="92"/>
      <c r="D181" s="92"/>
      <c r="E181" s="92"/>
      <c r="F181" s="92"/>
      <c r="G181" s="92"/>
      <c r="H181" s="92"/>
      <c r="I181" s="93"/>
      <c r="J181" s="93"/>
      <c r="K181" s="93"/>
      <c r="L181" s="100"/>
      <c r="M181" s="100"/>
      <c r="N181" s="93"/>
      <c r="O181" s="93"/>
      <c r="P181" s="93"/>
      <c r="Q181" s="100"/>
      <c r="R181" s="100"/>
    </row>
    <row r="182" spans="2:18">
      <c r="B182" s="92"/>
      <c r="C182" s="92"/>
      <c r="D182" s="92"/>
      <c r="E182" s="92"/>
      <c r="F182" s="92"/>
      <c r="G182" s="92"/>
      <c r="H182" s="92"/>
      <c r="I182" s="93"/>
      <c r="J182" s="93"/>
      <c r="K182" s="93"/>
      <c r="L182" s="100"/>
      <c r="M182" s="100"/>
      <c r="N182" s="93"/>
      <c r="O182" s="93"/>
      <c r="P182" s="93"/>
      <c r="Q182" s="100"/>
      <c r="R182" s="100"/>
    </row>
    <row r="183" spans="2:18">
      <c r="B183" s="92"/>
      <c r="C183" s="92"/>
      <c r="D183" s="92"/>
      <c r="E183" s="92"/>
      <c r="F183" s="92"/>
      <c r="G183" s="92"/>
      <c r="H183" s="92"/>
      <c r="I183" s="93"/>
      <c r="J183" s="93"/>
      <c r="K183" s="93"/>
      <c r="L183" s="100"/>
      <c r="M183" s="100"/>
      <c r="N183" s="93"/>
      <c r="O183" s="93"/>
      <c r="P183" s="93"/>
      <c r="Q183" s="100"/>
      <c r="R183" s="100"/>
    </row>
    <row r="184" spans="2:18">
      <c r="B184" s="92"/>
      <c r="C184" s="92"/>
      <c r="D184" s="92"/>
      <c r="E184" s="92"/>
      <c r="F184" s="92"/>
      <c r="G184" s="92"/>
      <c r="H184" s="92"/>
      <c r="I184" s="93"/>
      <c r="J184" s="93"/>
      <c r="K184" s="93"/>
      <c r="L184" s="100"/>
      <c r="M184" s="100"/>
      <c r="N184" s="93"/>
      <c r="O184" s="93"/>
      <c r="P184" s="93"/>
      <c r="Q184" s="100"/>
      <c r="R184" s="100"/>
    </row>
    <row r="185" spans="2:18">
      <c r="B185" s="92"/>
      <c r="C185" s="92"/>
      <c r="D185" s="92"/>
      <c r="E185" s="92"/>
      <c r="F185" s="92"/>
      <c r="G185" s="92"/>
      <c r="H185" s="92"/>
      <c r="I185" s="93"/>
      <c r="J185" s="93"/>
      <c r="K185" s="93"/>
      <c r="L185" s="100"/>
      <c r="M185" s="100"/>
      <c r="N185" s="93"/>
      <c r="O185" s="93"/>
      <c r="P185" s="93"/>
      <c r="Q185" s="100"/>
      <c r="R185" s="100"/>
    </row>
    <row r="186" spans="2:18">
      <c r="B186" s="92"/>
      <c r="C186" s="92"/>
      <c r="D186" s="92"/>
      <c r="E186" s="92"/>
      <c r="F186" s="92"/>
      <c r="G186" s="92"/>
      <c r="H186" s="92"/>
      <c r="I186" s="93"/>
      <c r="J186" s="93"/>
      <c r="K186" s="93"/>
      <c r="L186" s="100"/>
      <c r="M186" s="100"/>
      <c r="N186" s="93"/>
      <c r="O186" s="93"/>
      <c r="P186" s="93"/>
      <c r="Q186" s="100"/>
      <c r="R186" s="100"/>
    </row>
    <row r="187" spans="2:18">
      <c r="B187" s="92"/>
      <c r="C187" s="92"/>
      <c r="D187" s="92"/>
      <c r="E187" s="92"/>
      <c r="F187" s="92"/>
      <c r="G187" s="92"/>
      <c r="H187" s="92"/>
      <c r="I187" s="93"/>
      <c r="J187" s="93"/>
      <c r="K187" s="93"/>
      <c r="L187" s="100"/>
      <c r="M187" s="100"/>
      <c r="N187" s="93"/>
      <c r="O187" s="93"/>
      <c r="P187" s="93"/>
      <c r="Q187" s="100"/>
      <c r="R187" s="100"/>
    </row>
    <row r="188" spans="2:18">
      <c r="B188" s="92"/>
      <c r="C188" s="92"/>
      <c r="D188" s="92"/>
      <c r="E188" s="92"/>
      <c r="F188" s="92"/>
      <c r="G188" s="92"/>
      <c r="H188" s="92"/>
      <c r="I188" s="93"/>
      <c r="J188" s="93"/>
      <c r="K188" s="93"/>
      <c r="L188" s="100"/>
      <c r="M188" s="100"/>
      <c r="N188" s="93"/>
      <c r="O188" s="93"/>
      <c r="P188" s="93"/>
      <c r="Q188" s="100"/>
      <c r="R188" s="100"/>
    </row>
    <row r="189" spans="2:18">
      <c r="B189" s="92"/>
      <c r="C189" s="92"/>
      <c r="D189" s="92"/>
      <c r="E189" s="92"/>
      <c r="F189" s="92"/>
      <c r="G189" s="92"/>
      <c r="H189" s="92"/>
      <c r="I189" s="93"/>
      <c r="J189" s="93"/>
      <c r="K189" s="93"/>
      <c r="L189" s="100"/>
      <c r="M189" s="100"/>
      <c r="N189" s="93"/>
      <c r="O189" s="93"/>
      <c r="P189" s="93"/>
      <c r="Q189" s="100"/>
      <c r="R189" s="100"/>
    </row>
    <row r="190" spans="2:18">
      <c r="B190" s="92"/>
      <c r="C190" s="92"/>
      <c r="D190" s="92"/>
      <c r="E190" s="92"/>
      <c r="F190" s="92"/>
      <c r="G190" s="92"/>
      <c r="H190" s="92"/>
      <c r="I190" s="93"/>
      <c r="J190" s="93"/>
      <c r="K190" s="93"/>
      <c r="L190" s="100"/>
      <c r="M190" s="100"/>
      <c r="N190" s="93"/>
      <c r="O190" s="93"/>
      <c r="P190" s="93"/>
      <c r="Q190" s="100"/>
      <c r="R190" s="100"/>
    </row>
    <row r="191" spans="2:18">
      <c r="B191" s="92"/>
      <c r="C191" s="92"/>
      <c r="D191" s="92"/>
      <c r="E191" s="92"/>
      <c r="F191" s="92"/>
      <c r="G191" s="92"/>
      <c r="H191" s="92"/>
      <c r="I191" s="93"/>
      <c r="J191" s="93"/>
      <c r="K191" s="93"/>
      <c r="L191" s="100"/>
      <c r="M191" s="100"/>
      <c r="N191" s="93"/>
      <c r="O191" s="93"/>
      <c r="P191" s="93"/>
      <c r="Q191" s="100"/>
      <c r="R191" s="100"/>
    </row>
    <row r="192" spans="2:18">
      <c r="B192" s="92"/>
      <c r="C192" s="92"/>
      <c r="D192" s="92"/>
      <c r="E192" s="92"/>
      <c r="F192" s="92"/>
      <c r="G192" s="92"/>
      <c r="H192" s="92"/>
      <c r="I192" s="93"/>
      <c r="J192" s="93"/>
      <c r="K192" s="93"/>
      <c r="L192" s="100"/>
      <c r="M192" s="100"/>
      <c r="N192" s="93"/>
      <c r="O192" s="93"/>
      <c r="P192" s="93"/>
      <c r="Q192" s="100"/>
      <c r="R192" s="100"/>
    </row>
    <row r="193" spans="2:18">
      <c r="B193" s="92"/>
      <c r="C193" s="92"/>
      <c r="D193" s="92"/>
      <c r="E193" s="92"/>
      <c r="F193" s="92"/>
      <c r="G193" s="92"/>
      <c r="H193" s="92"/>
      <c r="I193" s="93"/>
      <c r="J193" s="93"/>
      <c r="K193" s="93"/>
      <c r="L193" s="100"/>
      <c r="M193" s="100"/>
      <c r="N193" s="93"/>
      <c r="O193" s="93"/>
      <c r="P193" s="93"/>
      <c r="Q193" s="100"/>
      <c r="R193" s="100"/>
    </row>
    <row r="194" spans="2:18">
      <c r="B194" s="92"/>
      <c r="C194" s="92"/>
      <c r="D194" s="92"/>
      <c r="E194" s="92"/>
      <c r="F194" s="92"/>
      <c r="G194" s="92"/>
      <c r="H194" s="92"/>
      <c r="I194" s="93"/>
      <c r="J194" s="93"/>
      <c r="K194" s="93"/>
      <c r="L194" s="100"/>
      <c r="M194" s="100"/>
      <c r="N194" s="93"/>
      <c r="O194" s="93"/>
      <c r="P194" s="93"/>
      <c r="Q194" s="100"/>
      <c r="R194" s="100"/>
    </row>
    <row r="195" spans="2:18">
      <c r="B195" s="92"/>
      <c r="C195" s="92"/>
      <c r="D195" s="92"/>
      <c r="E195" s="92"/>
      <c r="F195" s="92"/>
      <c r="G195" s="92"/>
      <c r="H195" s="92"/>
      <c r="I195" s="93"/>
      <c r="J195" s="93"/>
      <c r="K195" s="93"/>
      <c r="L195" s="100"/>
      <c r="M195" s="100"/>
      <c r="N195" s="93"/>
      <c r="O195" s="93"/>
      <c r="P195" s="93"/>
      <c r="Q195" s="100"/>
      <c r="R195" s="100"/>
    </row>
    <row r="196" spans="2:18">
      <c r="B196" s="92"/>
      <c r="C196" s="92"/>
      <c r="D196" s="92"/>
      <c r="E196" s="92"/>
      <c r="F196" s="92"/>
      <c r="G196" s="92"/>
      <c r="H196" s="92"/>
      <c r="I196" s="93"/>
      <c r="J196" s="93"/>
      <c r="K196" s="93"/>
      <c r="L196" s="100"/>
      <c r="M196" s="100"/>
      <c r="N196" s="93"/>
      <c r="O196" s="93"/>
      <c r="P196" s="93"/>
      <c r="Q196" s="100"/>
      <c r="R196" s="100"/>
    </row>
    <row r="197" spans="2:18">
      <c r="B197" s="92"/>
      <c r="C197" s="92"/>
      <c r="D197" s="92"/>
      <c r="E197" s="92"/>
      <c r="F197" s="92"/>
      <c r="G197" s="92"/>
      <c r="H197" s="92"/>
      <c r="I197" s="93"/>
      <c r="J197" s="93"/>
      <c r="K197" s="93"/>
      <c r="L197" s="100"/>
      <c r="M197" s="100"/>
      <c r="N197" s="93"/>
      <c r="O197" s="93"/>
      <c r="P197" s="93"/>
      <c r="Q197" s="100"/>
      <c r="R197" s="100"/>
    </row>
    <row r="198" spans="2:18">
      <c r="B198" s="92"/>
      <c r="C198" s="92"/>
      <c r="D198" s="92"/>
      <c r="E198" s="92"/>
      <c r="F198" s="92"/>
      <c r="G198" s="92"/>
      <c r="H198" s="92"/>
      <c r="I198" s="93"/>
      <c r="J198" s="93"/>
      <c r="K198" s="93"/>
      <c r="L198" s="100"/>
      <c r="M198" s="100"/>
      <c r="N198" s="93"/>
      <c r="O198" s="93"/>
      <c r="P198" s="93"/>
      <c r="Q198" s="100"/>
      <c r="R198" s="100"/>
    </row>
    <row r="199" spans="2:18">
      <c r="B199" s="92"/>
      <c r="C199" s="92"/>
      <c r="D199" s="92"/>
      <c r="E199" s="92"/>
      <c r="F199" s="92"/>
      <c r="G199" s="92"/>
      <c r="H199" s="92"/>
      <c r="I199" s="93"/>
      <c r="J199" s="93"/>
      <c r="K199" s="93"/>
      <c r="L199" s="100"/>
      <c r="M199" s="100"/>
      <c r="N199" s="93"/>
      <c r="O199" s="93"/>
      <c r="P199" s="93"/>
      <c r="Q199" s="100"/>
      <c r="R199" s="100"/>
    </row>
    <row r="200" spans="2:18">
      <c r="B200" s="92"/>
      <c r="C200" s="92"/>
      <c r="D200" s="92"/>
      <c r="E200" s="92"/>
      <c r="F200" s="92"/>
      <c r="G200" s="92"/>
      <c r="H200" s="92"/>
      <c r="I200" s="93"/>
      <c r="J200" s="93"/>
      <c r="K200" s="93"/>
      <c r="L200" s="100"/>
      <c r="M200" s="100"/>
      <c r="N200" s="93"/>
      <c r="O200" s="93"/>
      <c r="P200" s="93"/>
      <c r="Q200" s="100"/>
      <c r="R200" s="100"/>
    </row>
    <row r="201" spans="2:18">
      <c r="B201" s="92"/>
      <c r="C201" s="92"/>
      <c r="D201" s="92"/>
      <c r="E201" s="92"/>
      <c r="F201" s="92"/>
      <c r="G201" s="92"/>
      <c r="H201" s="92"/>
      <c r="I201" s="93"/>
      <c r="J201" s="93"/>
      <c r="K201" s="93"/>
      <c r="L201" s="100"/>
      <c r="M201" s="100"/>
      <c r="N201" s="93"/>
      <c r="O201" s="93"/>
      <c r="P201" s="93"/>
      <c r="Q201" s="100"/>
      <c r="R201" s="100"/>
    </row>
    <row r="202" spans="2:18">
      <c r="B202" s="92"/>
      <c r="C202" s="92"/>
      <c r="D202" s="92"/>
      <c r="E202" s="92"/>
      <c r="F202" s="92"/>
      <c r="G202" s="92"/>
      <c r="H202" s="92"/>
      <c r="I202" s="93"/>
      <c r="J202" s="93"/>
      <c r="K202" s="93"/>
      <c r="L202" s="100"/>
      <c r="M202" s="100"/>
      <c r="N202" s="93"/>
      <c r="O202" s="93"/>
      <c r="P202" s="93"/>
      <c r="Q202" s="100"/>
      <c r="R202" s="100"/>
    </row>
    <row r="203" spans="2:18">
      <c r="B203" s="92"/>
      <c r="C203" s="92"/>
      <c r="D203" s="92"/>
      <c r="E203" s="92"/>
      <c r="F203" s="92"/>
      <c r="G203" s="92"/>
      <c r="H203" s="92"/>
      <c r="I203" s="93"/>
      <c r="J203" s="93"/>
      <c r="K203" s="93"/>
      <c r="L203" s="100"/>
      <c r="M203" s="100"/>
      <c r="N203" s="93"/>
      <c r="O203" s="93"/>
      <c r="P203" s="93"/>
      <c r="Q203" s="100"/>
      <c r="R203" s="100"/>
    </row>
    <row r="204" spans="2:18">
      <c r="B204" s="92"/>
      <c r="C204" s="92"/>
      <c r="D204" s="92"/>
      <c r="E204" s="92"/>
      <c r="F204" s="92"/>
      <c r="G204" s="92"/>
      <c r="H204" s="92"/>
      <c r="I204" s="93"/>
      <c r="J204" s="93"/>
      <c r="K204" s="93"/>
      <c r="L204" s="100"/>
      <c r="M204" s="100"/>
      <c r="N204" s="93"/>
      <c r="O204" s="93"/>
      <c r="P204" s="93"/>
      <c r="Q204" s="100"/>
      <c r="R204" s="100"/>
    </row>
    <row r="205" spans="2:18">
      <c r="B205" s="92"/>
      <c r="C205" s="92"/>
      <c r="D205" s="92"/>
      <c r="E205" s="92"/>
      <c r="F205" s="92"/>
      <c r="G205" s="92"/>
      <c r="H205" s="92"/>
      <c r="I205" s="93"/>
      <c r="J205" s="93"/>
      <c r="K205" s="93"/>
      <c r="L205" s="100"/>
      <c r="M205" s="100"/>
      <c r="N205" s="93"/>
      <c r="O205" s="93"/>
      <c r="P205" s="93"/>
      <c r="Q205" s="100"/>
      <c r="R205" s="100"/>
    </row>
    <row r="206" spans="2:18">
      <c r="B206" s="92"/>
      <c r="C206" s="92"/>
      <c r="D206" s="92"/>
      <c r="E206" s="92"/>
      <c r="F206" s="92"/>
      <c r="G206" s="92"/>
      <c r="H206" s="92"/>
      <c r="I206" s="93"/>
      <c r="J206" s="93"/>
      <c r="K206" s="93"/>
      <c r="L206" s="100"/>
      <c r="M206" s="100"/>
      <c r="N206" s="93"/>
      <c r="O206" s="93"/>
      <c r="P206" s="93"/>
      <c r="Q206" s="100"/>
      <c r="R206" s="100"/>
    </row>
    <row r="207" spans="2:18">
      <c r="B207" s="92"/>
      <c r="C207" s="92"/>
      <c r="D207" s="92"/>
      <c r="E207" s="92"/>
      <c r="F207" s="92"/>
      <c r="G207" s="92"/>
      <c r="H207" s="92"/>
      <c r="I207" s="93"/>
      <c r="J207" s="93"/>
      <c r="K207" s="93"/>
      <c r="L207" s="100"/>
      <c r="M207" s="100"/>
      <c r="N207" s="93"/>
      <c r="O207" s="93"/>
      <c r="P207" s="93"/>
      <c r="Q207" s="100"/>
      <c r="R207" s="100"/>
    </row>
    <row r="208" spans="2:18">
      <c r="B208" s="92"/>
      <c r="C208" s="92"/>
      <c r="D208" s="92"/>
      <c r="E208" s="92"/>
      <c r="F208" s="92"/>
      <c r="G208" s="92"/>
      <c r="H208" s="92"/>
      <c r="I208" s="93"/>
      <c r="J208" s="93"/>
      <c r="K208" s="93"/>
      <c r="L208" s="100"/>
      <c r="M208" s="100"/>
      <c r="N208" s="93"/>
      <c r="O208" s="93"/>
      <c r="P208" s="93"/>
      <c r="Q208" s="100"/>
      <c r="R208" s="100"/>
    </row>
    <row r="209" spans="2:18">
      <c r="B209" s="92"/>
      <c r="C209" s="92"/>
      <c r="D209" s="92"/>
      <c r="E209" s="92"/>
      <c r="F209" s="92"/>
      <c r="G209" s="92"/>
      <c r="H209" s="92"/>
      <c r="I209" s="93"/>
      <c r="J209" s="93"/>
      <c r="K209" s="93"/>
      <c r="L209" s="100"/>
      <c r="M209" s="100"/>
      <c r="N209" s="93"/>
      <c r="O209" s="93"/>
      <c r="P209" s="93"/>
      <c r="Q209" s="100"/>
      <c r="R209" s="100"/>
    </row>
    <row r="210" spans="2:18">
      <c r="B210" s="92"/>
      <c r="C210" s="92"/>
      <c r="D210" s="92"/>
      <c r="E210" s="92"/>
      <c r="F210" s="92"/>
      <c r="G210" s="92"/>
      <c r="H210" s="92"/>
      <c r="I210" s="93"/>
      <c r="J210" s="93"/>
      <c r="K210" s="93"/>
      <c r="L210" s="100"/>
      <c r="M210" s="100"/>
      <c r="N210" s="93"/>
      <c r="O210" s="93"/>
      <c r="P210" s="93"/>
      <c r="Q210" s="100"/>
      <c r="R210" s="100"/>
    </row>
    <row r="211" spans="2:18">
      <c r="B211" s="92"/>
      <c r="C211" s="92"/>
      <c r="D211" s="92"/>
      <c r="E211" s="92"/>
      <c r="F211" s="92"/>
      <c r="G211" s="92"/>
      <c r="H211" s="92"/>
      <c r="I211" s="93"/>
      <c r="J211" s="93"/>
      <c r="K211" s="93"/>
      <c r="L211" s="100"/>
      <c r="M211" s="100"/>
      <c r="N211" s="93"/>
      <c r="O211" s="93"/>
      <c r="P211" s="93"/>
      <c r="Q211" s="100"/>
      <c r="R211" s="100"/>
    </row>
    <row r="212" spans="2:18">
      <c r="B212" s="92"/>
      <c r="C212" s="92"/>
      <c r="D212" s="92"/>
      <c r="E212" s="92"/>
      <c r="F212" s="92"/>
      <c r="G212" s="92"/>
      <c r="H212" s="92"/>
      <c r="I212" s="93"/>
      <c r="J212" s="93"/>
      <c r="K212" s="93"/>
      <c r="L212" s="100"/>
      <c r="M212" s="100"/>
      <c r="N212" s="93"/>
      <c r="O212" s="93"/>
      <c r="P212" s="93"/>
      <c r="Q212" s="100"/>
      <c r="R212" s="100"/>
    </row>
    <row r="213" spans="2:18">
      <c r="B213" s="92"/>
      <c r="C213" s="92"/>
      <c r="D213" s="92"/>
      <c r="E213" s="92"/>
      <c r="F213" s="92"/>
      <c r="G213" s="92"/>
      <c r="H213" s="92"/>
      <c r="I213" s="93"/>
      <c r="J213" s="93"/>
      <c r="K213" s="93"/>
      <c r="L213" s="100"/>
      <c r="M213" s="100"/>
      <c r="N213" s="93"/>
      <c r="O213" s="93"/>
      <c r="P213" s="93"/>
      <c r="Q213" s="100"/>
      <c r="R213" s="100"/>
    </row>
    <row r="214" spans="2:18">
      <c r="B214" s="92"/>
      <c r="C214" s="92"/>
      <c r="D214" s="92"/>
      <c r="E214" s="92"/>
      <c r="F214" s="92"/>
      <c r="G214" s="92"/>
      <c r="H214" s="92"/>
      <c r="I214" s="93"/>
      <c r="J214" s="93"/>
      <c r="K214" s="93"/>
      <c r="L214" s="100"/>
      <c r="M214" s="100"/>
      <c r="N214" s="93"/>
      <c r="O214" s="93"/>
      <c r="P214" s="93"/>
      <c r="Q214" s="100"/>
      <c r="R214" s="100"/>
    </row>
    <row r="215" spans="2:18">
      <c r="B215" s="92"/>
      <c r="C215" s="92"/>
      <c r="D215" s="92"/>
      <c r="E215" s="92"/>
      <c r="F215" s="92"/>
      <c r="G215" s="92"/>
      <c r="H215" s="92"/>
      <c r="I215" s="93"/>
      <c r="J215" s="93"/>
      <c r="K215" s="93"/>
      <c r="L215" s="100"/>
      <c r="M215" s="100"/>
      <c r="N215" s="93"/>
      <c r="O215" s="93"/>
      <c r="P215" s="93"/>
      <c r="Q215" s="100"/>
      <c r="R215" s="100"/>
    </row>
    <row r="216" spans="2:18">
      <c r="B216" s="92"/>
      <c r="C216" s="92"/>
      <c r="D216" s="92"/>
      <c r="E216" s="92"/>
      <c r="F216" s="92"/>
      <c r="G216" s="92"/>
      <c r="H216" s="92"/>
      <c r="I216" s="93"/>
      <c r="J216" s="93"/>
      <c r="K216" s="93"/>
      <c r="L216" s="100"/>
      <c r="M216" s="100"/>
      <c r="N216" s="93"/>
      <c r="O216" s="93"/>
      <c r="P216" s="93"/>
      <c r="Q216" s="100"/>
      <c r="R216" s="100"/>
    </row>
    <row r="217" spans="2:18">
      <c r="B217" s="92"/>
      <c r="C217" s="92"/>
      <c r="D217" s="92"/>
      <c r="E217" s="92"/>
      <c r="F217" s="92"/>
      <c r="G217" s="92"/>
      <c r="H217" s="92"/>
      <c r="I217" s="93"/>
      <c r="J217" s="93"/>
      <c r="K217" s="93"/>
      <c r="L217" s="100"/>
      <c r="M217" s="100"/>
      <c r="N217" s="93"/>
      <c r="O217" s="93"/>
      <c r="P217" s="93"/>
      <c r="Q217" s="100"/>
      <c r="R217" s="100"/>
    </row>
    <row r="218" spans="2:18">
      <c r="B218" s="92"/>
      <c r="C218" s="92"/>
      <c r="D218" s="92"/>
      <c r="E218" s="92"/>
      <c r="F218" s="92"/>
      <c r="G218" s="92"/>
      <c r="H218" s="92"/>
      <c r="I218" s="93"/>
      <c r="J218" s="93"/>
      <c r="K218" s="93"/>
      <c r="L218" s="100"/>
      <c r="M218" s="100"/>
      <c r="N218" s="93"/>
      <c r="O218" s="93"/>
      <c r="P218" s="93"/>
      <c r="Q218" s="100"/>
      <c r="R218" s="100"/>
    </row>
    <row r="219" spans="2:18">
      <c r="B219" s="92"/>
      <c r="C219" s="92"/>
      <c r="D219" s="92"/>
      <c r="E219" s="92"/>
      <c r="F219" s="92"/>
      <c r="G219" s="92"/>
      <c r="H219" s="92"/>
      <c r="I219" s="93"/>
      <c r="J219" s="93"/>
      <c r="K219" s="93"/>
      <c r="L219" s="100"/>
      <c r="M219" s="100"/>
      <c r="N219" s="93"/>
      <c r="O219" s="93"/>
      <c r="P219" s="93"/>
      <c r="Q219" s="100"/>
      <c r="R219" s="100"/>
    </row>
    <row r="220" spans="2:18">
      <c r="B220" s="92"/>
      <c r="C220" s="92"/>
      <c r="D220" s="92"/>
      <c r="E220" s="92"/>
      <c r="F220" s="92"/>
      <c r="G220" s="92"/>
      <c r="H220" s="92"/>
      <c r="I220" s="93"/>
      <c r="J220" s="93"/>
      <c r="K220" s="93"/>
      <c r="L220" s="100"/>
      <c r="M220" s="100"/>
      <c r="N220" s="93"/>
      <c r="O220" s="93"/>
      <c r="P220" s="93"/>
      <c r="Q220" s="100"/>
      <c r="R220" s="100"/>
    </row>
    <row r="221" spans="2:18">
      <c r="B221" s="92"/>
      <c r="C221" s="92"/>
      <c r="D221" s="92"/>
      <c r="E221" s="92"/>
      <c r="F221" s="92"/>
      <c r="G221" s="92"/>
      <c r="H221" s="92"/>
      <c r="I221" s="93"/>
      <c r="J221" s="93"/>
      <c r="K221" s="93"/>
      <c r="L221" s="100"/>
      <c r="M221" s="100"/>
      <c r="N221" s="93"/>
      <c r="O221" s="93"/>
      <c r="P221" s="93"/>
      <c r="Q221" s="100"/>
      <c r="R221" s="100"/>
    </row>
    <row r="222" spans="2:18">
      <c r="B222" s="92"/>
      <c r="C222" s="92"/>
      <c r="D222" s="92"/>
      <c r="E222" s="92"/>
      <c r="F222" s="92"/>
      <c r="G222" s="92"/>
      <c r="H222" s="92"/>
      <c r="I222" s="93"/>
      <c r="J222" s="93"/>
      <c r="K222" s="93"/>
      <c r="L222" s="100"/>
      <c r="M222" s="100"/>
      <c r="N222" s="93"/>
      <c r="O222" s="93"/>
      <c r="P222" s="93"/>
      <c r="Q222" s="100"/>
      <c r="R222" s="100"/>
    </row>
    <row r="223" spans="2:18">
      <c r="B223" s="92"/>
      <c r="C223" s="92"/>
      <c r="D223" s="92"/>
      <c r="E223" s="92"/>
      <c r="F223" s="92"/>
      <c r="G223" s="92"/>
      <c r="H223" s="92"/>
      <c r="I223" s="93"/>
      <c r="J223" s="93"/>
      <c r="K223" s="93"/>
      <c r="L223" s="100"/>
      <c r="M223" s="100"/>
      <c r="N223" s="93"/>
      <c r="O223" s="93"/>
      <c r="P223" s="93"/>
      <c r="Q223" s="100"/>
      <c r="R223" s="100"/>
    </row>
    <row r="224" spans="2:18">
      <c r="B224" s="92"/>
      <c r="C224" s="92"/>
      <c r="D224" s="92"/>
      <c r="E224" s="92"/>
      <c r="F224" s="92"/>
      <c r="G224" s="92"/>
      <c r="H224" s="92"/>
      <c r="I224" s="93"/>
      <c r="J224" s="93"/>
      <c r="K224" s="93"/>
      <c r="L224" s="100"/>
      <c r="M224" s="100"/>
      <c r="N224" s="93"/>
      <c r="O224" s="93"/>
      <c r="P224" s="93"/>
      <c r="Q224" s="100"/>
      <c r="R224" s="100"/>
    </row>
    <row r="225" spans="2:18">
      <c r="B225" s="92"/>
      <c r="C225" s="92"/>
      <c r="D225" s="92"/>
      <c r="E225" s="92"/>
      <c r="F225" s="92"/>
      <c r="G225" s="92"/>
      <c r="H225" s="92"/>
      <c r="I225" s="93"/>
      <c r="J225" s="93"/>
      <c r="K225" s="93"/>
      <c r="L225" s="100"/>
      <c r="M225" s="100"/>
      <c r="N225" s="93"/>
      <c r="O225" s="93"/>
      <c r="P225" s="93"/>
      <c r="Q225" s="100"/>
      <c r="R225" s="100"/>
    </row>
    <row r="226" spans="2:18">
      <c r="B226" s="92"/>
      <c r="C226" s="92"/>
      <c r="D226" s="92"/>
      <c r="E226" s="92"/>
      <c r="F226" s="92"/>
      <c r="G226" s="92"/>
      <c r="H226" s="92"/>
      <c r="I226" s="93"/>
      <c r="J226" s="93"/>
      <c r="K226" s="93"/>
      <c r="L226" s="100"/>
      <c r="M226" s="100"/>
      <c r="N226" s="93"/>
      <c r="O226" s="93"/>
      <c r="P226" s="93"/>
      <c r="Q226" s="100"/>
      <c r="R226" s="100"/>
    </row>
    <row r="227" spans="2:18">
      <c r="B227" s="92"/>
      <c r="C227" s="92"/>
      <c r="D227" s="92"/>
      <c r="E227" s="92"/>
      <c r="F227" s="92"/>
      <c r="G227" s="92"/>
      <c r="H227" s="92"/>
      <c r="I227" s="93"/>
      <c r="J227" s="93"/>
      <c r="K227" s="93"/>
      <c r="L227" s="100"/>
      <c r="M227" s="100"/>
      <c r="N227" s="93"/>
      <c r="O227" s="93"/>
      <c r="P227" s="93"/>
      <c r="Q227" s="100"/>
      <c r="R227" s="100"/>
    </row>
    <row r="228" spans="2:18">
      <c r="B228" s="92"/>
      <c r="C228" s="92"/>
      <c r="D228" s="92"/>
      <c r="E228" s="92"/>
      <c r="F228" s="92"/>
      <c r="G228" s="92"/>
      <c r="H228" s="92"/>
      <c r="I228" s="93"/>
      <c r="J228" s="93"/>
      <c r="K228" s="93"/>
      <c r="L228" s="100"/>
      <c r="M228" s="100"/>
      <c r="N228" s="93"/>
      <c r="O228" s="93"/>
      <c r="P228" s="93"/>
      <c r="Q228" s="100"/>
      <c r="R228" s="100"/>
    </row>
    <row r="229" spans="2:18">
      <c r="B229" s="92"/>
      <c r="C229" s="92"/>
      <c r="D229" s="92"/>
      <c r="E229" s="92"/>
      <c r="F229" s="92"/>
      <c r="G229" s="92"/>
      <c r="H229" s="92"/>
      <c r="I229" s="93"/>
      <c r="J229" s="93"/>
      <c r="K229" s="93"/>
      <c r="L229" s="100"/>
      <c r="M229" s="100"/>
      <c r="N229" s="93"/>
      <c r="O229" s="93"/>
      <c r="P229" s="93"/>
      <c r="Q229" s="100"/>
      <c r="R229" s="100"/>
    </row>
    <row r="230" spans="2:18">
      <c r="B230" s="92"/>
      <c r="C230" s="92"/>
      <c r="D230" s="92"/>
      <c r="E230" s="92"/>
      <c r="F230" s="92"/>
      <c r="G230" s="92"/>
      <c r="H230" s="92"/>
      <c r="I230" s="93"/>
      <c r="J230" s="93"/>
      <c r="K230" s="93"/>
      <c r="L230" s="100"/>
      <c r="M230" s="100"/>
      <c r="N230" s="93"/>
      <c r="O230" s="93"/>
      <c r="P230" s="93"/>
      <c r="Q230" s="100"/>
      <c r="R230" s="100"/>
    </row>
    <row r="231" spans="2:18">
      <c r="B231" s="92"/>
      <c r="C231" s="92"/>
      <c r="D231" s="92"/>
      <c r="E231" s="92"/>
      <c r="F231" s="92"/>
      <c r="G231" s="92"/>
      <c r="H231" s="92"/>
      <c r="I231" s="93"/>
      <c r="J231" s="93"/>
      <c r="K231" s="93"/>
      <c r="L231" s="100"/>
      <c r="M231" s="100"/>
      <c r="N231" s="93"/>
      <c r="O231" s="93"/>
      <c r="P231" s="93"/>
      <c r="Q231" s="100"/>
      <c r="R231" s="100"/>
    </row>
    <row r="232" spans="2:18">
      <c r="B232" s="92"/>
      <c r="C232" s="92"/>
      <c r="D232" s="92"/>
      <c r="E232" s="92"/>
      <c r="F232" s="92"/>
      <c r="G232" s="92"/>
      <c r="H232" s="92"/>
      <c r="I232" s="93"/>
      <c r="J232" s="93"/>
      <c r="K232" s="93"/>
      <c r="L232" s="100"/>
      <c r="M232" s="100"/>
      <c r="N232" s="93"/>
      <c r="O232" s="93"/>
      <c r="P232" s="93"/>
      <c r="Q232" s="100"/>
      <c r="R232" s="100"/>
    </row>
    <row r="233" spans="2:18">
      <c r="B233" s="92"/>
      <c r="C233" s="92"/>
      <c r="D233" s="92"/>
      <c r="E233" s="92"/>
      <c r="F233" s="92"/>
      <c r="G233" s="92"/>
      <c r="H233" s="92"/>
      <c r="I233" s="93"/>
      <c r="J233" s="93"/>
      <c r="K233" s="93"/>
      <c r="L233" s="100"/>
      <c r="M233" s="100"/>
      <c r="N233" s="93"/>
      <c r="O233" s="93"/>
      <c r="P233" s="93"/>
      <c r="Q233" s="100"/>
      <c r="R233" s="100"/>
    </row>
    <row r="234" spans="2:18">
      <c r="B234" s="92"/>
      <c r="C234" s="92"/>
      <c r="D234" s="92"/>
      <c r="E234" s="92"/>
      <c r="F234" s="92"/>
      <c r="G234" s="92"/>
      <c r="H234" s="92"/>
      <c r="I234" s="93"/>
      <c r="J234" s="93"/>
      <c r="K234" s="93"/>
      <c r="L234" s="100"/>
      <c r="M234" s="100"/>
      <c r="N234" s="93"/>
      <c r="O234" s="93"/>
      <c r="P234" s="93"/>
      <c r="Q234" s="100"/>
      <c r="R234" s="100"/>
    </row>
    <row r="235" spans="2:18">
      <c r="B235" s="92"/>
      <c r="C235" s="92"/>
      <c r="D235" s="92"/>
      <c r="E235" s="92"/>
      <c r="F235" s="92"/>
      <c r="G235" s="92"/>
      <c r="H235" s="92"/>
      <c r="I235" s="93"/>
      <c r="J235" s="93"/>
      <c r="K235" s="93"/>
      <c r="L235" s="100"/>
      <c r="M235" s="100"/>
      <c r="N235" s="93"/>
      <c r="O235" s="93"/>
      <c r="P235" s="93"/>
      <c r="Q235" s="100"/>
      <c r="R235" s="100"/>
    </row>
    <row r="236" spans="2:18">
      <c r="B236" s="92"/>
      <c r="C236" s="92"/>
      <c r="D236" s="92"/>
      <c r="E236" s="92"/>
      <c r="F236" s="92"/>
      <c r="G236" s="92"/>
      <c r="H236" s="92"/>
      <c r="I236" s="93"/>
      <c r="J236" s="93"/>
      <c r="K236" s="93"/>
      <c r="L236" s="100"/>
      <c r="M236" s="100"/>
      <c r="N236" s="93"/>
      <c r="O236" s="93"/>
      <c r="P236" s="93"/>
      <c r="Q236" s="100"/>
      <c r="R236" s="100"/>
    </row>
    <row r="237" spans="2:18">
      <c r="B237" s="92"/>
      <c r="C237" s="92"/>
      <c r="D237" s="92"/>
      <c r="E237" s="92"/>
      <c r="F237" s="92"/>
      <c r="G237" s="92"/>
      <c r="H237" s="92"/>
      <c r="I237" s="93"/>
      <c r="J237" s="93"/>
      <c r="K237" s="93"/>
      <c r="L237" s="100"/>
      <c r="M237" s="100"/>
      <c r="N237" s="93"/>
      <c r="O237" s="93"/>
      <c r="P237" s="93"/>
      <c r="Q237" s="100"/>
      <c r="R237" s="100"/>
    </row>
    <row r="238" spans="2:18">
      <c r="B238" s="92"/>
      <c r="C238" s="92"/>
      <c r="D238" s="92"/>
      <c r="E238" s="92"/>
      <c r="F238" s="92"/>
      <c r="G238" s="92"/>
      <c r="H238" s="92"/>
      <c r="I238" s="93"/>
      <c r="J238" s="93"/>
      <c r="K238" s="93"/>
      <c r="L238" s="100"/>
      <c r="M238" s="100"/>
      <c r="N238" s="93"/>
      <c r="O238" s="93"/>
      <c r="P238" s="93"/>
      <c r="Q238" s="100"/>
      <c r="R238" s="100"/>
    </row>
    <row r="239" spans="2:18">
      <c r="B239" s="92"/>
      <c r="C239" s="92"/>
      <c r="D239" s="92"/>
      <c r="E239" s="92"/>
      <c r="F239" s="92"/>
      <c r="G239" s="92"/>
      <c r="H239" s="92"/>
      <c r="I239" s="93"/>
      <c r="J239" s="93"/>
      <c r="K239" s="93"/>
      <c r="L239" s="100"/>
      <c r="M239" s="100"/>
      <c r="N239" s="93"/>
      <c r="O239" s="93"/>
      <c r="P239" s="93"/>
      <c r="Q239" s="100"/>
      <c r="R239" s="100"/>
    </row>
    <row r="240" spans="2:18">
      <c r="B240" s="92"/>
      <c r="C240" s="92"/>
      <c r="D240" s="92"/>
      <c r="E240" s="92"/>
      <c r="F240" s="92"/>
      <c r="G240" s="92"/>
      <c r="H240" s="92"/>
      <c r="I240" s="93"/>
      <c r="J240" s="93"/>
      <c r="K240" s="93"/>
      <c r="L240" s="100"/>
      <c r="M240" s="100"/>
      <c r="N240" s="93"/>
      <c r="O240" s="93"/>
      <c r="P240" s="93"/>
      <c r="Q240" s="100"/>
      <c r="R240" s="100"/>
    </row>
    <row r="241" spans="2:18">
      <c r="B241" s="92"/>
      <c r="C241" s="92"/>
      <c r="D241" s="92"/>
      <c r="E241" s="92"/>
      <c r="F241" s="92"/>
      <c r="G241" s="92"/>
      <c r="H241" s="92"/>
      <c r="I241" s="93"/>
      <c r="J241" s="93"/>
      <c r="K241" s="93"/>
      <c r="L241" s="100"/>
      <c r="M241" s="100"/>
      <c r="N241" s="93"/>
      <c r="O241" s="93"/>
      <c r="P241" s="93"/>
      <c r="Q241" s="100"/>
      <c r="R241" s="100"/>
    </row>
    <row r="242" spans="2:18">
      <c r="B242" s="92"/>
      <c r="C242" s="92"/>
      <c r="D242" s="92"/>
      <c r="E242" s="92"/>
      <c r="F242" s="92"/>
      <c r="G242" s="92"/>
      <c r="H242" s="92"/>
      <c r="I242" s="93"/>
      <c r="J242" s="93"/>
      <c r="K242" s="93"/>
      <c r="L242" s="100"/>
      <c r="M242" s="100"/>
      <c r="N242" s="93"/>
      <c r="O242" s="93"/>
      <c r="P242" s="93"/>
      <c r="Q242" s="100"/>
      <c r="R242" s="100"/>
    </row>
    <row r="243" spans="2:18">
      <c r="B243" s="92"/>
      <c r="C243" s="92"/>
      <c r="D243" s="92"/>
      <c r="E243" s="92"/>
      <c r="F243" s="92"/>
      <c r="G243" s="92"/>
      <c r="H243" s="92"/>
      <c r="I243" s="93"/>
      <c r="J243" s="93"/>
      <c r="K243" s="93"/>
      <c r="L243" s="100"/>
      <c r="M243" s="100"/>
      <c r="N243" s="93"/>
      <c r="O243" s="93"/>
      <c r="P243" s="93"/>
      <c r="Q243" s="100"/>
      <c r="R243" s="100"/>
    </row>
    <row r="244" spans="2:18">
      <c r="B244" s="92"/>
      <c r="C244" s="92"/>
      <c r="D244" s="92"/>
      <c r="E244" s="92"/>
      <c r="F244" s="92"/>
      <c r="G244" s="92"/>
      <c r="H244" s="92"/>
      <c r="I244" s="93"/>
      <c r="J244" s="93"/>
      <c r="K244" s="93"/>
      <c r="L244" s="100"/>
      <c r="M244" s="100"/>
      <c r="N244" s="93"/>
      <c r="O244" s="93"/>
      <c r="P244" s="93"/>
      <c r="Q244" s="100"/>
      <c r="R244" s="100"/>
    </row>
    <row r="245" spans="2:18">
      <c r="B245" s="92"/>
      <c r="C245" s="92"/>
      <c r="D245" s="92"/>
      <c r="E245" s="92"/>
      <c r="F245" s="92"/>
      <c r="G245" s="92"/>
      <c r="H245" s="92"/>
      <c r="I245" s="93"/>
      <c r="J245" s="93"/>
      <c r="K245" s="93"/>
      <c r="L245" s="100"/>
      <c r="M245" s="100"/>
      <c r="N245" s="93"/>
      <c r="O245" s="93"/>
      <c r="P245" s="93"/>
      <c r="Q245" s="100"/>
      <c r="R245" s="100"/>
    </row>
    <row r="246" spans="2:18">
      <c r="B246" s="92"/>
      <c r="C246" s="92"/>
      <c r="D246" s="92"/>
      <c r="E246" s="92"/>
      <c r="F246" s="92"/>
      <c r="G246" s="92"/>
      <c r="H246" s="92"/>
      <c r="I246" s="93"/>
      <c r="J246" s="93"/>
      <c r="K246" s="93"/>
      <c r="L246" s="100"/>
      <c r="M246" s="100"/>
      <c r="N246" s="93"/>
      <c r="O246" s="93"/>
      <c r="P246" s="93"/>
      <c r="Q246" s="100"/>
      <c r="R246" s="100"/>
    </row>
    <row r="247" spans="2:18">
      <c r="B247" s="92"/>
      <c r="C247" s="92"/>
      <c r="D247" s="92"/>
      <c r="E247" s="92"/>
      <c r="F247" s="92"/>
      <c r="G247" s="92"/>
      <c r="H247" s="92"/>
      <c r="I247" s="93"/>
      <c r="J247" s="93"/>
      <c r="K247" s="93"/>
      <c r="L247" s="100"/>
      <c r="M247" s="100"/>
      <c r="N247" s="93"/>
      <c r="O247" s="93"/>
      <c r="P247" s="93"/>
      <c r="Q247" s="100"/>
      <c r="R247" s="100"/>
    </row>
    <row r="248" spans="2:18">
      <c r="B248" s="92"/>
      <c r="C248" s="92"/>
      <c r="D248" s="92"/>
      <c r="E248" s="92"/>
      <c r="F248" s="92"/>
      <c r="G248" s="92"/>
      <c r="H248" s="92"/>
      <c r="I248" s="93"/>
      <c r="J248" s="93"/>
      <c r="K248" s="93"/>
      <c r="L248" s="100"/>
      <c r="M248" s="100"/>
      <c r="N248" s="93"/>
      <c r="O248" s="93"/>
      <c r="P248" s="93"/>
      <c r="Q248" s="100"/>
      <c r="R248" s="100"/>
    </row>
    <row r="249" spans="2:18">
      <c r="B249" s="92"/>
      <c r="C249" s="92"/>
      <c r="D249" s="92"/>
      <c r="E249" s="92"/>
      <c r="F249" s="92"/>
      <c r="G249" s="92"/>
      <c r="H249" s="92"/>
      <c r="I249" s="93"/>
      <c r="J249" s="93"/>
      <c r="K249" s="93"/>
      <c r="L249" s="100"/>
      <c r="M249" s="100"/>
      <c r="N249" s="93"/>
      <c r="O249" s="93"/>
      <c r="P249" s="93"/>
      <c r="Q249" s="100"/>
      <c r="R249" s="100"/>
    </row>
    <row r="250" spans="2:18">
      <c r="B250" s="92"/>
      <c r="C250" s="92"/>
      <c r="D250" s="92"/>
      <c r="E250" s="92"/>
      <c r="F250" s="92"/>
      <c r="G250" s="92"/>
      <c r="H250" s="92"/>
      <c r="I250" s="93"/>
      <c r="J250" s="93"/>
      <c r="K250" s="93"/>
      <c r="L250" s="100"/>
      <c r="M250" s="100"/>
      <c r="N250" s="93"/>
      <c r="O250" s="93"/>
      <c r="P250" s="93"/>
      <c r="Q250" s="100"/>
      <c r="R250" s="100"/>
    </row>
    <row r="251" spans="2:18">
      <c r="B251" s="92"/>
      <c r="C251" s="92"/>
      <c r="D251" s="92"/>
      <c r="E251" s="92"/>
      <c r="F251" s="92"/>
      <c r="G251" s="92"/>
      <c r="H251" s="92"/>
      <c r="I251" s="93"/>
      <c r="J251" s="93"/>
      <c r="K251" s="93"/>
      <c r="L251" s="100"/>
      <c r="M251" s="100"/>
      <c r="N251" s="93"/>
      <c r="O251" s="93"/>
      <c r="P251" s="93"/>
      <c r="Q251" s="100"/>
      <c r="R251" s="100"/>
    </row>
    <row r="252" spans="2:18">
      <c r="B252" s="92"/>
      <c r="C252" s="92"/>
      <c r="D252" s="92"/>
      <c r="E252" s="92"/>
      <c r="F252" s="92"/>
      <c r="G252" s="92"/>
      <c r="H252" s="92"/>
      <c r="I252" s="93"/>
      <c r="J252" s="93"/>
      <c r="K252" s="93"/>
      <c r="L252" s="100"/>
      <c r="M252" s="100"/>
      <c r="N252" s="93"/>
      <c r="O252" s="93"/>
      <c r="P252" s="93"/>
      <c r="Q252" s="100"/>
      <c r="R252" s="100"/>
    </row>
    <row r="253" spans="2:18">
      <c r="B253" s="92"/>
      <c r="C253" s="92"/>
      <c r="D253" s="92"/>
      <c r="E253" s="92"/>
      <c r="F253" s="92"/>
      <c r="G253" s="92"/>
      <c r="H253" s="92"/>
      <c r="I253" s="93"/>
      <c r="J253" s="93"/>
      <c r="K253" s="93"/>
      <c r="L253" s="100"/>
      <c r="M253" s="100"/>
      <c r="N253" s="93"/>
      <c r="O253" s="93"/>
      <c r="P253" s="93"/>
      <c r="Q253" s="100"/>
      <c r="R253" s="100"/>
    </row>
    <row r="254" spans="2:18">
      <c r="B254" s="92"/>
      <c r="C254" s="92"/>
      <c r="D254" s="92"/>
      <c r="E254" s="92"/>
      <c r="F254" s="92"/>
      <c r="G254" s="92"/>
      <c r="H254" s="92"/>
      <c r="I254" s="93"/>
      <c r="J254" s="93"/>
      <c r="K254" s="93"/>
      <c r="L254" s="100"/>
      <c r="M254" s="100"/>
      <c r="N254" s="93"/>
      <c r="O254" s="93"/>
      <c r="P254" s="93"/>
      <c r="Q254" s="100"/>
      <c r="R254" s="100"/>
    </row>
    <row r="255" spans="2:18">
      <c r="B255" s="92"/>
      <c r="C255" s="92"/>
      <c r="D255" s="92"/>
      <c r="E255" s="92"/>
      <c r="F255" s="92"/>
      <c r="G255" s="92"/>
      <c r="H255" s="92"/>
      <c r="I255" s="93"/>
      <c r="J255" s="93"/>
      <c r="K255" s="93"/>
      <c r="L255" s="100"/>
      <c r="M255" s="100"/>
      <c r="N255" s="93"/>
      <c r="O255" s="93"/>
      <c r="P255" s="93"/>
      <c r="Q255" s="100"/>
      <c r="R255" s="100"/>
    </row>
    <row r="256" spans="2:18">
      <c r="B256" s="92"/>
      <c r="C256" s="92"/>
      <c r="D256" s="92"/>
      <c r="E256" s="92"/>
      <c r="F256" s="92"/>
      <c r="G256" s="92"/>
      <c r="H256" s="92"/>
      <c r="I256" s="93"/>
      <c r="J256" s="93"/>
      <c r="K256" s="93"/>
      <c r="L256" s="100"/>
      <c r="M256" s="100"/>
      <c r="N256" s="93"/>
      <c r="O256" s="93"/>
      <c r="P256" s="93"/>
      <c r="Q256" s="100"/>
      <c r="R256" s="100"/>
    </row>
    <row r="257" spans="2:18">
      <c r="B257" s="92"/>
      <c r="C257" s="92"/>
      <c r="D257" s="92"/>
      <c r="E257" s="92"/>
      <c r="F257" s="92"/>
      <c r="G257" s="92"/>
      <c r="H257" s="92"/>
      <c r="I257" s="93"/>
      <c r="J257" s="93"/>
      <c r="K257" s="93"/>
      <c r="L257" s="100"/>
      <c r="M257" s="100"/>
      <c r="N257" s="93"/>
      <c r="O257" s="93"/>
      <c r="P257" s="93"/>
      <c r="Q257" s="100"/>
      <c r="R257" s="100"/>
    </row>
    <row r="258" spans="2:18">
      <c r="B258" s="92"/>
      <c r="C258" s="92"/>
      <c r="D258" s="92"/>
      <c r="E258" s="92"/>
      <c r="F258" s="92"/>
      <c r="G258" s="92"/>
      <c r="H258" s="92"/>
      <c r="I258" s="93"/>
      <c r="J258" s="93"/>
      <c r="K258" s="93"/>
      <c r="L258" s="100"/>
      <c r="M258" s="100"/>
      <c r="N258" s="93"/>
      <c r="O258" s="93"/>
      <c r="P258" s="93"/>
      <c r="Q258" s="100"/>
      <c r="R258" s="100"/>
    </row>
    <row r="259" spans="2:18">
      <c r="B259" s="92"/>
      <c r="C259" s="92"/>
      <c r="D259" s="92"/>
      <c r="E259" s="92"/>
      <c r="F259" s="92"/>
      <c r="G259" s="92"/>
      <c r="H259" s="92"/>
      <c r="I259" s="93"/>
      <c r="J259" s="93"/>
      <c r="K259" s="93"/>
      <c r="L259" s="100"/>
      <c r="M259" s="100"/>
      <c r="N259" s="93"/>
      <c r="O259" s="93"/>
      <c r="P259" s="93"/>
      <c r="Q259" s="100"/>
      <c r="R259" s="100"/>
    </row>
    <row r="260" spans="2:18">
      <c r="B260" s="92"/>
      <c r="C260" s="92"/>
      <c r="D260" s="92"/>
      <c r="E260" s="92"/>
      <c r="F260" s="92"/>
      <c r="G260" s="92"/>
      <c r="H260" s="92"/>
      <c r="I260" s="93"/>
      <c r="J260" s="93"/>
      <c r="K260" s="93"/>
      <c r="L260" s="100"/>
      <c r="M260" s="100"/>
      <c r="N260" s="93"/>
      <c r="O260" s="93"/>
      <c r="P260" s="93"/>
      <c r="Q260" s="100"/>
      <c r="R260" s="100"/>
    </row>
    <row r="261" spans="2:18">
      <c r="B261" s="92"/>
      <c r="C261" s="92"/>
      <c r="D261" s="92"/>
      <c r="E261" s="92"/>
      <c r="F261" s="92"/>
      <c r="G261" s="92"/>
      <c r="H261" s="92"/>
      <c r="I261" s="93"/>
      <c r="J261" s="93"/>
      <c r="K261" s="93"/>
      <c r="L261" s="100"/>
      <c r="M261" s="100"/>
      <c r="N261" s="93"/>
      <c r="O261" s="93"/>
      <c r="P261" s="93"/>
      <c r="Q261" s="100"/>
      <c r="R261" s="100"/>
    </row>
    <row r="262" spans="2:18">
      <c r="B262" s="92"/>
      <c r="C262" s="92"/>
      <c r="D262" s="92"/>
      <c r="E262" s="92"/>
      <c r="F262" s="92"/>
      <c r="G262" s="92"/>
      <c r="H262" s="92"/>
      <c r="I262" s="93"/>
      <c r="J262" s="93"/>
      <c r="K262" s="93"/>
      <c r="L262" s="100"/>
      <c r="M262" s="100"/>
      <c r="N262" s="93"/>
      <c r="O262" s="93"/>
      <c r="P262" s="93"/>
      <c r="Q262" s="100"/>
      <c r="R262" s="100"/>
    </row>
    <row r="263" spans="2:18">
      <c r="B263" s="92"/>
      <c r="C263" s="92"/>
      <c r="D263" s="92"/>
      <c r="E263" s="92"/>
      <c r="F263" s="92"/>
      <c r="G263" s="92"/>
      <c r="H263" s="92"/>
      <c r="I263" s="93"/>
      <c r="J263" s="93"/>
      <c r="K263" s="93"/>
      <c r="L263" s="100"/>
      <c r="M263" s="100"/>
      <c r="N263" s="93"/>
      <c r="O263" s="93"/>
      <c r="P263" s="93"/>
      <c r="Q263" s="100"/>
      <c r="R263" s="100"/>
    </row>
    <row r="264" spans="2:18">
      <c r="B264" s="92"/>
      <c r="C264" s="92"/>
      <c r="D264" s="92"/>
      <c r="E264" s="92"/>
      <c r="F264" s="92"/>
      <c r="G264" s="92"/>
      <c r="H264" s="92"/>
      <c r="I264" s="93"/>
      <c r="J264" s="93"/>
      <c r="K264" s="93"/>
      <c r="L264" s="100"/>
      <c r="M264" s="100"/>
      <c r="N264" s="93"/>
      <c r="O264" s="93"/>
      <c r="P264" s="93"/>
      <c r="Q264" s="100"/>
      <c r="R264" s="100"/>
    </row>
    <row r="265" spans="2:18">
      <c r="B265" s="92"/>
      <c r="C265" s="92"/>
      <c r="D265" s="92"/>
      <c r="E265" s="92"/>
      <c r="F265" s="92"/>
      <c r="G265" s="92"/>
      <c r="H265" s="92"/>
      <c r="I265" s="93"/>
      <c r="J265" s="93"/>
      <c r="K265" s="93"/>
      <c r="L265" s="100"/>
      <c r="M265" s="100"/>
      <c r="N265" s="93"/>
      <c r="O265" s="93"/>
      <c r="P265" s="93"/>
      <c r="Q265" s="100"/>
      <c r="R265" s="100"/>
    </row>
    <row r="266" spans="2:18">
      <c r="B266" s="92"/>
      <c r="C266" s="92"/>
      <c r="D266" s="92"/>
      <c r="E266" s="92"/>
      <c r="F266" s="92"/>
      <c r="G266" s="92"/>
      <c r="H266" s="92"/>
      <c r="I266" s="93"/>
      <c r="J266" s="93"/>
      <c r="K266" s="93"/>
      <c r="L266" s="100"/>
      <c r="M266" s="100"/>
      <c r="N266" s="93"/>
      <c r="O266" s="93"/>
      <c r="P266" s="93"/>
      <c r="Q266" s="100"/>
      <c r="R266" s="100"/>
    </row>
    <row r="267" spans="2:18">
      <c r="B267" s="92"/>
      <c r="C267" s="92"/>
      <c r="D267" s="92"/>
      <c r="E267" s="92"/>
      <c r="F267" s="92"/>
      <c r="G267" s="92"/>
      <c r="H267" s="92"/>
      <c r="I267" s="93"/>
      <c r="J267" s="93"/>
      <c r="K267" s="93"/>
      <c r="L267" s="100"/>
      <c r="M267" s="100"/>
      <c r="N267" s="93"/>
      <c r="O267" s="93"/>
      <c r="P267" s="93"/>
      <c r="Q267" s="100"/>
      <c r="R267" s="100"/>
    </row>
    <row r="268" spans="2:18">
      <c r="B268" s="92"/>
      <c r="C268" s="92"/>
      <c r="D268" s="92"/>
      <c r="E268" s="92"/>
      <c r="F268" s="92"/>
      <c r="G268" s="92"/>
      <c r="H268" s="92"/>
      <c r="I268" s="93"/>
      <c r="J268" s="93"/>
      <c r="K268" s="93"/>
      <c r="L268" s="100"/>
      <c r="M268" s="100"/>
      <c r="N268" s="93"/>
      <c r="O268" s="93"/>
      <c r="P268" s="93"/>
      <c r="Q268" s="100"/>
      <c r="R268" s="100"/>
    </row>
    <row r="269" spans="2:18">
      <c r="B269" s="92"/>
      <c r="C269" s="92"/>
      <c r="D269" s="92"/>
      <c r="E269" s="92"/>
      <c r="F269" s="92"/>
      <c r="G269" s="92"/>
      <c r="H269" s="92"/>
      <c r="I269" s="93"/>
      <c r="J269" s="93"/>
      <c r="K269" s="93"/>
      <c r="L269" s="100"/>
      <c r="M269" s="100"/>
      <c r="N269" s="93"/>
      <c r="O269" s="93"/>
      <c r="P269" s="93"/>
      <c r="Q269" s="100"/>
      <c r="R269" s="100"/>
    </row>
    <row r="270" spans="2:18">
      <c r="B270" s="92"/>
      <c r="C270" s="92"/>
      <c r="D270" s="92"/>
      <c r="E270" s="92"/>
      <c r="F270" s="92"/>
      <c r="G270" s="92"/>
      <c r="H270" s="92"/>
      <c r="I270" s="93"/>
      <c r="J270" s="93"/>
      <c r="K270" s="93"/>
      <c r="L270" s="100"/>
      <c r="M270" s="100"/>
      <c r="N270" s="93"/>
      <c r="O270" s="93"/>
      <c r="P270" s="93"/>
      <c r="Q270" s="100"/>
      <c r="R270" s="100"/>
    </row>
    <row r="271" spans="2:18">
      <c r="B271" s="92"/>
      <c r="C271" s="92"/>
      <c r="D271" s="92"/>
      <c r="E271" s="92"/>
      <c r="F271" s="92"/>
      <c r="G271" s="92"/>
      <c r="H271" s="92"/>
      <c r="I271" s="93"/>
      <c r="J271" s="93"/>
      <c r="K271" s="93"/>
      <c r="L271" s="100"/>
      <c r="M271" s="100"/>
      <c r="N271" s="93"/>
      <c r="O271" s="93"/>
      <c r="P271" s="93"/>
      <c r="Q271" s="100"/>
      <c r="R271" s="100"/>
    </row>
    <row r="272" spans="2:18">
      <c r="B272" s="92"/>
      <c r="C272" s="92"/>
      <c r="D272" s="92"/>
      <c r="E272" s="92"/>
      <c r="F272" s="92"/>
      <c r="G272" s="92"/>
      <c r="H272" s="92"/>
      <c r="I272" s="93"/>
      <c r="J272" s="93"/>
      <c r="K272" s="93"/>
      <c r="L272" s="100"/>
      <c r="M272" s="100"/>
      <c r="N272" s="93"/>
      <c r="O272" s="93"/>
      <c r="P272" s="93"/>
      <c r="Q272" s="100"/>
      <c r="R272" s="100"/>
    </row>
    <row r="273" spans="2:18">
      <c r="B273" s="92"/>
      <c r="C273" s="92"/>
      <c r="D273" s="92"/>
      <c r="E273" s="92"/>
      <c r="F273" s="92"/>
      <c r="G273" s="92"/>
      <c r="H273" s="92"/>
      <c r="I273" s="93"/>
      <c r="J273" s="93"/>
      <c r="K273" s="93"/>
      <c r="L273" s="100"/>
      <c r="M273" s="100"/>
      <c r="N273" s="93"/>
      <c r="O273" s="93"/>
      <c r="P273" s="93"/>
      <c r="Q273" s="100"/>
      <c r="R273" s="100"/>
    </row>
    <row r="274" spans="2:18">
      <c r="B274" s="92"/>
      <c r="C274" s="92"/>
      <c r="D274" s="92"/>
      <c r="E274" s="92"/>
      <c r="F274" s="92"/>
      <c r="G274" s="92"/>
      <c r="H274" s="92"/>
      <c r="I274" s="93"/>
      <c r="J274" s="93"/>
      <c r="K274" s="93"/>
      <c r="L274" s="100"/>
      <c r="M274" s="100"/>
      <c r="N274" s="93"/>
      <c r="O274" s="93"/>
      <c r="P274" s="93"/>
      <c r="Q274" s="100"/>
      <c r="R274" s="100"/>
    </row>
    <row r="275" spans="2:18">
      <c r="B275" s="92"/>
      <c r="C275" s="92"/>
      <c r="D275" s="92"/>
      <c r="E275" s="92"/>
      <c r="F275" s="92"/>
      <c r="G275" s="92"/>
      <c r="H275" s="92"/>
      <c r="I275" s="93"/>
      <c r="J275" s="93"/>
      <c r="K275" s="93"/>
      <c r="L275" s="100"/>
      <c r="M275" s="100"/>
      <c r="N275" s="93"/>
      <c r="O275" s="93"/>
      <c r="P275" s="93"/>
      <c r="Q275" s="100"/>
      <c r="R275" s="100"/>
    </row>
    <row r="276" spans="2:18">
      <c r="B276" s="92"/>
      <c r="C276" s="92"/>
      <c r="D276" s="92"/>
      <c r="E276" s="92"/>
      <c r="F276" s="92"/>
      <c r="G276" s="92"/>
      <c r="H276" s="92"/>
      <c r="I276" s="93"/>
      <c r="J276" s="93"/>
      <c r="K276" s="93"/>
      <c r="L276" s="100"/>
      <c r="M276" s="100"/>
      <c r="N276" s="93"/>
      <c r="O276" s="93"/>
      <c r="P276" s="93"/>
      <c r="Q276" s="100"/>
      <c r="R276" s="100"/>
    </row>
    <row r="277" spans="2:18">
      <c r="B277" s="92"/>
      <c r="C277" s="92"/>
      <c r="D277" s="92"/>
      <c r="E277" s="92"/>
      <c r="F277" s="92"/>
      <c r="G277" s="92"/>
      <c r="H277" s="92"/>
      <c r="I277" s="93"/>
      <c r="J277" s="93"/>
      <c r="K277" s="93"/>
      <c r="L277" s="100"/>
      <c r="M277" s="100"/>
      <c r="N277" s="93"/>
      <c r="O277" s="93"/>
      <c r="P277" s="93"/>
      <c r="Q277" s="100"/>
      <c r="R277" s="100"/>
    </row>
    <row r="278" spans="2:18">
      <c r="B278" s="92"/>
      <c r="C278" s="92"/>
      <c r="D278" s="92"/>
      <c r="E278" s="92"/>
      <c r="F278" s="92"/>
      <c r="G278" s="92"/>
      <c r="H278" s="92"/>
      <c r="I278" s="93"/>
      <c r="J278" s="93"/>
      <c r="K278" s="93"/>
      <c r="L278" s="100"/>
      <c r="M278" s="100"/>
      <c r="N278" s="93"/>
      <c r="O278" s="93"/>
      <c r="P278" s="93"/>
      <c r="Q278" s="100"/>
      <c r="R278" s="100"/>
    </row>
    <row r="279" spans="2:18">
      <c r="B279" s="92"/>
      <c r="C279" s="92"/>
      <c r="D279" s="92"/>
      <c r="E279" s="92"/>
      <c r="F279" s="92"/>
      <c r="G279" s="92"/>
      <c r="H279" s="92"/>
      <c r="I279" s="93"/>
      <c r="J279" s="93"/>
      <c r="K279" s="93"/>
      <c r="L279" s="100"/>
      <c r="M279" s="100"/>
      <c r="N279" s="93"/>
      <c r="O279" s="93"/>
      <c r="P279" s="93"/>
      <c r="Q279" s="100"/>
      <c r="R279" s="100"/>
    </row>
    <row r="280" spans="2:18">
      <c r="B280" s="92"/>
      <c r="C280" s="92"/>
      <c r="D280" s="92"/>
      <c r="E280" s="92"/>
      <c r="F280" s="92"/>
      <c r="G280" s="92"/>
      <c r="H280" s="92"/>
      <c r="I280" s="93"/>
      <c r="J280" s="93"/>
      <c r="K280" s="93"/>
      <c r="L280" s="100"/>
      <c r="M280" s="100"/>
      <c r="N280" s="93"/>
      <c r="O280" s="93"/>
      <c r="P280" s="93"/>
      <c r="Q280" s="100"/>
      <c r="R280" s="100"/>
    </row>
    <row r="281" spans="2:18">
      <c r="B281" s="92"/>
      <c r="C281" s="92"/>
      <c r="D281" s="92"/>
      <c r="E281" s="92"/>
      <c r="F281" s="92"/>
      <c r="G281" s="92"/>
      <c r="H281" s="92"/>
      <c r="I281" s="93"/>
      <c r="J281" s="93"/>
      <c r="K281" s="93"/>
      <c r="L281" s="100"/>
      <c r="M281" s="100"/>
      <c r="N281" s="93"/>
      <c r="O281" s="93"/>
      <c r="P281" s="93"/>
      <c r="Q281" s="100"/>
      <c r="R281" s="100"/>
    </row>
    <row r="282" spans="2:18">
      <c r="B282" s="92"/>
      <c r="C282" s="92"/>
      <c r="D282" s="92"/>
      <c r="E282" s="92"/>
      <c r="F282" s="92"/>
      <c r="G282" s="92"/>
      <c r="H282" s="92"/>
      <c r="I282" s="93"/>
      <c r="J282" s="93"/>
      <c r="K282" s="93"/>
      <c r="L282" s="100"/>
      <c r="M282" s="100"/>
      <c r="N282" s="93"/>
      <c r="O282" s="93"/>
      <c r="P282" s="93"/>
      <c r="Q282" s="100"/>
      <c r="R282" s="100"/>
    </row>
    <row r="283" spans="2:18">
      <c r="B283" s="92"/>
      <c r="C283" s="92"/>
      <c r="D283" s="92"/>
      <c r="E283" s="92"/>
      <c r="F283" s="92"/>
      <c r="G283" s="92"/>
      <c r="H283" s="92"/>
      <c r="I283" s="93"/>
      <c r="J283" s="93"/>
      <c r="K283" s="93"/>
      <c r="L283" s="100"/>
      <c r="M283" s="100"/>
      <c r="N283" s="93"/>
      <c r="O283" s="93"/>
      <c r="P283" s="93"/>
      <c r="Q283" s="100"/>
      <c r="R283" s="100"/>
    </row>
    <row r="284" spans="2:18">
      <c r="B284" s="92"/>
      <c r="C284" s="92"/>
      <c r="D284" s="92"/>
      <c r="E284" s="92"/>
      <c r="F284" s="92"/>
      <c r="G284" s="92"/>
      <c r="H284" s="92"/>
      <c r="I284" s="93"/>
      <c r="J284" s="93"/>
      <c r="K284" s="93"/>
      <c r="L284" s="100"/>
      <c r="M284" s="100"/>
      <c r="N284" s="93"/>
      <c r="O284" s="93"/>
      <c r="P284" s="93"/>
      <c r="Q284" s="100"/>
      <c r="R284" s="100"/>
    </row>
    <row r="285" spans="2:18">
      <c r="B285" s="92"/>
      <c r="C285" s="92"/>
      <c r="D285" s="92"/>
      <c r="E285" s="92"/>
      <c r="F285" s="92"/>
      <c r="G285" s="92"/>
      <c r="H285" s="92"/>
      <c r="I285" s="93"/>
      <c r="J285" s="93"/>
      <c r="K285" s="93"/>
      <c r="L285" s="100"/>
      <c r="M285" s="100"/>
      <c r="N285" s="93"/>
      <c r="O285" s="93"/>
      <c r="P285" s="93"/>
      <c r="Q285" s="100"/>
      <c r="R285" s="100"/>
    </row>
    <row r="286" spans="2:18">
      <c r="B286" s="92"/>
      <c r="C286" s="92"/>
      <c r="D286" s="92"/>
      <c r="E286" s="92"/>
      <c r="F286" s="92"/>
      <c r="G286" s="92"/>
      <c r="H286" s="92"/>
      <c r="I286" s="93"/>
      <c r="J286" s="93"/>
      <c r="K286" s="93"/>
      <c r="L286" s="100"/>
      <c r="M286" s="100"/>
      <c r="N286" s="93"/>
      <c r="O286" s="93"/>
      <c r="P286" s="93"/>
      <c r="Q286" s="100"/>
      <c r="R286" s="100"/>
    </row>
    <row r="287" spans="2:18">
      <c r="B287" s="92"/>
      <c r="C287" s="92"/>
      <c r="D287" s="92"/>
      <c r="E287" s="92"/>
      <c r="F287" s="92"/>
      <c r="G287" s="92"/>
      <c r="H287" s="92"/>
      <c r="I287" s="93"/>
      <c r="J287" s="93"/>
      <c r="K287" s="93"/>
      <c r="L287" s="100"/>
      <c r="M287" s="100"/>
      <c r="N287" s="93"/>
      <c r="O287" s="93"/>
      <c r="P287" s="93"/>
      <c r="Q287" s="100"/>
      <c r="R287" s="100"/>
    </row>
    <row r="288" spans="2:18">
      <c r="B288" s="92"/>
      <c r="C288" s="92"/>
      <c r="D288" s="92"/>
      <c r="E288" s="92"/>
      <c r="F288" s="92"/>
      <c r="G288" s="92"/>
      <c r="H288" s="92"/>
      <c r="I288" s="93"/>
      <c r="J288" s="93"/>
      <c r="K288" s="93"/>
      <c r="L288" s="100"/>
      <c r="M288" s="100"/>
      <c r="N288" s="93"/>
      <c r="O288" s="93"/>
      <c r="P288" s="93"/>
      <c r="Q288" s="100"/>
      <c r="R288" s="100"/>
    </row>
    <row r="289" spans="2:18">
      <c r="B289" s="92"/>
      <c r="C289" s="92"/>
      <c r="D289" s="92"/>
      <c r="E289" s="92"/>
      <c r="F289" s="92"/>
      <c r="G289" s="92"/>
      <c r="H289" s="92"/>
      <c r="I289" s="93"/>
      <c r="J289" s="93"/>
      <c r="K289" s="93"/>
      <c r="L289" s="100"/>
      <c r="M289" s="100"/>
      <c r="N289" s="93"/>
      <c r="O289" s="93"/>
      <c r="P289" s="93"/>
      <c r="Q289" s="100"/>
      <c r="R289" s="100"/>
    </row>
    <row r="290" spans="2:18">
      <c r="B290" s="92"/>
      <c r="C290" s="92"/>
      <c r="D290" s="92"/>
      <c r="E290" s="92"/>
      <c r="F290" s="92"/>
      <c r="G290" s="92"/>
      <c r="H290" s="92"/>
      <c r="I290" s="93"/>
      <c r="J290" s="93"/>
      <c r="K290" s="93"/>
      <c r="L290" s="100"/>
      <c r="M290" s="100"/>
      <c r="N290" s="93"/>
      <c r="O290" s="93"/>
      <c r="P290" s="93"/>
      <c r="Q290" s="100"/>
      <c r="R290" s="100"/>
    </row>
    <row r="291" spans="2:18">
      <c r="B291" s="92"/>
      <c r="C291" s="92"/>
      <c r="D291" s="92"/>
      <c r="E291" s="92"/>
      <c r="F291" s="92"/>
      <c r="G291" s="92"/>
      <c r="H291" s="92"/>
      <c r="I291" s="93"/>
      <c r="J291" s="93"/>
      <c r="K291" s="93"/>
      <c r="L291" s="100"/>
      <c r="M291" s="100"/>
      <c r="N291" s="93"/>
      <c r="O291" s="93"/>
      <c r="P291" s="93"/>
      <c r="Q291" s="100"/>
      <c r="R291" s="100"/>
    </row>
    <row r="292" spans="2:18">
      <c r="B292" s="92"/>
      <c r="C292" s="92"/>
      <c r="D292" s="92"/>
      <c r="E292" s="92"/>
      <c r="F292" s="92"/>
      <c r="G292" s="92"/>
      <c r="H292" s="92"/>
      <c r="I292" s="93"/>
      <c r="J292" s="93"/>
      <c r="K292" s="93"/>
      <c r="L292" s="100"/>
      <c r="M292" s="100"/>
      <c r="N292" s="93"/>
      <c r="O292" s="93"/>
      <c r="P292" s="93"/>
      <c r="Q292" s="100"/>
      <c r="R292" s="100"/>
    </row>
    <row r="293" spans="2:18">
      <c r="B293" s="92"/>
      <c r="C293" s="92"/>
      <c r="D293" s="92"/>
      <c r="E293" s="92"/>
      <c r="F293" s="92"/>
      <c r="G293" s="92"/>
      <c r="H293" s="92"/>
      <c r="I293" s="93"/>
      <c r="J293" s="93"/>
      <c r="K293" s="93"/>
      <c r="L293" s="100"/>
      <c r="M293" s="100"/>
      <c r="N293" s="93"/>
      <c r="O293" s="93"/>
      <c r="P293" s="93"/>
      <c r="Q293" s="100"/>
      <c r="R293" s="100"/>
    </row>
    <row r="294" spans="2:18">
      <c r="B294" s="92"/>
      <c r="C294" s="92"/>
      <c r="D294" s="92"/>
      <c r="E294" s="92"/>
      <c r="F294" s="92"/>
      <c r="G294" s="92"/>
      <c r="H294" s="92"/>
      <c r="I294" s="93"/>
      <c r="J294" s="93"/>
      <c r="K294" s="93"/>
      <c r="L294" s="100"/>
      <c r="M294" s="100"/>
      <c r="N294" s="93"/>
      <c r="O294" s="93"/>
      <c r="P294" s="93"/>
      <c r="Q294" s="100"/>
      <c r="R294" s="100"/>
    </row>
    <row r="295" spans="2:18">
      <c r="B295" s="92"/>
      <c r="C295" s="92"/>
      <c r="D295" s="92"/>
      <c r="E295" s="92"/>
      <c r="F295" s="92"/>
      <c r="G295" s="92"/>
      <c r="H295" s="92"/>
      <c r="I295" s="93"/>
      <c r="J295" s="93"/>
      <c r="K295" s="93"/>
      <c r="L295" s="100"/>
      <c r="M295" s="100"/>
      <c r="N295" s="93"/>
      <c r="O295" s="93"/>
      <c r="P295" s="93"/>
      <c r="Q295" s="100"/>
      <c r="R295" s="100"/>
    </row>
    <row r="296" spans="2:18">
      <c r="B296" s="92"/>
      <c r="C296" s="92"/>
      <c r="D296" s="92"/>
      <c r="E296" s="92"/>
      <c r="F296" s="92"/>
      <c r="G296" s="92"/>
      <c r="H296" s="92"/>
      <c r="I296" s="93"/>
      <c r="J296" s="93"/>
      <c r="K296" s="93"/>
      <c r="L296" s="100"/>
      <c r="M296" s="100"/>
      <c r="N296" s="93"/>
      <c r="O296" s="93"/>
      <c r="P296" s="93"/>
      <c r="Q296" s="100"/>
      <c r="R296" s="100"/>
    </row>
    <row r="297" spans="2:18">
      <c r="B297" s="92"/>
      <c r="C297" s="92"/>
      <c r="D297" s="92"/>
      <c r="E297" s="92"/>
      <c r="F297" s="92"/>
      <c r="G297" s="92"/>
      <c r="H297" s="92"/>
      <c r="I297" s="93"/>
      <c r="J297" s="93"/>
      <c r="K297" s="93"/>
      <c r="L297" s="100"/>
      <c r="M297" s="100"/>
      <c r="N297" s="93"/>
      <c r="O297" s="93"/>
      <c r="P297" s="93"/>
      <c r="Q297" s="100"/>
      <c r="R297" s="100"/>
    </row>
    <row r="298" spans="2:18">
      <c r="B298" s="92"/>
      <c r="C298" s="92"/>
      <c r="D298" s="92"/>
      <c r="E298" s="92"/>
      <c r="F298" s="92"/>
      <c r="G298" s="92"/>
      <c r="H298" s="92"/>
      <c r="I298" s="93"/>
      <c r="J298" s="93"/>
      <c r="K298" s="93"/>
      <c r="L298" s="100"/>
      <c r="M298" s="100"/>
      <c r="N298" s="93"/>
      <c r="O298" s="93"/>
      <c r="P298" s="93"/>
      <c r="Q298" s="100"/>
      <c r="R298" s="100"/>
    </row>
    <row r="299" spans="2:18">
      <c r="B299" s="92"/>
      <c r="C299" s="92"/>
      <c r="D299" s="92"/>
      <c r="E299" s="92"/>
      <c r="F299" s="92"/>
      <c r="G299" s="92"/>
      <c r="H299" s="92"/>
      <c r="I299" s="93"/>
      <c r="J299" s="93"/>
      <c r="K299" s="93"/>
      <c r="L299" s="100"/>
      <c r="M299" s="100"/>
      <c r="N299" s="93"/>
      <c r="O299" s="93"/>
      <c r="P299" s="93"/>
      <c r="Q299" s="100"/>
      <c r="R299" s="100"/>
    </row>
    <row r="300" spans="2:18">
      <c r="B300" s="92"/>
      <c r="C300" s="92"/>
      <c r="D300" s="92"/>
      <c r="E300" s="92"/>
      <c r="F300" s="92"/>
      <c r="G300" s="92"/>
      <c r="H300" s="92"/>
      <c r="I300" s="93"/>
      <c r="J300" s="93"/>
      <c r="K300" s="93"/>
      <c r="L300" s="100"/>
      <c r="M300" s="100"/>
      <c r="N300" s="93"/>
      <c r="O300" s="93"/>
      <c r="P300" s="93"/>
      <c r="Q300" s="100"/>
      <c r="R300" s="100"/>
    </row>
    <row r="301" spans="2:18">
      <c r="B301" s="92"/>
      <c r="C301" s="92"/>
      <c r="D301" s="92"/>
      <c r="E301" s="92"/>
      <c r="F301" s="92"/>
      <c r="G301" s="92"/>
      <c r="H301" s="92"/>
      <c r="I301" s="93"/>
      <c r="J301" s="93"/>
      <c r="K301" s="93"/>
      <c r="L301" s="100"/>
      <c r="M301" s="100"/>
      <c r="N301" s="93"/>
      <c r="O301" s="93"/>
      <c r="P301" s="93"/>
      <c r="Q301" s="100"/>
      <c r="R301" s="100"/>
    </row>
    <row r="302" spans="2:18">
      <c r="B302" s="92"/>
      <c r="C302" s="92"/>
      <c r="D302" s="92"/>
      <c r="E302" s="92"/>
      <c r="F302" s="92"/>
      <c r="G302" s="92"/>
      <c r="H302" s="92"/>
      <c r="I302" s="93"/>
      <c r="J302" s="93"/>
      <c r="K302" s="93"/>
      <c r="L302" s="100"/>
      <c r="M302" s="100"/>
      <c r="N302" s="93"/>
      <c r="O302" s="93"/>
      <c r="P302" s="93"/>
      <c r="Q302" s="100"/>
      <c r="R302" s="100"/>
    </row>
    <row r="303" spans="2:18">
      <c r="B303" s="92"/>
      <c r="C303" s="92"/>
      <c r="D303" s="92"/>
      <c r="E303" s="92"/>
      <c r="F303" s="92"/>
      <c r="G303" s="92"/>
      <c r="H303" s="92"/>
      <c r="I303" s="93"/>
      <c r="J303" s="93"/>
      <c r="K303" s="93"/>
      <c r="L303" s="100"/>
      <c r="M303" s="100"/>
      <c r="N303" s="93"/>
      <c r="O303" s="93"/>
      <c r="P303" s="93"/>
      <c r="Q303" s="100"/>
      <c r="R303" s="100"/>
    </row>
    <row r="304" spans="2:18">
      <c r="B304" s="92"/>
      <c r="C304" s="92"/>
      <c r="D304" s="92"/>
      <c r="E304" s="92"/>
      <c r="F304" s="92"/>
      <c r="G304" s="92"/>
      <c r="H304" s="92"/>
      <c r="I304" s="93"/>
      <c r="J304" s="93"/>
      <c r="K304" s="93"/>
      <c r="L304" s="100"/>
      <c r="M304" s="100"/>
      <c r="N304" s="93"/>
      <c r="O304" s="93"/>
      <c r="P304" s="93"/>
      <c r="Q304" s="100"/>
      <c r="R304" s="100"/>
    </row>
    <row r="305" spans="2:18">
      <c r="B305" s="92"/>
      <c r="C305" s="92"/>
      <c r="D305" s="92"/>
      <c r="E305" s="92"/>
      <c r="F305" s="92"/>
      <c r="G305" s="92"/>
      <c r="H305" s="92"/>
      <c r="I305" s="93"/>
      <c r="J305" s="93"/>
      <c r="K305" s="93"/>
      <c r="L305" s="100"/>
      <c r="M305" s="100"/>
      <c r="N305" s="93"/>
      <c r="O305" s="93"/>
      <c r="P305" s="93"/>
      <c r="Q305" s="100"/>
      <c r="R305" s="100"/>
    </row>
    <row r="306" spans="2:18">
      <c r="B306" s="92"/>
      <c r="C306" s="92"/>
      <c r="D306" s="92"/>
      <c r="E306" s="92"/>
      <c r="F306" s="92"/>
      <c r="G306" s="92"/>
      <c r="H306" s="92"/>
      <c r="I306" s="93"/>
      <c r="J306" s="93"/>
      <c r="K306" s="93"/>
      <c r="L306" s="100"/>
      <c r="M306" s="100"/>
      <c r="N306" s="93"/>
      <c r="O306" s="93"/>
      <c r="P306" s="93"/>
      <c r="Q306" s="100"/>
      <c r="R306" s="100"/>
    </row>
    <row r="307" spans="2:18">
      <c r="B307" s="92"/>
      <c r="C307" s="92"/>
      <c r="D307" s="92"/>
      <c r="E307" s="92"/>
      <c r="F307" s="92"/>
      <c r="G307" s="92"/>
      <c r="H307" s="92"/>
      <c r="I307" s="93"/>
      <c r="J307" s="93"/>
      <c r="K307" s="93"/>
      <c r="L307" s="100"/>
      <c r="M307" s="100"/>
      <c r="N307" s="93"/>
      <c r="O307" s="93"/>
      <c r="P307" s="93"/>
      <c r="Q307" s="100"/>
      <c r="R307" s="100"/>
    </row>
    <row r="308" spans="2:18">
      <c r="B308" s="92"/>
      <c r="C308" s="92"/>
      <c r="D308" s="92"/>
      <c r="E308" s="92"/>
      <c r="F308" s="92"/>
      <c r="G308" s="92"/>
      <c r="H308" s="92"/>
      <c r="I308" s="93"/>
      <c r="J308" s="93"/>
      <c r="K308" s="93"/>
      <c r="L308" s="100"/>
      <c r="M308" s="100"/>
      <c r="N308" s="93"/>
      <c r="O308" s="93"/>
      <c r="P308" s="93"/>
      <c r="Q308" s="100"/>
      <c r="R308" s="100"/>
    </row>
    <row r="309" spans="2:18">
      <c r="B309" s="92"/>
      <c r="C309" s="92"/>
      <c r="D309" s="92"/>
      <c r="E309" s="92"/>
      <c r="F309" s="92"/>
      <c r="G309" s="92"/>
      <c r="H309" s="92"/>
      <c r="I309" s="93"/>
      <c r="J309" s="93"/>
      <c r="K309" s="93"/>
      <c r="L309" s="100"/>
      <c r="M309" s="100"/>
      <c r="N309" s="93"/>
      <c r="O309" s="93"/>
      <c r="P309" s="93"/>
      <c r="Q309" s="100"/>
      <c r="R309" s="100"/>
    </row>
    <row r="310" spans="2:18">
      <c r="B310" s="92"/>
      <c r="C310" s="92"/>
      <c r="D310" s="92"/>
      <c r="E310" s="92"/>
      <c r="F310" s="92"/>
      <c r="G310" s="92"/>
      <c r="H310" s="92"/>
      <c r="I310" s="93"/>
      <c r="J310" s="93"/>
      <c r="K310" s="93"/>
      <c r="L310" s="100"/>
      <c r="M310" s="100"/>
      <c r="N310" s="93"/>
      <c r="O310" s="93"/>
      <c r="P310" s="93"/>
      <c r="Q310" s="100"/>
      <c r="R310" s="100"/>
    </row>
    <row r="311" spans="2:18">
      <c r="B311" s="92"/>
      <c r="C311" s="92"/>
      <c r="D311" s="92"/>
      <c r="E311" s="92"/>
      <c r="F311" s="92"/>
      <c r="G311" s="92"/>
      <c r="H311" s="92"/>
      <c r="I311" s="93"/>
      <c r="J311" s="93"/>
      <c r="K311" s="93"/>
      <c r="L311" s="100"/>
      <c r="M311" s="100"/>
      <c r="N311" s="93"/>
      <c r="O311" s="93"/>
      <c r="P311" s="93"/>
      <c r="Q311" s="100"/>
      <c r="R311" s="100"/>
    </row>
    <row r="312" spans="2:18">
      <c r="B312" s="92"/>
      <c r="C312" s="92"/>
      <c r="D312" s="92"/>
      <c r="E312" s="92"/>
      <c r="F312" s="92"/>
      <c r="G312" s="92"/>
      <c r="H312" s="92"/>
      <c r="I312" s="93"/>
      <c r="J312" s="93"/>
      <c r="K312" s="93"/>
      <c r="L312" s="100"/>
      <c r="M312" s="100"/>
      <c r="N312" s="93"/>
      <c r="O312" s="93"/>
      <c r="P312" s="93"/>
      <c r="Q312" s="100"/>
      <c r="R312" s="100"/>
    </row>
    <row r="313" spans="2:18">
      <c r="B313" s="92"/>
      <c r="C313" s="92"/>
      <c r="D313" s="92"/>
      <c r="E313" s="92"/>
      <c r="F313" s="92"/>
      <c r="G313" s="92"/>
      <c r="H313" s="92"/>
      <c r="I313" s="93"/>
      <c r="J313" s="93"/>
      <c r="K313" s="93"/>
      <c r="L313" s="100"/>
      <c r="M313" s="100"/>
      <c r="N313" s="93"/>
      <c r="O313" s="93"/>
      <c r="P313" s="93"/>
      <c r="Q313" s="100"/>
      <c r="R313" s="100"/>
    </row>
    <row r="314" spans="2:18">
      <c r="B314" s="92"/>
      <c r="C314" s="92"/>
      <c r="D314" s="92"/>
      <c r="E314" s="92"/>
      <c r="F314" s="92"/>
      <c r="G314" s="92"/>
      <c r="H314" s="92"/>
      <c r="I314" s="93"/>
      <c r="J314" s="93"/>
      <c r="K314" s="93"/>
      <c r="L314" s="100"/>
      <c r="M314" s="100"/>
      <c r="N314" s="93"/>
      <c r="O314" s="93"/>
      <c r="P314" s="93"/>
      <c r="Q314" s="100"/>
      <c r="R314" s="100"/>
    </row>
    <row r="315" spans="2:18">
      <c r="B315" s="92"/>
      <c r="C315" s="92"/>
      <c r="D315" s="92"/>
      <c r="E315" s="92"/>
      <c r="F315" s="92"/>
      <c r="G315" s="92"/>
      <c r="H315" s="92"/>
      <c r="I315" s="93"/>
      <c r="J315" s="93"/>
      <c r="K315" s="93"/>
      <c r="L315" s="100"/>
      <c r="M315" s="100"/>
      <c r="N315" s="93"/>
      <c r="O315" s="93"/>
      <c r="P315" s="93"/>
      <c r="Q315" s="100"/>
      <c r="R315" s="100"/>
    </row>
    <row r="316" spans="2:18">
      <c r="B316" s="92"/>
      <c r="C316" s="92"/>
      <c r="D316" s="92"/>
      <c r="E316" s="92"/>
      <c r="F316" s="92"/>
      <c r="G316" s="92"/>
      <c r="H316" s="92"/>
      <c r="I316" s="93"/>
      <c r="J316" s="93"/>
      <c r="K316" s="93"/>
      <c r="L316" s="100"/>
      <c r="M316" s="100"/>
      <c r="N316" s="93"/>
      <c r="O316" s="93"/>
      <c r="P316" s="93"/>
      <c r="Q316" s="100"/>
      <c r="R316" s="100"/>
    </row>
    <row r="317" spans="2:18">
      <c r="B317" s="92"/>
      <c r="C317" s="92"/>
      <c r="D317" s="92"/>
      <c r="E317" s="92"/>
      <c r="F317" s="92"/>
      <c r="G317" s="92"/>
      <c r="H317" s="92"/>
      <c r="I317" s="93"/>
      <c r="J317" s="93"/>
      <c r="K317" s="93"/>
      <c r="L317" s="100"/>
      <c r="M317" s="100"/>
      <c r="N317" s="93"/>
      <c r="O317" s="93"/>
      <c r="P317" s="93"/>
      <c r="Q317" s="100"/>
      <c r="R317" s="100"/>
    </row>
    <row r="318" spans="2:18">
      <c r="B318" s="92"/>
      <c r="C318" s="92"/>
      <c r="D318" s="92"/>
      <c r="E318" s="92"/>
      <c r="F318" s="92"/>
      <c r="G318" s="92"/>
      <c r="H318" s="92"/>
      <c r="I318" s="93"/>
      <c r="J318" s="93"/>
      <c r="K318" s="93"/>
      <c r="L318" s="100"/>
      <c r="M318" s="100"/>
      <c r="N318" s="93"/>
      <c r="O318" s="93"/>
      <c r="P318" s="93"/>
      <c r="Q318" s="100"/>
      <c r="R318" s="100"/>
    </row>
    <row r="319" spans="2:18">
      <c r="B319" s="92"/>
      <c r="C319" s="92"/>
      <c r="D319" s="92"/>
      <c r="E319" s="92"/>
      <c r="F319" s="92"/>
      <c r="G319" s="92"/>
      <c r="H319" s="92"/>
      <c r="I319" s="93"/>
      <c r="J319" s="93"/>
      <c r="K319" s="93"/>
      <c r="L319" s="100"/>
      <c r="M319" s="100"/>
      <c r="N319" s="93"/>
      <c r="O319" s="93"/>
      <c r="P319" s="93"/>
      <c r="Q319" s="100"/>
      <c r="R319" s="100"/>
    </row>
    <row r="320" spans="2:18">
      <c r="B320" s="92"/>
      <c r="C320" s="92"/>
      <c r="D320" s="92"/>
      <c r="E320" s="92"/>
      <c r="F320" s="92"/>
      <c r="G320" s="92"/>
      <c r="H320" s="92"/>
      <c r="I320" s="93"/>
      <c r="J320" s="93"/>
      <c r="K320" s="93"/>
      <c r="L320" s="100"/>
      <c r="M320" s="100"/>
      <c r="N320" s="93"/>
      <c r="O320" s="93"/>
      <c r="P320" s="93"/>
      <c r="Q320" s="100"/>
      <c r="R320" s="100"/>
    </row>
    <row r="321" spans="2:18">
      <c r="B321" s="92"/>
      <c r="C321" s="92"/>
      <c r="D321" s="92"/>
      <c r="E321" s="92"/>
      <c r="F321" s="92"/>
      <c r="G321" s="92"/>
      <c r="H321" s="92"/>
      <c r="I321" s="93"/>
      <c r="J321" s="93"/>
      <c r="K321" s="93"/>
      <c r="L321" s="100"/>
      <c r="M321" s="100"/>
      <c r="N321" s="93"/>
      <c r="O321" s="93"/>
      <c r="P321" s="93"/>
      <c r="Q321" s="100"/>
      <c r="R321" s="100"/>
    </row>
    <row r="322" spans="2:18">
      <c r="B322" s="92"/>
      <c r="C322" s="92"/>
      <c r="D322" s="92"/>
      <c r="E322" s="92"/>
      <c r="F322" s="92"/>
      <c r="G322" s="92"/>
      <c r="H322" s="92"/>
      <c r="I322" s="93"/>
      <c r="J322" s="93"/>
      <c r="K322" s="93"/>
      <c r="L322" s="100"/>
      <c r="M322" s="100"/>
      <c r="N322" s="93"/>
      <c r="O322" s="93"/>
      <c r="P322" s="93"/>
      <c r="Q322" s="100"/>
      <c r="R322" s="100"/>
    </row>
    <row r="323" spans="2:18">
      <c r="B323" s="92"/>
      <c r="C323" s="92"/>
      <c r="D323" s="92"/>
      <c r="E323" s="92"/>
      <c r="F323" s="92"/>
      <c r="G323" s="92"/>
      <c r="H323" s="92"/>
      <c r="I323" s="93"/>
      <c r="J323" s="93"/>
      <c r="K323" s="93"/>
      <c r="L323" s="100"/>
      <c r="M323" s="100"/>
      <c r="N323" s="93"/>
      <c r="O323" s="93"/>
      <c r="P323" s="93"/>
      <c r="Q323" s="100"/>
      <c r="R323" s="100"/>
    </row>
    <row r="324" spans="2:18">
      <c r="B324" s="92"/>
      <c r="C324" s="92"/>
      <c r="D324" s="92"/>
      <c r="E324" s="92"/>
      <c r="F324" s="92"/>
      <c r="G324" s="92"/>
      <c r="H324" s="92"/>
      <c r="I324" s="93"/>
      <c r="J324" s="93"/>
      <c r="K324" s="93"/>
      <c r="L324" s="100"/>
      <c r="M324" s="100"/>
      <c r="N324" s="93"/>
      <c r="O324" s="93"/>
      <c r="P324" s="93"/>
      <c r="Q324" s="100"/>
      <c r="R324" s="100"/>
    </row>
    <row r="325" spans="2:18">
      <c r="B325" s="92"/>
      <c r="C325" s="92"/>
      <c r="D325" s="92"/>
      <c r="E325" s="92"/>
      <c r="F325" s="92"/>
      <c r="G325" s="92"/>
      <c r="H325" s="92"/>
      <c r="I325" s="93"/>
      <c r="J325" s="93"/>
      <c r="K325" s="93"/>
      <c r="L325" s="100"/>
      <c r="M325" s="100"/>
      <c r="N325" s="93"/>
      <c r="O325" s="93"/>
      <c r="P325" s="93"/>
      <c r="Q325" s="100"/>
      <c r="R325" s="100"/>
    </row>
    <row r="326" spans="2:18">
      <c r="B326" s="92"/>
      <c r="C326" s="92"/>
      <c r="D326" s="92"/>
      <c r="E326" s="92"/>
      <c r="F326" s="92"/>
      <c r="G326" s="92"/>
      <c r="H326" s="92"/>
      <c r="I326" s="93"/>
      <c r="J326" s="93"/>
      <c r="K326" s="93"/>
      <c r="L326" s="100"/>
      <c r="M326" s="100"/>
      <c r="N326" s="93"/>
      <c r="O326" s="93"/>
      <c r="P326" s="93"/>
      <c r="Q326" s="100"/>
      <c r="R326" s="100"/>
    </row>
    <row r="327" spans="2:18">
      <c r="B327" s="92"/>
      <c r="C327" s="92"/>
      <c r="D327" s="92"/>
      <c r="E327" s="92"/>
      <c r="F327" s="92"/>
      <c r="G327" s="92"/>
      <c r="H327" s="92"/>
      <c r="I327" s="93"/>
      <c r="J327" s="93"/>
      <c r="K327" s="93"/>
      <c r="L327" s="100"/>
      <c r="M327" s="100"/>
      <c r="N327" s="93"/>
      <c r="O327" s="93"/>
      <c r="P327" s="93"/>
      <c r="Q327" s="100"/>
      <c r="R327" s="100"/>
    </row>
    <row r="328" spans="2:18">
      <c r="B328" s="92"/>
      <c r="C328" s="92"/>
      <c r="D328" s="92"/>
      <c r="E328" s="92"/>
      <c r="F328" s="92"/>
      <c r="G328" s="92"/>
      <c r="H328" s="92"/>
      <c r="I328" s="93"/>
      <c r="J328" s="93"/>
      <c r="K328" s="93"/>
      <c r="L328" s="100"/>
      <c r="M328" s="100"/>
      <c r="N328" s="93"/>
      <c r="O328" s="93"/>
      <c r="P328" s="93"/>
      <c r="Q328" s="100"/>
      <c r="R328" s="100"/>
    </row>
    <row r="329" spans="2:18">
      <c r="B329" s="92"/>
      <c r="C329" s="92"/>
      <c r="D329" s="92"/>
      <c r="E329" s="92"/>
      <c r="F329" s="92"/>
      <c r="G329" s="92"/>
      <c r="H329" s="92"/>
      <c r="I329" s="93"/>
      <c r="J329" s="93"/>
      <c r="K329" s="93"/>
      <c r="L329" s="100"/>
      <c r="M329" s="100"/>
      <c r="N329" s="93"/>
      <c r="O329" s="93"/>
      <c r="P329" s="93"/>
      <c r="Q329" s="100"/>
      <c r="R329" s="100"/>
    </row>
    <row r="330" spans="2:18">
      <c r="B330" s="92"/>
      <c r="C330" s="92"/>
      <c r="D330" s="92"/>
      <c r="E330" s="92"/>
      <c r="F330" s="92"/>
      <c r="G330" s="92"/>
      <c r="H330" s="92"/>
      <c r="I330" s="93"/>
      <c r="J330" s="93"/>
      <c r="K330" s="93"/>
      <c r="L330" s="100"/>
      <c r="M330" s="100"/>
      <c r="N330" s="93"/>
      <c r="O330" s="93"/>
      <c r="P330" s="93"/>
      <c r="Q330" s="100"/>
      <c r="R330" s="100"/>
    </row>
    <row r="331" spans="2:18">
      <c r="B331" s="92"/>
      <c r="C331" s="92"/>
      <c r="D331" s="92"/>
      <c r="E331" s="92"/>
      <c r="F331" s="92"/>
      <c r="G331" s="92"/>
      <c r="H331" s="92"/>
      <c r="I331" s="93"/>
      <c r="J331" s="93"/>
      <c r="K331" s="93"/>
      <c r="L331" s="100"/>
      <c r="M331" s="100"/>
      <c r="N331" s="93"/>
      <c r="O331" s="93"/>
      <c r="P331" s="93"/>
      <c r="Q331" s="100"/>
      <c r="R331" s="100"/>
    </row>
    <row r="332" spans="2:18">
      <c r="B332" s="92"/>
      <c r="C332" s="92"/>
      <c r="D332" s="92"/>
      <c r="E332" s="92"/>
      <c r="F332" s="92"/>
      <c r="G332" s="92"/>
      <c r="H332" s="92"/>
      <c r="I332" s="93"/>
      <c r="J332" s="93"/>
      <c r="K332" s="93"/>
      <c r="L332" s="100"/>
      <c r="M332" s="100"/>
      <c r="N332" s="93"/>
      <c r="O332" s="93"/>
      <c r="P332" s="93"/>
      <c r="Q332" s="100"/>
      <c r="R332" s="100"/>
    </row>
    <row r="333" spans="2:18">
      <c r="B333" s="92"/>
      <c r="C333" s="92"/>
      <c r="D333" s="92"/>
      <c r="E333" s="92"/>
      <c r="F333" s="92"/>
      <c r="G333" s="92"/>
      <c r="H333" s="92"/>
      <c r="I333" s="93"/>
      <c r="J333" s="93"/>
      <c r="K333" s="93"/>
      <c r="L333" s="100"/>
      <c r="M333" s="100"/>
      <c r="N333" s="93"/>
      <c r="O333" s="93"/>
      <c r="P333" s="93"/>
      <c r="Q333" s="100"/>
      <c r="R333" s="100"/>
    </row>
    <row r="334" spans="2:18">
      <c r="B334" s="92"/>
      <c r="C334" s="92"/>
      <c r="D334" s="92"/>
      <c r="E334" s="92"/>
      <c r="F334" s="92"/>
      <c r="G334" s="92"/>
      <c r="H334" s="92"/>
      <c r="I334" s="93"/>
      <c r="J334" s="93"/>
      <c r="K334" s="93"/>
      <c r="L334" s="100"/>
      <c r="M334" s="100"/>
      <c r="N334" s="93"/>
      <c r="O334" s="93"/>
      <c r="P334" s="93"/>
      <c r="Q334" s="100"/>
      <c r="R334" s="100"/>
    </row>
    <row r="335" spans="2:18">
      <c r="B335" s="92"/>
      <c r="C335" s="92"/>
      <c r="D335" s="92"/>
      <c r="E335" s="92"/>
      <c r="F335" s="92"/>
      <c r="G335" s="92"/>
      <c r="H335" s="92"/>
      <c r="I335" s="93"/>
      <c r="J335" s="93"/>
      <c r="K335" s="93"/>
      <c r="L335" s="100"/>
      <c r="M335" s="100"/>
      <c r="N335" s="93"/>
      <c r="O335" s="93"/>
      <c r="P335" s="93"/>
      <c r="Q335" s="100"/>
      <c r="R335" s="100"/>
    </row>
    <row r="336" spans="2:18">
      <c r="B336" s="92"/>
      <c r="C336" s="92"/>
      <c r="D336" s="92"/>
      <c r="E336" s="92"/>
      <c r="F336" s="92"/>
      <c r="G336" s="92"/>
      <c r="H336" s="92"/>
      <c r="I336" s="93"/>
      <c r="J336" s="93"/>
      <c r="K336" s="93"/>
      <c r="L336" s="100"/>
      <c r="M336" s="100"/>
      <c r="N336" s="93"/>
      <c r="O336" s="93"/>
      <c r="P336" s="93"/>
      <c r="Q336" s="100"/>
      <c r="R336" s="100"/>
    </row>
    <row r="337" spans="2:18">
      <c r="B337" s="92"/>
      <c r="C337" s="92"/>
      <c r="D337" s="92"/>
      <c r="E337" s="92"/>
      <c r="F337" s="92"/>
      <c r="G337" s="92"/>
      <c r="H337" s="92"/>
      <c r="I337" s="93"/>
      <c r="J337" s="93"/>
      <c r="K337" s="93"/>
      <c r="L337" s="100"/>
      <c r="M337" s="100"/>
      <c r="N337" s="93"/>
      <c r="O337" s="93"/>
      <c r="P337" s="93"/>
      <c r="Q337" s="100"/>
      <c r="R337" s="100"/>
    </row>
    <row r="338" spans="2:18">
      <c r="B338" s="92"/>
      <c r="C338" s="92"/>
      <c r="D338" s="92"/>
      <c r="E338" s="92"/>
      <c r="F338" s="92"/>
      <c r="G338" s="92"/>
      <c r="H338" s="92"/>
      <c r="I338" s="93"/>
      <c r="J338" s="93"/>
      <c r="K338" s="93"/>
      <c r="L338" s="100"/>
      <c r="M338" s="100"/>
      <c r="N338" s="93"/>
      <c r="O338" s="93"/>
      <c r="P338" s="93"/>
      <c r="Q338" s="100"/>
      <c r="R338" s="100"/>
    </row>
    <row r="339" spans="2:18">
      <c r="B339" s="92"/>
      <c r="C339" s="92"/>
      <c r="D339" s="92"/>
      <c r="E339" s="92"/>
      <c r="F339" s="92"/>
      <c r="G339" s="92"/>
      <c r="H339" s="92"/>
      <c r="I339" s="93"/>
      <c r="J339" s="93"/>
      <c r="K339" s="93"/>
      <c r="L339" s="100"/>
      <c r="M339" s="100"/>
      <c r="N339" s="93"/>
      <c r="O339" s="93"/>
      <c r="P339" s="93"/>
      <c r="Q339" s="100"/>
      <c r="R339" s="100"/>
    </row>
    <row r="340" spans="2:18">
      <c r="B340" s="92"/>
      <c r="C340" s="92"/>
      <c r="D340" s="92"/>
      <c r="E340" s="92"/>
      <c r="F340" s="92"/>
      <c r="G340" s="92"/>
      <c r="H340" s="92"/>
      <c r="I340" s="93"/>
      <c r="J340" s="93"/>
      <c r="K340" s="93"/>
      <c r="L340" s="100"/>
      <c r="M340" s="100"/>
      <c r="N340" s="93"/>
      <c r="O340" s="93"/>
      <c r="P340" s="93"/>
      <c r="Q340" s="100"/>
      <c r="R340" s="100"/>
    </row>
    <row r="341" spans="2:18">
      <c r="B341" s="92"/>
      <c r="C341" s="92"/>
      <c r="D341" s="92"/>
      <c r="E341" s="92"/>
      <c r="F341" s="92"/>
      <c r="G341" s="92"/>
      <c r="H341" s="92"/>
      <c r="I341" s="93"/>
      <c r="J341" s="93"/>
      <c r="K341" s="93"/>
      <c r="L341" s="100"/>
      <c r="M341" s="100"/>
      <c r="N341" s="93"/>
      <c r="O341" s="93"/>
      <c r="P341" s="93"/>
      <c r="Q341" s="100"/>
      <c r="R341" s="100"/>
    </row>
    <row r="342" spans="2:18">
      <c r="B342" s="92"/>
      <c r="C342" s="92"/>
      <c r="D342" s="92"/>
      <c r="E342" s="92"/>
      <c r="F342" s="92"/>
      <c r="G342" s="92"/>
      <c r="H342" s="92"/>
      <c r="I342" s="93"/>
      <c r="J342" s="93"/>
      <c r="K342" s="93"/>
      <c r="L342" s="100"/>
      <c r="M342" s="100"/>
      <c r="N342" s="93"/>
      <c r="O342" s="93"/>
      <c r="P342" s="93"/>
      <c r="Q342" s="100"/>
      <c r="R342" s="100"/>
    </row>
    <row r="343" spans="2:18">
      <c r="B343" s="92"/>
      <c r="C343" s="92"/>
      <c r="D343" s="92"/>
      <c r="E343" s="92"/>
      <c r="F343" s="92"/>
      <c r="G343" s="92"/>
      <c r="H343" s="92"/>
      <c r="I343" s="93"/>
      <c r="J343" s="93"/>
      <c r="K343" s="93"/>
      <c r="L343" s="100"/>
      <c r="M343" s="100"/>
      <c r="N343" s="93"/>
      <c r="O343" s="93"/>
      <c r="P343" s="93"/>
      <c r="Q343" s="100"/>
      <c r="R343" s="100"/>
    </row>
    <row r="344" spans="2:18">
      <c r="B344" s="92"/>
      <c r="C344" s="92"/>
      <c r="D344" s="92"/>
      <c r="E344" s="92"/>
      <c r="F344" s="92"/>
      <c r="G344" s="92"/>
      <c r="H344" s="92"/>
      <c r="I344" s="93"/>
      <c r="J344" s="93"/>
      <c r="K344" s="93"/>
      <c r="L344" s="100"/>
      <c r="M344" s="100"/>
      <c r="N344" s="93"/>
      <c r="O344" s="93"/>
      <c r="P344" s="93"/>
      <c r="Q344" s="100"/>
      <c r="R344" s="100"/>
    </row>
    <row r="345" spans="2:18">
      <c r="B345" s="92"/>
      <c r="C345" s="92"/>
      <c r="D345" s="92"/>
      <c r="E345" s="92"/>
      <c r="F345" s="92"/>
      <c r="G345" s="92"/>
      <c r="H345" s="92"/>
      <c r="I345" s="93"/>
      <c r="J345" s="93"/>
      <c r="K345" s="93"/>
      <c r="L345" s="100"/>
      <c r="M345" s="100"/>
      <c r="N345" s="93"/>
      <c r="O345" s="93"/>
      <c r="P345" s="93"/>
      <c r="Q345" s="100"/>
      <c r="R345" s="100"/>
    </row>
    <row r="346" spans="2:18">
      <c r="B346" s="92"/>
      <c r="C346" s="92"/>
      <c r="D346" s="92"/>
      <c r="E346" s="92"/>
      <c r="F346" s="92"/>
      <c r="G346" s="92"/>
      <c r="H346" s="92"/>
      <c r="I346" s="93"/>
      <c r="J346" s="93"/>
      <c r="K346" s="93"/>
      <c r="L346" s="100"/>
      <c r="M346" s="100"/>
      <c r="N346" s="93"/>
      <c r="O346" s="93"/>
      <c r="P346" s="93"/>
      <c r="Q346" s="100"/>
      <c r="R346" s="100"/>
    </row>
    <row r="347" spans="2:18">
      <c r="B347" s="92"/>
      <c r="C347" s="92"/>
      <c r="D347" s="92"/>
      <c r="E347" s="92"/>
      <c r="F347" s="92"/>
      <c r="G347" s="92"/>
      <c r="H347" s="92"/>
      <c r="I347" s="93"/>
      <c r="J347" s="93"/>
      <c r="K347" s="93"/>
      <c r="L347" s="100"/>
      <c r="M347" s="100"/>
      <c r="N347" s="93"/>
      <c r="O347" s="93"/>
      <c r="P347" s="93"/>
      <c r="Q347" s="100"/>
      <c r="R347" s="100"/>
    </row>
    <row r="348" spans="2:18">
      <c r="B348" s="92"/>
      <c r="C348" s="92"/>
      <c r="D348" s="92"/>
      <c r="E348" s="92"/>
      <c r="F348" s="92"/>
      <c r="G348" s="92"/>
      <c r="H348" s="92"/>
      <c r="I348" s="93"/>
      <c r="J348" s="93"/>
      <c r="K348" s="93"/>
      <c r="L348" s="100"/>
      <c r="M348" s="100"/>
      <c r="N348" s="93"/>
      <c r="O348" s="93"/>
      <c r="P348" s="93"/>
      <c r="Q348" s="100"/>
      <c r="R348" s="100"/>
    </row>
    <row r="349" spans="2:18">
      <c r="B349" s="92"/>
      <c r="C349" s="92"/>
      <c r="D349" s="92"/>
      <c r="E349" s="92"/>
      <c r="F349" s="92"/>
      <c r="G349" s="92"/>
      <c r="H349" s="92"/>
      <c r="I349" s="93"/>
      <c r="J349" s="93"/>
      <c r="K349" s="93"/>
      <c r="L349" s="100"/>
      <c r="M349" s="100"/>
      <c r="N349" s="93"/>
      <c r="O349" s="93"/>
      <c r="P349" s="93"/>
      <c r="Q349" s="100"/>
      <c r="R349" s="100"/>
    </row>
    <row r="350" spans="2:18">
      <c r="B350" s="92"/>
      <c r="C350" s="92"/>
      <c r="D350" s="92"/>
      <c r="E350" s="92"/>
      <c r="F350" s="92"/>
      <c r="G350" s="92"/>
      <c r="H350" s="92"/>
      <c r="I350" s="93"/>
      <c r="J350" s="93"/>
      <c r="K350" s="93"/>
      <c r="L350" s="100"/>
      <c r="M350" s="100"/>
      <c r="N350" s="93"/>
      <c r="O350" s="93"/>
      <c r="P350" s="93"/>
      <c r="Q350" s="100"/>
      <c r="R350" s="100"/>
    </row>
    <row r="351" spans="2:18">
      <c r="B351" s="92"/>
      <c r="C351" s="92"/>
      <c r="D351" s="92"/>
      <c r="E351" s="92"/>
      <c r="F351" s="92"/>
      <c r="G351" s="92"/>
      <c r="H351" s="92"/>
      <c r="I351" s="93"/>
      <c r="J351" s="93"/>
      <c r="K351" s="93"/>
      <c r="L351" s="100"/>
      <c r="M351" s="100"/>
      <c r="N351" s="93"/>
      <c r="O351" s="93"/>
      <c r="P351" s="93"/>
      <c r="Q351" s="100"/>
      <c r="R351" s="100"/>
    </row>
    <row r="352" spans="2:18">
      <c r="B352" s="92"/>
      <c r="C352" s="92"/>
      <c r="D352" s="92"/>
      <c r="E352" s="92"/>
      <c r="F352" s="92"/>
      <c r="G352" s="92"/>
      <c r="H352" s="92"/>
      <c r="I352" s="93"/>
      <c r="J352" s="93"/>
      <c r="K352" s="93"/>
      <c r="L352" s="100"/>
      <c r="M352" s="100"/>
      <c r="N352" s="93"/>
      <c r="O352" s="93"/>
      <c r="P352" s="93"/>
      <c r="Q352" s="100"/>
      <c r="R352" s="100"/>
    </row>
    <row r="353" spans="2:18">
      <c r="B353" s="92"/>
      <c r="C353" s="92"/>
      <c r="D353" s="92"/>
      <c r="E353" s="92"/>
      <c r="F353" s="92"/>
      <c r="G353" s="92"/>
      <c r="H353" s="92"/>
      <c r="I353" s="93"/>
      <c r="J353" s="93"/>
      <c r="K353" s="93"/>
      <c r="L353" s="100"/>
      <c r="M353" s="100"/>
      <c r="N353" s="93"/>
      <c r="O353" s="93"/>
      <c r="P353" s="93"/>
      <c r="Q353" s="100"/>
      <c r="R353" s="100"/>
    </row>
    <row r="354" spans="2:18">
      <c r="B354" s="92"/>
      <c r="C354" s="92"/>
      <c r="D354" s="92"/>
      <c r="E354" s="92"/>
      <c r="F354" s="92"/>
      <c r="G354" s="92"/>
      <c r="H354" s="92"/>
      <c r="I354" s="93"/>
      <c r="J354" s="93"/>
      <c r="K354" s="93"/>
      <c r="L354" s="100"/>
      <c r="M354" s="100"/>
      <c r="N354" s="93"/>
      <c r="O354" s="93"/>
      <c r="P354" s="93"/>
      <c r="Q354" s="100"/>
      <c r="R354" s="100"/>
    </row>
    <row r="355" spans="2:18">
      <c r="B355" s="92"/>
      <c r="C355" s="92"/>
      <c r="D355" s="92"/>
      <c r="E355" s="92"/>
      <c r="F355" s="92"/>
      <c r="G355" s="92"/>
      <c r="H355" s="92"/>
      <c r="I355" s="93"/>
      <c r="J355" s="93"/>
      <c r="K355" s="93"/>
      <c r="L355" s="100"/>
      <c r="M355" s="100"/>
      <c r="N355" s="93"/>
      <c r="O355" s="93"/>
      <c r="P355" s="93"/>
      <c r="Q355" s="100"/>
      <c r="R355" s="100"/>
    </row>
    <row r="356" spans="2:18">
      <c r="B356" s="92"/>
      <c r="C356" s="92"/>
      <c r="D356" s="92"/>
      <c r="E356" s="92"/>
      <c r="F356" s="92"/>
      <c r="G356" s="92"/>
      <c r="H356" s="92"/>
      <c r="I356" s="93"/>
      <c r="J356" s="93"/>
      <c r="K356" s="93"/>
      <c r="L356" s="100"/>
      <c r="M356" s="100"/>
      <c r="N356" s="93"/>
      <c r="O356" s="93"/>
      <c r="P356" s="93"/>
      <c r="Q356" s="100"/>
      <c r="R356" s="100"/>
    </row>
    <row r="357" spans="2:18">
      <c r="B357" s="92"/>
      <c r="C357" s="92"/>
      <c r="D357" s="92"/>
      <c r="E357" s="92"/>
      <c r="F357" s="92"/>
      <c r="G357" s="92"/>
      <c r="H357" s="92"/>
      <c r="I357" s="93"/>
      <c r="J357" s="93"/>
      <c r="K357" s="93"/>
      <c r="L357" s="100"/>
      <c r="M357" s="100"/>
      <c r="N357" s="93"/>
      <c r="O357" s="93"/>
      <c r="P357" s="93"/>
      <c r="Q357" s="100"/>
      <c r="R357" s="100"/>
    </row>
    <row r="358" spans="2:18">
      <c r="B358" s="92"/>
      <c r="C358" s="92"/>
      <c r="D358" s="92"/>
      <c r="E358" s="92"/>
      <c r="F358" s="92"/>
      <c r="G358" s="92"/>
      <c r="H358" s="92"/>
      <c r="I358" s="93"/>
      <c r="J358" s="93"/>
      <c r="K358" s="93"/>
      <c r="L358" s="100"/>
      <c r="M358" s="100"/>
      <c r="N358" s="93"/>
      <c r="O358" s="93"/>
      <c r="P358" s="93"/>
      <c r="Q358" s="100"/>
      <c r="R358" s="100"/>
    </row>
    <row r="359" spans="2:18">
      <c r="B359" s="92"/>
      <c r="C359" s="92"/>
      <c r="D359" s="92"/>
      <c r="E359" s="92"/>
      <c r="F359" s="92"/>
      <c r="G359" s="92"/>
      <c r="H359" s="92"/>
      <c r="I359" s="93"/>
      <c r="J359" s="93"/>
      <c r="K359" s="93"/>
      <c r="L359" s="100"/>
      <c r="M359" s="100"/>
      <c r="N359" s="93"/>
      <c r="O359" s="93"/>
      <c r="P359" s="93"/>
      <c r="Q359" s="100"/>
      <c r="R359" s="100"/>
    </row>
    <row r="360" spans="2:18">
      <c r="B360" s="92"/>
      <c r="C360" s="92"/>
      <c r="D360" s="92"/>
      <c r="E360" s="92"/>
      <c r="F360" s="92"/>
      <c r="G360" s="92"/>
      <c r="H360" s="92"/>
      <c r="I360" s="93"/>
      <c r="J360" s="93"/>
      <c r="K360" s="93"/>
      <c r="L360" s="100"/>
      <c r="M360" s="100"/>
      <c r="N360" s="93"/>
      <c r="O360" s="93"/>
      <c r="P360" s="93"/>
      <c r="Q360" s="100"/>
      <c r="R360" s="100"/>
    </row>
    <row r="361" spans="2:18">
      <c r="B361" s="92"/>
      <c r="C361" s="92"/>
      <c r="D361" s="92"/>
      <c r="E361" s="92"/>
      <c r="F361" s="92"/>
      <c r="G361" s="92"/>
      <c r="H361" s="92"/>
      <c r="I361" s="93"/>
      <c r="J361" s="93"/>
      <c r="K361" s="93"/>
      <c r="L361" s="100"/>
      <c r="M361" s="100"/>
      <c r="N361" s="93"/>
      <c r="O361" s="93"/>
      <c r="P361" s="93"/>
      <c r="Q361" s="100"/>
      <c r="R361" s="100"/>
    </row>
    <row r="362" spans="2:18">
      <c r="B362" s="92"/>
      <c r="C362" s="92"/>
      <c r="D362" s="92"/>
      <c r="E362" s="92"/>
      <c r="F362" s="92"/>
      <c r="G362" s="92"/>
      <c r="H362" s="92"/>
      <c r="I362" s="93"/>
      <c r="J362" s="93"/>
      <c r="K362" s="93"/>
      <c r="L362" s="100"/>
      <c r="M362" s="100"/>
      <c r="N362" s="93"/>
      <c r="O362" s="93"/>
      <c r="P362" s="93"/>
      <c r="Q362" s="100"/>
      <c r="R362" s="100"/>
    </row>
    <row r="363" spans="2:18">
      <c r="B363" s="92"/>
      <c r="C363" s="92"/>
      <c r="D363" s="92"/>
      <c r="E363" s="92"/>
      <c r="F363" s="92"/>
      <c r="G363" s="92"/>
      <c r="H363" s="92"/>
      <c r="I363" s="93"/>
      <c r="J363" s="93"/>
      <c r="K363" s="93"/>
      <c r="L363" s="100"/>
      <c r="M363" s="100"/>
      <c r="N363" s="93"/>
      <c r="O363" s="93"/>
      <c r="P363" s="93"/>
      <c r="Q363" s="100"/>
      <c r="R363" s="100"/>
    </row>
    <row r="364" spans="2:18">
      <c r="B364" s="92"/>
      <c r="C364" s="92"/>
      <c r="D364" s="92"/>
      <c r="E364" s="92"/>
      <c r="F364" s="92"/>
      <c r="G364" s="92"/>
      <c r="H364" s="92"/>
      <c r="I364" s="93"/>
      <c r="J364" s="93"/>
      <c r="K364" s="93"/>
      <c r="L364" s="100"/>
      <c r="M364" s="100"/>
      <c r="N364" s="93"/>
      <c r="O364" s="93"/>
      <c r="P364" s="93"/>
      <c r="Q364" s="100"/>
      <c r="R364" s="100"/>
    </row>
    <row r="365" spans="2:18">
      <c r="B365" s="92"/>
      <c r="C365" s="92"/>
      <c r="D365" s="92"/>
      <c r="E365" s="92"/>
      <c r="F365" s="92"/>
      <c r="G365" s="92"/>
      <c r="H365" s="92"/>
      <c r="I365" s="93"/>
      <c r="J365" s="93"/>
      <c r="K365" s="93"/>
      <c r="L365" s="100"/>
      <c r="M365" s="100"/>
      <c r="N365" s="93"/>
      <c r="O365" s="93"/>
      <c r="P365" s="93"/>
      <c r="Q365" s="100"/>
      <c r="R365" s="100"/>
    </row>
    <row r="366" spans="2:18">
      <c r="B366" s="92"/>
      <c r="C366" s="92"/>
      <c r="D366" s="92"/>
      <c r="E366" s="92"/>
      <c r="F366" s="92"/>
      <c r="G366" s="92"/>
      <c r="H366" s="92"/>
      <c r="I366" s="93"/>
      <c r="J366" s="93"/>
      <c r="K366" s="93"/>
      <c r="L366" s="100"/>
      <c r="M366" s="100"/>
      <c r="N366" s="93"/>
      <c r="O366" s="93"/>
      <c r="P366" s="93"/>
      <c r="Q366" s="100"/>
      <c r="R366" s="100"/>
    </row>
    <row r="367" spans="2:18">
      <c r="B367" s="92"/>
      <c r="C367" s="92"/>
      <c r="D367" s="92"/>
      <c r="E367" s="92"/>
      <c r="F367" s="92"/>
      <c r="G367" s="92"/>
      <c r="H367" s="92"/>
      <c r="I367" s="93"/>
      <c r="J367" s="93"/>
      <c r="K367" s="93"/>
      <c r="L367" s="100"/>
      <c r="M367" s="100"/>
      <c r="N367" s="93"/>
      <c r="O367" s="93"/>
      <c r="P367" s="93"/>
      <c r="Q367" s="100"/>
      <c r="R367" s="100"/>
    </row>
    <row r="368" spans="2:18">
      <c r="B368" s="92"/>
      <c r="C368" s="92"/>
      <c r="D368" s="92"/>
      <c r="E368" s="92"/>
      <c r="F368" s="92"/>
      <c r="G368" s="92"/>
      <c r="H368" s="92"/>
      <c r="I368" s="93"/>
      <c r="J368" s="93"/>
      <c r="K368" s="93"/>
      <c r="L368" s="100"/>
      <c r="M368" s="100"/>
      <c r="N368" s="93"/>
      <c r="O368" s="93"/>
      <c r="P368" s="93"/>
      <c r="Q368" s="100"/>
      <c r="R368" s="100"/>
    </row>
    <row r="369" spans="2:18">
      <c r="B369" s="92"/>
      <c r="C369" s="92"/>
      <c r="D369" s="92"/>
      <c r="E369" s="92"/>
      <c r="F369" s="92"/>
      <c r="G369" s="92"/>
      <c r="H369" s="92"/>
      <c r="I369" s="93"/>
      <c r="J369" s="93"/>
      <c r="K369" s="93"/>
      <c r="L369" s="100"/>
      <c r="M369" s="100"/>
      <c r="N369" s="93"/>
      <c r="O369" s="93"/>
      <c r="P369" s="93"/>
      <c r="Q369" s="100"/>
      <c r="R369" s="100"/>
    </row>
    <row r="370" spans="2:18">
      <c r="B370" s="92"/>
      <c r="C370" s="92"/>
      <c r="D370" s="92"/>
      <c r="E370" s="92"/>
      <c r="F370" s="92"/>
      <c r="G370" s="92"/>
      <c r="H370" s="92"/>
      <c r="I370" s="93"/>
      <c r="J370" s="93"/>
      <c r="K370" s="93"/>
      <c r="L370" s="100"/>
      <c r="M370" s="100"/>
      <c r="N370" s="93"/>
      <c r="O370" s="93"/>
      <c r="P370" s="93"/>
      <c r="Q370" s="100"/>
      <c r="R370" s="100"/>
    </row>
    <row r="371" spans="2:18">
      <c r="B371" s="92"/>
      <c r="C371" s="92"/>
      <c r="D371" s="92"/>
      <c r="E371" s="92"/>
      <c r="F371" s="92"/>
      <c r="G371" s="92"/>
      <c r="H371" s="92"/>
      <c r="I371" s="93"/>
      <c r="J371" s="93"/>
      <c r="K371" s="93"/>
      <c r="L371" s="100"/>
      <c r="M371" s="100"/>
      <c r="N371" s="93"/>
      <c r="O371" s="93"/>
      <c r="P371" s="93"/>
      <c r="Q371" s="100"/>
      <c r="R371" s="100"/>
    </row>
    <row r="372" spans="2:18">
      <c r="B372" s="92"/>
      <c r="C372" s="92"/>
      <c r="D372" s="92"/>
      <c r="E372" s="92"/>
      <c r="F372" s="92"/>
      <c r="G372" s="92"/>
      <c r="H372" s="92"/>
      <c r="I372" s="93"/>
      <c r="J372" s="93"/>
      <c r="K372" s="93"/>
      <c r="L372" s="100"/>
      <c r="M372" s="100"/>
      <c r="N372" s="93"/>
      <c r="O372" s="93"/>
      <c r="P372" s="93"/>
      <c r="Q372" s="100"/>
      <c r="R372" s="100"/>
    </row>
    <row r="373" spans="2:18">
      <c r="B373" s="92"/>
      <c r="C373" s="92"/>
      <c r="D373" s="92"/>
      <c r="E373" s="92"/>
      <c r="F373" s="92"/>
      <c r="G373" s="92"/>
      <c r="H373" s="92"/>
      <c r="I373" s="93"/>
      <c r="J373" s="93"/>
      <c r="K373" s="93"/>
      <c r="L373" s="100"/>
      <c r="M373" s="100"/>
      <c r="N373" s="93"/>
      <c r="O373" s="93"/>
      <c r="P373" s="93"/>
      <c r="Q373" s="100"/>
      <c r="R373" s="100"/>
    </row>
    <row r="374" spans="2:18">
      <c r="B374" s="92"/>
      <c r="C374" s="92"/>
      <c r="D374" s="92"/>
      <c r="E374" s="92"/>
      <c r="F374" s="92"/>
      <c r="G374" s="92"/>
      <c r="H374" s="92"/>
      <c r="I374" s="93"/>
      <c r="J374" s="93"/>
      <c r="K374" s="93"/>
      <c r="L374" s="100"/>
      <c r="M374" s="100"/>
      <c r="N374" s="93"/>
      <c r="O374" s="93"/>
      <c r="P374" s="93"/>
      <c r="Q374" s="100"/>
      <c r="R374" s="100"/>
    </row>
    <row r="375" spans="2:18">
      <c r="B375" s="92"/>
      <c r="C375" s="92"/>
      <c r="D375" s="92"/>
      <c r="E375" s="92"/>
      <c r="F375" s="92"/>
      <c r="G375" s="92"/>
      <c r="H375" s="92"/>
      <c r="I375" s="93"/>
      <c r="J375" s="93"/>
      <c r="K375" s="93"/>
      <c r="L375" s="100"/>
      <c r="M375" s="100"/>
      <c r="N375" s="93"/>
      <c r="O375" s="93"/>
      <c r="P375" s="93"/>
      <c r="Q375" s="100"/>
      <c r="R375" s="100"/>
    </row>
    <row r="376" spans="2:18">
      <c r="B376" s="92"/>
      <c r="C376" s="92"/>
      <c r="D376" s="92"/>
      <c r="E376" s="92"/>
      <c r="F376" s="92"/>
      <c r="G376" s="92"/>
      <c r="H376" s="92"/>
      <c r="I376" s="93"/>
      <c r="J376" s="93"/>
      <c r="K376" s="93"/>
      <c r="L376" s="100"/>
      <c r="M376" s="100"/>
      <c r="N376" s="93"/>
      <c r="O376" s="93"/>
      <c r="P376" s="93"/>
      <c r="Q376" s="100"/>
      <c r="R376" s="100"/>
    </row>
    <row r="377" spans="2:18">
      <c r="B377" s="92"/>
      <c r="C377" s="92"/>
      <c r="D377" s="92"/>
      <c r="E377" s="92"/>
      <c r="F377" s="92"/>
      <c r="G377" s="92"/>
      <c r="H377" s="92"/>
      <c r="I377" s="93"/>
      <c r="J377" s="93"/>
      <c r="K377" s="93"/>
      <c r="L377" s="100"/>
      <c r="M377" s="100"/>
      <c r="N377" s="93"/>
      <c r="O377" s="93"/>
      <c r="P377" s="93"/>
      <c r="Q377" s="100"/>
      <c r="R377" s="100"/>
    </row>
    <row r="378" spans="2:18">
      <c r="B378" s="92"/>
      <c r="C378" s="92"/>
      <c r="D378" s="92"/>
      <c r="E378" s="92"/>
      <c r="F378" s="92"/>
      <c r="G378" s="92"/>
      <c r="H378" s="92"/>
      <c r="I378" s="93"/>
      <c r="J378" s="93"/>
      <c r="K378" s="93"/>
      <c r="L378" s="100"/>
      <c r="M378" s="100"/>
      <c r="N378" s="93"/>
      <c r="O378" s="93"/>
      <c r="P378" s="93"/>
      <c r="Q378" s="100"/>
      <c r="R378" s="100"/>
    </row>
    <row r="379" spans="2:18">
      <c r="B379" s="92"/>
      <c r="C379" s="92"/>
      <c r="D379" s="92"/>
      <c r="E379" s="92"/>
      <c r="F379" s="92"/>
      <c r="G379" s="92"/>
      <c r="H379" s="92"/>
      <c r="I379" s="93"/>
      <c r="J379" s="93"/>
      <c r="K379" s="93"/>
      <c r="L379" s="100"/>
      <c r="M379" s="100"/>
      <c r="N379" s="93"/>
      <c r="O379" s="93"/>
      <c r="P379" s="93"/>
      <c r="Q379" s="100"/>
      <c r="R379" s="100"/>
    </row>
    <row r="380" spans="2:18">
      <c r="B380" s="92"/>
      <c r="C380" s="92"/>
      <c r="D380" s="92"/>
      <c r="E380" s="92"/>
      <c r="F380" s="92"/>
      <c r="G380" s="92"/>
      <c r="H380" s="92"/>
      <c r="I380" s="93"/>
      <c r="J380" s="93"/>
      <c r="K380" s="93"/>
      <c r="L380" s="100"/>
      <c r="M380" s="100"/>
      <c r="N380" s="93"/>
      <c r="O380" s="93"/>
      <c r="P380" s="93"/>
      <c r="Q380" s="100"/>
      <c r="R380" s="100"/>
    </row>
    <row r="381" spans="2:18">
      <c r="B381" s="92"/>
      <c r="C381" s="92"/>
      <c r="D381" s="92"/>
      <c r="E381" s="92"/>
      <c r="F381" s="92"/>
      <c r="G381" s="92"/>
      <c r="H381" s="92"/>
      <c r="I381" s="93"/>
      <c r="J381" s="93"/>
      <c r="K381" s="93"/>
      <c r="L381" s="100"/>
      <c r="M381" s="100"/>
      <c r="N381" s="93"/>
      <c r="O381" s="93"/>
      <c r="P381" s="93"/>
      <c r="Q381" s="100"/>
      <c r="R381" s="100"/>
    </row>
    <row r="382" spans="2:18">
      <c r="B382" s="92"/>
      <c r="C382" s="92"/>
      <c r="D382" s="92"/>
      <c r="E382" s="92"/>
      <c r="F382" s="92"/>
      <c r="G382" s="92"/>
      <c r="H382" s="92"/>
      <c r="I382" s="93"/>
      <c r="J382" s="93"/>
      <c r="K382" s="93"/>
      <c r="L382" s="100"/>
      <c r="M382" s="100"/>
      <c r="N382" s="93"/>
      <c r="O382" s="93"/>
      <c r="P382" s="93"/>
      <c r="Q382" s="100"/>
      <c r="R382" s="100"/>
    </row>
    <row r="383" spans="2:18">
      <c r="B383" s="92"/>
      <c r="C383" s="92"/>
      <c r="D383" s="92"/>
      <c r="E383" s="92"/>
      <c r="F383" s="92"/>
      <c r="G383" s="92"/>
      <c r="H383" s="92"/>
      <c r="I383" s="93"/>
      <c r="J383" s="93"/>
      <c r="K383" s="93"/>
      <c r="L383" s="100"/>
      <c r="M383" s="100"/>
      <c r="N383" s="93"/>
      <c r="O383" s="93"/>
      <c r="P383" s="93"/>
      <c r="Q383" s="100"/>
      <c r="R383" s="100"/>
    </row>
    <row r="384" spans="2:18">
      <c r="B384" s="92"/>
      <c r="C384" s="92"/>
      <c r="D384" s="92"/>
      <c r="E384" s="92"/>
      <c r="F384" s="92"/>
      <c r="G384" s="92"/>
      <c r="H384" s="92"/>
      <c r="I384" s="93"/>
      <c r="J384" s="93"/>
      <c r="K384" s="93"/>
      <c r="L384" s="100"/>
      <c r="M384" s="100"/>
      <c r="N384" s="93"/>
      <c r="O384" s="93"/>
      <c r="P384" s="93"/>
      <c r="Q384" s="100"/>
      <c r="R384" s="100"/>
    </row>
    <row r="385" spans="2:18">
      <c r="B385" s="92"/>
      <c r="C385" s="92"/>
      <c r="D385" s="92"/>
      <c r="E385" s="92"/>
      <c r="F385" s="92"/>
      <c r="G385" s="92"/>
      <c r="H385" s="92"/>
      <c r="I385" s="93"/>
      <c r="J385" s="93"/>
      <c r="K385" s="93"/>
      <c r="L385" s="100"/>
      <c r="M385" s="100"/>
      <c r="N385" s="93"/>
      <c r="O385" s="93"/>
      <c r="P385" s="93"/>
      <c r="Q385" s="100"/>
      <c r="R385" s="100"/>
    </row>
    <row r="386" spans="2:18">
      <c r="B386" s="92"/>
      <c r="C386" s="92"/>
      <c r="D386" s="92"/>
      <c r="E386" s="92"/>
      <c r="F386" s="92"/>
      <c r="G386" s="92"/>
      <c r="H386" s="92"/>
      <c r="I386" s="93"/>
      <c r="J386" s="93"/>
      <c r="K386" s="93"/>
      <c r="L386" s="100"/>
      <c r="M386" s="100"/>
      <c r="N386" s="93"/>
      <c r="O386" s="93"/>
      <c r="P386" s="93"/>
      <c r="Q386" s="100"/>
      <c r="R386" s="100"/>
    </row>
    <row r="387" spans="2:18">
      <c r="B387" s="92"/>
      <c r="C387" s="92"/>
      <c r="D387" s="92"/>
      <c r="E387" s="92"/>
      <c r="F387" s="92"/>
      <c r="G387" s="92"/>
      <c r="H387" s="92"/>
      <c r="I387" s="93"/>
      <c r="J387" s="93"/>
      <c r="K387" s="93"/>
      <c r="L387" s="100"/>
      <c r="M387" s="100"/>
      <c r="N387" s="93"/>
      <c r="O387" s="93"/>
      <c r="P387" s="93"/>
      <c r="Q387" s="100"/>
      <c r="R387" s="100"/>
    </row>
    <row r="388" spans="2:18">
      <c r="B388" s="92"/>
      <c r="C388" s="92"/>
      <c r="D388" s="92"/>
      <c r="E388" s="92"/>
      <c r="F388" s="92"/>
      <c r="G388" s="92"/>
      <c r="H388" s="92"/>
      <c r="I388" s="93"/>
      <c r="J388" s="93"/>
      <c r="K388" s="93"/>
      <c r="L388" s="100"/>
      <c r="M388" s="100"/>
      <c r="N388" s="93"/>
      <c r="O388" s="93"/>
      <c r="P388" s="93"/>
      <c r="Q388" s="100"/>
      <c r="R388" s="100"/>
    </row>
    <row r="389" spans="2:18">
      <c r="B389" s="92"/>
      <c r="C389" s="92"/>
      <c r="D389" s="92"/>
      <c r="E389" s="92"/>
      <c r="F389" s="92"/>
      <c r="G389" s="92"/>
      <c r="H389" s="92"/>
      <c r="I389" s="93"/>
      <c r="J389" s="93"/>
      <c r="K389" s="93"/>
      <c r="L389" s="100"/>
      <c r="M389" s="100"/>
      <c r="N389" s="93"/>
      <c r="O389" s="93"/>
      <c r="P389" s="93"/>
      <c r="Q389" s="100"/>
      <c r="R389" s="100"/>
    </row>
    <row r="390" spans="2:18">
      <c r="B390" s="92"/>
      <c r="C390" s="92"/>
      <c r="D390" s="92"/>
      <c r="E390" s="92"/>
      <c r="F390" s="92"/>
      <c r="G390" s="92"/>
      <c r="H390" s="92"/>
      <c r="I390" s="93"/>
      <c r="J390" s="93"/>
      <c r="K390" s="93"/>
      <c r="L390" s="100"/>
      <c r="M390" s="100"/>
      <c r="N390" s="93"/>
      <c r="O390" s="93"/>
      <c r="P390" s="93"/>
      <c r="Q390" s="100"/>
      <c r="R390" s="100"/>
    </row>
    <row r="391" spans="2:18">
      <c r="B391" s="92"/>
      <c r="C391" s="92"/>
      <c r="D391" s="92"/>
      <c r="E391" s="92"/>
      <c r="F391" s="92"/>
      <c r="G391" s="92"/>
      <c r="H391" s="92"/>
      <c r="I391" s="93"/>
      <c r="J391" s="93"/>
      <c r="K391" s="93"/>
      <c r="L391" s="100"/>
      <c r="M391" s="100"/>
      <c r="N391" s="93"/>
      <c r="O391" s="93"/>
      <c r="P391" s="93"/>
      <c r="Q391" s="100"/>
      <c r="R391" s="100"/>
    </row>
    <row r="392" spans="2:18">
      <c r="B392" s="92"/>
      <c r="C392" s="92"/>
      <c r="D392" s="92"/>
      <c r="E392" s="92"/>
      <c r="F392" s="92"/>
      <c r="G392" s="92"/>
      <c r="H392" s="92"/>
      <c r="I392" s="93"/>
      <c r="J392" s="93"/>
      <c r="K392" s="93"/>
      <c r="L392" s="100"/>
      <c r="M392" s="100"/>
      <c r="N392" s="93"/>
      <c r="O392" s="93"/>
      <c r="P392" s="93"/>
      <c r="Q392" s="100"/>
      <c r="R392" s="100"/>
    </row>
    <row r="393" spans="2:18">
      <c r="B393" s="92"/>
      <c r="C393" s="92"/>
      <c r="D393" s="92"/>
      <c r="E393" s="92"/>
      <c r="F393" s="92"/>
      <c r="G393" s="92"/>
      <c r="H393" s="92"/>
      <c r="I393" s="93"/>
      <c r="J393" s="93"/>
      <c r="K393" s="93"/>
      <c r="L393" s="100"/>
      <c r="M393" s="100"/>
      <c r="N393" s="93"/>
      <c r="O393" s="93"/>
      <c r="P393" s="93"/>
      <c r="Q393" s="100"/>
      <c r="R393" s="100"/>
    </row>
    <row r="394" spans="2:18">
      <c r="B394" s="92"/>
      <c r="C394" s="92"/>
      <c r="D394" s="92"/>
      <c r="E394" s="92"/>
      <c r="F394" s="92"/>
      <c r="G394" s="92"/>
      <c r="H394" s="92"/>
      <c r="I394" s="93"/>
      <c r="J394" s="93"/>
      <c r="K394" s="93"/>
      <c r="L394" s="100"/>
      <c r="M394" s="100"/>
      <c r="N394" s="93"/>
      <c r="O394" s="93"/>
      <c r="P394" s="93"/>
      <c r="Q394" s="100"/>
      <c r="R394" s="100"/>
    </row>
    <row r="395" spans="2:18">
      <c r="B395" s="92"/>
      <c r="C395" s="92"/>
      <c r="D395" s="92"/>
      <c r="E395" s="92"/>
      <c r="F395" s="92"/>
      <c r="G395" s="92"/>
      <c r="H395" s="92"/>
      <c r="I395" s="93"/>
      <c r="J395" s="93"/>
      <c r="K395" s="93"/>
      <c r="L395" s="100"/>
      <c r="M395" s="100"/>
      <c r="N395" s="93"/>
      <c r="O395" s="93"/>
      <c r="P395" s="93"/>
      <c r="Q395" s="100"/>
      <c r="R395" s="100"/>
    </row>
    <row r="396" spans="2:18">
      <c r="B396" s="92"/>
      <c r="C396" s="92"/>
      <c r="D396" s="92"/>
      <c r="E396" s="92"/>
      <c r="F396" s="92"/>
      <c r="G396" s="92"/>
      <c r="H396" s="92"/>
      <c r="I396" s="93"/>
      <c r="J396" s="93"/>
      <c r="K396" s="93"/>
      <c r="L396" s="100"/>
      <c r="M396" s="100"/>
      <c r="N396" s="93"/>
      <c r="O396" s="93"/>
      <c r="P396" s="93"/>
      <c r="Q396" s="100"/>
      <c r="R396" s="100"/>
    </row>
    <row r="397" spans="2:18">
      <c r="B397" s="92"/>
      <c r="C397" s="92"/>
      <c r="D397" s="92"/>
      <c r="E397" s="92"/>
      <c r="F397" s="92"/>
      <c r="G397" s="92"/>
      <c r="H397" s="92"/>
      <c r="I397" s="93"/>
      <c r="J397" s="93"/>
      <c r="K397" s="93"/>
      <c r="L397" s="100"/>
      <c r="M397" s="100"/>
      <c r="N397" s="93"/>
      <c r="O397" s="93"/>
      <c r="P397" s="93"/>
      <c r="Q397" s="100"/>
      <c r="R397" s="100"/>
    </row>
    <row r="398" spans="2:18">
      <c r="B398" s="92"/>
      <c r="C398" s="92"/>
      <c r="D398" s="92"/>
      <c r="E398" s="92"/>
      <c r="F398" s="92"/>
      <c r="G398" s="92"/>
      <c r="H398" s="92"/>
      <c r="I398" s="93"/>
      <c r="J398" s="93"/>
      <c r="K398" s="93"/>
      <c r="L398" s="100"/>
      <c r="M398" s="100"/>
      <c r="N398" s="93"/>
      <c r="O398" s="93"/>
      <c r="P398" s="93"/>
      <c r="Q398" s="100"/>
      <c r="R398" s="100"/>
    </row>
    <row r="399" spans="2:18">
      <c r="B399" s="92"/>
      <c r="C399" s="92"/>
      <c r="D399" s="92"/>
      <c r="E399" s="92"/>
      <c r="F399" s="92"/>
      <c r="G399" s="92"/>
      <c r="H399" s="92"/>
      <c r="I399" s="93"/>
      <c r="J399" s="93"/>
      <c r="K399" s="93"/>
      <c r="L399" s="100"/>
      <c r="M399" s="100"/>
      <c r="N399" s="93"/>
      <c r="O399" s="93"/>
      <c r="P399" s="93"/>
      <c r="Q399" s="100"/>
      <c r="R399" s="100"/>
    </row>
    <row r="400" spans="2:18">
      <c r="B400" s="92"/>
      <c r="C400" s="92"/>
      <c r="D400" s="92"/>
      <c r="E400" s="92"/>
      <c r="F400" s="92"/>
      <c r="G400" s="92"/>
      <c r="H400" s="92"/>
      <c r="I400" s="93"/>
      <c r="J400" s="93"/>
      <c r="K400" s="93"/>
      <c r="L400" s="100"/>
      <c r="M400" s="100"/>
      <c r="N400" s="93"/>
      <c r="O400" s="93"/>
      <c r="P400" s="93"/>
      <c r="Q400" s="100"/>
      <c r="R400" s="100"/>
    </row>
    <row r="401" spans="2:18">
      <c r="B401" s="92"/>
      <c r="C401" s="92"/>
      <c r="D401" s="92"/>
      <c r="E401" s="92"/>
      <c r="F401" s="92"/>
      <c r="G401" s="92"/>
      <c r="H401" s="92"/>
      <c r="I401" s="93"/>
      <c r="J401" s="93"/>
      <c r="K401" s="93"/>
      <c r="L401" s="100"/>
      <c r="M401" s="100"/>
      <c r="N401" s="93"/>
      <c r="O401" s="93"/>
      <c r="P401" s="93"/>
      <c r="Q401" s="100"/>
      <c r="R401" s="100"/>
    </row>
    <row r="402" spans="2:18">
      <c r="B402" s="92"/>
      <c r="C402" s="92"/>
      <c r="D402" s="92"/>
      <c r="E402" s="92"/>
      <c r="F402" s="92"/>
      <c r="G402" s="92"/>
      <c r="H402" s="92"/>
      <c r="I402" s="93"/>
      <c r="J402" s="93"/>
      <c r="K402" s="93"/>
      <c r="L402" s="100"/>
      <c r="M402" s="100"/>
      <c r="N402" s="93"/>
      <c r="O402" s="93"/>
      <c r="P402" s="93"/>
      <c r="Q402" s="100"/>
      <c r="R402" s="100"/>
    </row>
    <row r="403" spans="2:18">
      <c r="B403" s="92"/>
      <c r="C403" s="92"/>
      <c r="D403" s="92"/>
      <c r="E403" s="92"/>
      <c r="F403" s="92"/>
      <c r="G403" s="92"/>
      <c r="H403" s="92"/>
      <c r="I403" s="93"/>
      <c r="J403" s="93"/>
      <c r="K403" s="93"/>
      <c r="L403" s="100"/>
      <c r="M403" s="100"/>
      <c r="N403" s="93"/>
      <c r="O403" s="93"/>
      <c r="P403" s="93"/>
      <c r="Q403" s="100"/>
      <c r="R403" s="100"/>
    </row>
    <row r="404" spans="2:18">
      <c r="B404" s="92"/>
      <c r="C404" s="92"/>
      <c r="D404" s="92"/>
      <c r="E404" s="92"/>
      <c r="F404" s="92"/>
      <c r="G404" s="92"/>
      <c r="H404" s="92"/>
      <c r="I404" s="93"/>
      <c r="J404" s="93"/>
      <c r="K404" s="93"/>
      <c r="L404" s="100"/>
      <c r="M404" s="100"/>
      <c r="N404" s="93"/>
      <c r="O404" s="93"/>
      <c r="P404" s="93"/>
      <c r="Q404" s="100"/>
      <c r="R404" s="100"/>
    </row>
    <row r="405" spans="2:18">
      <c r="B405" s="92"/>
      <c r="C405" s="92"/>
      <c r="D405" s="92"/>
      <c r="E405" s="92"/>
      <c r="F405" s="92"/>
      <c r="G405" s="92"/>
      <c r="H405" s="92"/>
      <c r="I405" s="93"/>
      <c r="J405" s="93"/>
      <c r="K405" s="93"/>
      <c r="L405" s="100"/>
      <c r="M405" s="100"/>
      <c r="N405" s="93"/>
      <c r="O405" s="93"/>
      <c r="P405" s="93"/>
      <c r="Q405" s="100"/>
      <c r="R405" s="100"/>
    </row>
    <row r="406" spans="2:18">
      <c r="B406" s="92"/>
      <c r="C406" s="92"/>
      <c r="D406" s="92"/>
      <c r="E406" s="92"/>
      <c r="F406" s="92"/>
      <c r="G406" s="92"/>
      <c r="H406" s="92"/>
      <c r="I406" s="93"/>
      <c r="J406" s="93"/>
      <c r="K406" s="93"/>
      <c r="L406" s="100"/>
      <c r="M406" s="100"/>
      <c r="N406" s="93"/>
      <c r="O406" s="93"/>
      <c r="P406" s="93"/>
      <c r="Q406" s="100"/>
      <c r="R406" s="100"/>
    </row>
    <row r="407" spans="2:18">
      <c r="B407" s="92"/>
      <c r="C407" s="92"/>
      <c r="D407" s="92"/>
      <c r="E407" s="92"/>
      <c r="F407" s="92"/>
      <c r="G407" s="92"/>
      <c r="H407" s="92"/>
      <c r="I407" s="93"/>
      <c r="J407" s="93"/>
      <c r="K407" s="93"/>
      <c r="L407" s="100"/>
      <c r="M407" s="100"/>
      <c r="N407" s="93"/>
      <c r="O407" s="93"/>
      <c r="P407" s="93"/>
      <c r="Q407" s="100"/>
      <c r="R407" s="100"/>
    </row>
    <row r="408" spans="2:18">
      <c r="B408" s="92"/>
      <c r="C408" s="92"/>
      <c r="D408" s="92"/>
      <c r="E408" s="92"/>
      <c r="F408" s="92"/>
      <c r="G408" s="92"/>
      <c r="H408" s="92"/>
      <c r="I408" s="93"/>
      <c r="J408" s="93"/>
      <c r="K408" s="93"/>
      <c r="L408" s="100"/>
      <c r="M408" s="100"/>
      <c r="N408" s="93"/>
      <c r="O408" s="93"/>
      <c r="P408" s="93"/>
      <c r="Q408" s="100"/>
      <c r="R408" s="100"/>
    </row>
    <row r="409" spans="2:18">
      <c r="B409" s="92"/>
      <c r="C409" s="92"/>
      <c r="D409" s="92"/>
      <c r="E409" s="92"/>
      <c r="F409" s="92"/>
      <c r="G409" s="92"/>
      <c r="H409" s="92"/>
      <c r="I409" s="93"/>
      <c r="J409" s="93"/>
      <c r="K409" s="93"/>
      <c r="L409" s="100"/>
      <c r="M409" s="100"/>
      <c r="N409" s="93"/>
      <c r="O409" s="93"/>
      <c r="P409" s="93"/>
      <c r="Q409" s="100"/>
      <c r="R409" s="100"/>
    </row>
    <row r="410" spans="2:18">
      <c r="B410" s="92"/>
      <c r="C410" s="92"/>
      <c r="D410" s="92"/>
      <c r="E410" s="92"/>
      <c r="F410" s="92"/>
      <c r="G410" s="92"/>
      <c r="H410" s="92"/>
      <c r="I410" s="93"/>
      <c r="J410" s="93"/>
      <c r="K410" s="93"/>
      <c r="L410" s="100"/>
      <c r="M410" s="100"/>
      <c r="N410" s="93"/>
      <c r="O410" s="93"/>
      <c r="P410" s="93"/>
      <c r="Q410" s="100"/>
      <c r="R410" s="100"/>
    </row>
    <row r="411" spans="2:18">
      <c r="B411" s="92"/>
      <c r="C411" s="92"/>
      <c r="D411" s="92"/>
      <c r="E411" s="92"/>
      <c r="F411" s="92"/>
      <c r="G411" s="92"/>
      <c r="H411" s="92"/>
      <c r="I411" s="93"/>
      <c r="J411" s="93"/>
      <c r="K411" s="93"/>
      <c r="L411" s="100"/>
      <c r="M411" s="100"/>
      <c r="N411" s="93"/>
      <c r="O411" s="93"/>
      <c r="P411" s="93"/>
      <c r="Q411" s="100"/>
      <c r="R411" s="100"/>
    </row>
    <row r="412" spans="2:18">
      <c r="B412" s="92"/>
      <c r="C412" s="92"/>
      <c r="D412" s="92"/>
      <c r="E412" s="92"/>
      <c r="F412" s="92"/>
      <c r="G412" s="92"/>
      <c r="H412" s="92"/>
      <c r="I412" s="93"/>
      <c r="J412" s="93"/>
      <c r="K412" s="93"/>
      <c r="L412" s="100"/>
      <c r="M412" s="100"/>
      <c r="N412" s="93"/>
      <c r="O412" s="93"/>
      <c r="P412" s="93"/>
      <c r="Q412" s="100"/>
      <c r="R412" s="100"/>
    </row>
    <row r="413" spans="2:18">
      <c r="B413" s="92"/>
      <c r="C413" s="92"/>
      <c r="D413" s="92"/>
      <c r="E413" s="92"/>
      <c r="F413" s="92"/>
      <c r="G413" s="92"/>
      <c r="H413" s="92"/>
      <c r="I413" s="93"/>
      <c r="J413" s="93"/>
      <c r="K413" s="93"/>
      <c r="L413" s="100"/>
      <c r="M413" s="100"/>
      <c r="N413" s="93"/>
      <c r="O413" s="93"/>
      <c r="P413" s="93"/>
      <c r="Q413" s="100"/>
      <c r="R413" s="100"/>
    </row>
    <row r="414" spans="2:18">
      <c r="B414" s="92"/>
      <c r="C414" s="92"/>
      <c r="D414" s="92"/>
      <c r="E414" s="92"/>
      <c r="F414" s="92"/>
      <c r="G414" s="92"/>
      <c r="H414" s="92"/>
      <c r="I414" s="93"/>
      <c r="J414" s="93"/>
      <c r="K414" s="93"/>
      <c r="L414" s="100"/>
      <c r="M414" s="100"/>
      <c r="N414" s="93"/>
      <c r="O414" s="93"/>
      <c r="P414" s="93"/>
      <c r="Q414" s="100"/>
      <c r="R414" s="100"/>
    </row>
    <row r="415" spans="2:18">
      <c r="B415" s="92"/>
      <c r="C415" s="92"/>
      <c r="D415" s="92"/>
      <c r="E415" s="92"/>
      <c r="F415" s="92"/>
      <c r="G415" s="92"/>
      <c r="H415" s="92"/>
      <c r="I415" s="93"/>
      <c r="J415" s="93"/>
      <c r="K415" s="93"/>
      <c r="L415" s="100"/>
      <c r="M415" s="100"/>
      <c r="N415" s="93"/>
      <c r="O415" s="93"/>
      <c r="P415" s="93"/>
      <c r="Q415" s="100"/>
      <c r="R415" s="100"/>
    </row>
    <row r="416" spans="2:18">
      <c r="B416" s="92"/>
      <c r="C416" s="92"/>
      <c r="D416" s="92"/>
      <c r="E416" s="92"/>
      <c r="F416" s="92"/>
      <c r="G416" s="92"/>
      <c r="H416" s="92"/>
      <c r="I416" s="93"/>
      <c r="J416" s="93"/>
      <c r="K416" s="93"/>
      <c r="L416" s="100"/>
      <c r="M416" s="100"/>
      <c r="N416" s="93"/>
      <c r="O416" s="93"/>
      <c r="P416" s="93"/>
      <c r="Q416" s="100"/>
      <c r="R416" s="100"/>
    </row>
    <row r="417" spans="2:18">
      <c r="B417" s="92"/>
      <c r="C417" s="92"/>
      <c r="D417" s="92"/>
      <c r="E417" s="92"/>
      <c r="F417" s="92"/>
      <c r="G417" s="92"/>
      <c r="H417" s="92"/>
      <c r="I417" s="93"/>
      <c r="J417" s="93"/>
      <c r="K417" s="93"/>
      <c r="L417" s="100"/>
      <c r="M417" s="100"/>
      <c r="N417" s="93"/>
      <c r="O417" s="93"/>
      <c r="P417" s="93"/>
      <c r="Q417" s="100"/>
      <c r="R417" s="100"/>
    </row>
    <row r="418" spans="2:18">
      <c r="B418" s="92"/>
      <c r="C418" s="92"/>
      <c r="D418" s="92"/>
      <c r="E418" s="92"/>
      <c r="F418" s="92"/>
      <c r="G418" s="92"/>
      <c r="H418" s="92"/>
      <c r="I418" s="93"/>
      <c r="J418" s="93"/>
      <c r="K418" s="93"/>
      <c r="L418" s="100"/>
      <c r="M418" s="100"/>
      <c r="N418" s="93"/>
      <c r="O418" s="93"/>
      <c r="P418" s="93"/>
      <c r="Q418" s="100"/>
      <c r="R418" s="100"/>
    </row>
    <row r="419" spans="2:18">
      <c r="B419" s="92"/>
      <c r="C419" s="92"/>
      <c r="D419" s="92"/>
      <c r="E419" s="92"/>
      <c r="F419" s="92"/>
      <c r="G419" s="92"/>
      <c r="H419" s="92"/>
      <c r="I419" s="93"/>
      <c r="J419" s="93"/>
      <c r="K419" s="93"/>
      <c r="L419" s="100"/>
      <c r="M419" s="100"/>
      <c r="N419" s="93"/>
      <c r="O419" s="93"/>
      <c r="P419" s="93"/>
      <c r="Q419" s="100"/>
      <c r="R419" s="100"/>
    </row>
    <row r="420" spans="2:18">
      <c r="B420" s="92"/>
      <c r="C420" s="92"/>
      <c r="D420" s="92"/>
      <c r="E420" s="92"/>
      <c r="F420" s="92"/>
      <c r="G420" s="92"/>
      <c r="H420" s="92"/>
      <c r="I420" s="93"/>
      <c r="J420" s="93"/>
      <c r="K420" s="93"/>
      <c r="L420" s="100"/>
      <c r="M420" s="100"/>
      <c r="N420" s="93"/>
      <c r="O420" s="93"/>
      <c r="P420" s="93"/>
      <c r="Q420" s="100"/>
      <c r="R420" s="100"/>
    </row>
    <row r="421" spans="2:18">
      <c r="B421" s="92"/>
      <c r="C421" s="92"/>
      <c r="D421" s="92"/>
      <c r="E421" s="92"/>
      <c r="F421" s="92"/>
      <c r="G421" s="92"/>
      <c r="H421" s="92"/>
      <c r="I421" s="93"/>
      <c r="J421" s="93"/>
      <c r="K421" s="93"/>
      <c r="L421" s="100"/>
      <c r="M421" s="100"/>
      <c r="N421" s="93"/>
      <c r="O421" s="93"/>
      <c r="P421" s="93"/>
      <c r="Q421" s="100"/>
      <c r="R421" s="100"/>
    </row>
    <row r="422" spans="2:18">
      <c r="B422" s="92"/>
      <c r="C422" s="92"/>
      <c r="D422" s="92"/>
      <c r="E422" s="92"/>
      <c r="F422" s="92"/>
      <c r="G422" s="92"/>
      <c r="H422" s="92"/>
      <c r="I422" s="93"/>
      <c r="J422" s="93"/>
      <c r="K422" s="93"/>
      <c r="L422" s="100"/>
      <c r="M422" s="100"/>
      <c r="N422" s="93"/>
      <c r="O422" s="93"/>
      <c r="P422" s="93"/>
      <c r="Q422" s="100"/>
      <c r="R422" s="100"/>
    </row>
    <row r="423" spans="2:18">
      <c r="B423" s="92"/>
      <c r="C423" s="92"/>
      <c r="D423" s="92"/>
      <c r="E423" s="92"/>
      <c r="F423" s="92"/>
      <c r="G423" s="92"/>
      <c r="H423" s="92"/>
      <c r="I423" s="93"/>
      <c r="J423" s="93"/>
      <c r="K423" s="93"/>
      <c r="L423" s="100"/>
      <c r="M423" s="100"/>
      <c r="N423" s="93"/>
      <c r="O423" s="93"/>
      <c r="P423" s="93"/>
      <c r="Q423" s="100"/>
      <c r="R423" s="100"/>
    </row>
    <row r="424" spans="2:18">
      <c r="B424" s="92"/>
      <c r="C424" s="92"/>
      <c r="D424" s="92"/>
      <c r="E424" s="92"/>
      <c r="F424" s="92"/>
      <c r="G424" s="92"/>
      <c r="H424" s="92"/>
      <c r="I424" s="93"/>
      <c r="J424" s="93"/>
      <c r="K424" s="93"/>
      <c r="L424" s="100"/>
      <c r="M424" s="100"/>
      <c r="N424" s="93"/>
      <c r="O424" s="93"/>
      <c r="P424" s="93"/>
      <c r="Q424" s="100"/>
      <c r="R424" s="100"/>
    </row>
    <row r="425" spans="2:18">
      <c r="B425" s="92"/>
      <c r="C425" s="92"/>
      <c r="D425" s="92"/>
      <c r="E425" s="92"/>
      <c r="F425" s="92"/>
      <c r="G425" s="92"/>
      <c r="H425" s="92"/>
      <c r="I425" s="93"/>
      <c r="J425" s="93"/>
      <c r="K425" s="93"/>
      <c r="L425" s="100"/>
      <c r="M425" s="100"/>
      <c r="N425" s="93"/>
      <c r="O425" s="93"/>
      <c r="P425" s="93"/>
      <c r="Q425" s="100"/>
      <c r="R425" s="100"/>
    </row>
    <row r="426" spans="2:18">
      <c r="B426" s="92"/>
      <c r="C426" s="92"/>
      <c r="D426" s="92"/>
      <c r="E426" s="92"/>
      <c r="F426" s="92"/>
      <c r="G426" s="92"/>
      <c r="H426" s="92"/>
      <c r="I426" s="93"/>
      <c r="J426" s="93"/>
      <c r="K426" s="93"/>
      <c r="L426" s="100"/>
      <c r="M426" s="100"/>
      <c r="N426" s="93"/>
      <c r="O426" s="93"/>
      <c r="P426" s="93"/>
      <c r="Q426" s="100"/>
      <c r="R426" s="100"/>
    </row>
    <row r="427" spans="2:18">
      <c r="B427" s="92"/>
      <c r="C427" s="92"/>
      <c r="D427" s="92"/>
      <c r="E427" s="92"/>
      <c r="F427" s="92"/>
      <c r="G427" s="92"/>
      <c r="H427" s="92"/>
      <c r="I427" s="93"/>
      <c r="J427" s="93"/>
      <c r="K427" s="93"/>
      <c r="L427" s="100"/>
      <c r="M427" s="100"/>
      <c r="N427" s="93"/>
      <c r="O427" s="93"/>
      <c r="P427" s="93"/>
      <c r="Q427" s="100"/>
      <c r="R427" s="100"/>
    </row>
    <row r="428" spans="2:18">
      <c r="B428" s="92"/>
      <c r="C428" s="92"/>
      <c r="D428" s="92"/>
      <c r="E428" s="92"/>
      <c r="F428" s="92"/>
      <c r="G428" s="92"/>
      <c r="H428" s="92"/>
      <c r="I428" s="93"/>
      <c r="J428" s="93"/>
      <c r="K428" s="93"/>
      <c r="L428" s="100"/>
      <c r="M428" s="100"/>
      <c r="N428" s="93"/>
      <c r="O428" s="93"/>
      <c r="P428" s="93"/>
      <c r="Q428" s="100"/>
      <c r="R428" s="100"/>
    </row>
    <row r="429" spans="2:18">
      <c r="B429" s="92"/>
      <c r="C429" s="92"/>
      <c r="D429" s="92"/>
      <c r="E429" s="92"/>
      <c r="F429" s="92"/>
      <c r="G429" s="92"/>
      <c r="H429" s="92"/>
      <c r="I429" s="93"/>
      <c r="J429" s="93"/>
      <c r="K429" s="93"/>
      <c r="L429" s="100"/>
      <c r="M429" s="100"/>
      <c r="N429" s="93"/>
      <c r="O429" s="93"/>
      <c r="P429" s="93"/>
      <c r="Q429" s="100"/>
      <c r="R429" s="100"/>
    </row>
    <row r="430" spans="2:18">
      <c r="B430" s="92"/>
      <c r="C430" s="92"/>
      <c r="D430" s="92"/>
      <c r="E430" s="92"/>
      <c r="F430" s="92"/>
      <c r="G430" s="92"/>
      <c r="H430" s="92"/>
      <c r="I430" s="93"/>
      <c r="J430" s="93"/>
      <c r="K430" s="93"/>
      <c r="L430" s="100"/>
      <c r="M430" s="100"/>
      <c r="N430" s="93"/>
      <c r="O430" s="93"/>
      <c r="P430" s="93"/>
      <c r="Q430" s="100"/>
      <c r="R430" s="100"/>
    </row>
    <row r="431" spans="2:18">
      <c r="B431" s="92"/>
      <c r="C431" s="92"/>
      <c r="D431" s="92"/>
      <c r="E431" s="92"/>
      <c r="F431" s="92"/>
      <c r="G431" s="92"/>
      <c r="H431" s="92"/>
      <c r="I431" s="93"/>
      <c r="J431" s="93"/>
      <c r="K431" s="93"/>
      <c r="L431" s="100"/>
      <c r="M431" s="100"/>
      <c r="N431" s="93"/>
      <c r="O431" s="93"/>
      <c r="P431" s="93"/>
      <c r="Q431" s="100"/>
      <c r="R431" s="100"/>
    </row>
    <row r="432" spans="2:18">
      <c r="B432" s="92"/>
      <c r="C432" s="92"/>
      <c r="D432" s="92"/>
      <c r="E432" s="92"/>
      <c r="F432" s="92"/>
      <c r="G432" s="92"/>
      <c r="H432" s="92"/>
      <c r="I432" s="93"/>
      <c r="J432" s="93"/>
      <c r="K432" s="93"/>
      <c r="L432" s="100"/>
      <c r="M432" s="100"/>
      <c r="N432" s="93"/>
      <c r="O432" s="93"/>
      <c r="P432" s="93"/>
      <c r="Q432" s="100"/>
      <c r="R432" s="100"/>
    </row>
    <row r="433" spans="2:18">
      <c r="B433" s="92"/>
      <c r="C433" s="92"/>
      <c r="D433" s="92"/>
      <c r="E433" s="92"/>
      <c r="F433" s="92"/>
      <c r="G433" s="92"/>
      <c r="H433" s="92"/>
      <c r="I433" s="93"/>
      <c r="J433" s="93"/>
      <c r="K433" s="93"/>
      <c r="L433" s="100"/>
      <c r="M433" s="100"/>
      <c r="N433" s="93"/>
      <c r="O433" s="93"/>
      <c r="P433" s="93"/>
      <c r="Q433" s="100"/>
      <c r="R433" s="100"/>
    </row>
    <row r="434" spans="2:18">
      <c r="B434" s="92"/>
      <c r="C434" s="92"/>
      <c r="D434" s="92"/>
      <c r="E434" s="92"/>
      <c r="F434" s="92"/>
      <c r="G434" s="92"/>
      <c r="H434" s="92"/>
      <c r="I434" s="93"/>
      <c r="J434" s="93"/>
      <c r="K434" s="93"/>
      <c r="L434" s="100"/>
      <c r="M434" s="100"/>
      <c r="N434" s="93"/>
      <c r="O434" s="93"/>
      <c r="P434" s="93"/>
      <c r="Q434" s="100"/>
      <c r="R434" s="100"/>
    </row>
    <row r="435" spans="2:18">
      <c r="B435" s="92"/>
      <c r="C435" s="92"/>
      <c r="D435" s="92"/>
      <c r="E435" s="92"/>
      <c r="F435" s="92"/>
      <c r="G435" s="92"/>
      <c r="H435" s="92"/>
      <c r="I435" s="93"/>
      <c r="J435" s="93"/>
      <c r="K435" s="93"/>
      <c r="L435" s="100"/>
      <c r="M435" s="100"/>
      <c r="N435" s="93"/>
      <c r="O435" s="93"/>
      <c r="P435" s="93"/>
      <c r="Q435" s="100"/>
      <c r="R435" s="100"/>
    </row>
    <row r="436" spans="2:18">
      <c r="B436" s="92"/>
      <c r="C436" s="92"/>
      <c r="D436" s="92"/>
      <c r="E436" s="92"/>
      <c r="F436" s="92"/>
      <c r="G436" s="92"/>
      <c r="H436" s="92"/>
      <c r="I436" s="93"/>
      <c r="J436" s="93"/>
      <c r="K436" s="93"/>
      <c r="L436" s="100"/>
      <c r="M436" s="100"/>
      <c r="N436" s="93"/>
      <c r="O436" s="93"/>
      <c r="P436" s="93"/>
      <c r="Q436" s="100"/>
      <c r="R436" s="100"/>
    </row>
    <row r="437" spans="2:18">
      <c r="B437" s="92"/>
      <c r="C437" s="92"/>
      <c r="D437" s="92"/>
      <c r="E437" s="92"/>
      <c r="F437" s="92"/>
      <c r="G437" s="92"/>
      <c r="H437" s="92"/>
      <c r="I437" s="93"/>
      <c r="J437" s="93"/>
      <c r="K437" s="93"/>
      <c r="L437" s="100"/>
      <c r="M437" s="100"/>
      <c r="N437" s="93"/>
      <c r="O437" s="93"/>
      <c r="P437" s="93"/>
      <c r="Q437" s="100"/>
      <c r="R437" s="100"/>
    </row>
    <row r="438" spans="2:18">
      <c r="B438" s="92"/>
      <c r="C438" s="92"/>
      <c r="D438" s="92"/>
      <c r="E438" s="92"/>
      <c r="F438" s="92"/>
      <c r="G438" s="92"/>
      <c r="H438" s="92"/>
      <c r="I438" s="93"/>
      <c r="J438" s="93"/>
      <c r="K438" s="93"/>
      <c r="L438" s="100"/>
      <c r="M438" s="100"/>
      <c r="N438" s="93"/>
      <c r="O438" s="93"/>
      <c r="P438" s="93"/>
      <c r="Q438" s="100"/>
      <c r="R438" s="100"/>
    </row>
    <row r="439" spans="2:18">
      <c r="B439" s="92"/>
      <c r="C439" s="92"/>
      <c r="D439" s="92"/>
      <c r="E439" s="92"/>
      <c r="F439" s="92"/>
      <c r="G439" s="92"/>
      <c r="H439" s="92"/>
      <c r="I439" s="93"/>
      <c r="J439" s="93"/>
      <c r="K439" s="93"/>
      <c r="L439" s="100"/>
      <c r="M439" s="100"/>
      <c r="N439" s="93"/>
      <c r="O439" s="93"/>
      <c r="P439" s="93"/>
      <c r="Q439" s="100"/>
      <c r="R439" s="100"/>
    </row>
    <row r="440" spans="2:18">
      <c r="B440" s="92"/>
      <c r="C440" s="92"/>
      <c r="D440" s="92"/>
      <c r="E440" s="92"/>
      <c r="F440" s="92"/>
      <c r="G440" s="92"/>
      <c r="H440" s="92"/>
      <c r="I440" s="93"/>
      <c r="J440" s="93"/>
      <c r="K440" s="93"/>
      <c r="L440" s="100"/>
      <c r="M440" s="100"/>
      <c r="N440" s="93"/>
      <c r="O440" s="93"/>
      <c r="P440" s="93"/>
      <c r="Q440" s="100"/>
      <c r="R440" s="100"/>
    </row>
    <row r="441" spans="2:18">
      <c r="B441" s="92"/>
      <c r="C441" s="92"/>
      <c r="D441" s="92"/>
      <c r="E441" s="92"/>
      <c r="F441" s="92"/>
      <c r="G441" s="92"/>
      <c r="H441" s="92"/>
      <c r="I441" s="93"/>
      <c r="J441" s="93"/>
      <c r="K441" s="93"/>
      <c r="L441" s="100"/>
      <c r="M441" s="100"/>
      <c r="N441" s="93"/>
      <c r="O441" s="93"/>
      <c r="P441" s="93"/>
      <c r="Q441" s="100"/>
      <c r="R441" s="100"/>
    </row>
    <row r="442" spans="2:18">
      <c r="B442" s="92"/>
      <c r="C442" s="92"/>
      <c r="D442" s="92"/>
      <c r="E442" s="92"/>
      <c r="F442" s="92"/>
      <c r="G442" s="92"/>
      <c r="H442" s="92"/>
      <c r="I442" s="93"/>
      <c r="J442" s="93"/>
      <c r="K442" s="93"/>
      <c r="L442" s="100"/>
      <c r="M442" s="100"/>
      <c r="N442" s="93"/>
      <c r="O442" s="93"/>
      <c r="P442" s="93"/>
      <c r="Q442" s="100"/>
      <c r="R442" s="100"/>
    </row>
    <row r="443" spans="2:18">
      <c r="B443" s="92"/>
      <c r="C443" s="92"/>
      <c r="D443" s="92"/>
      <c r="E443" s="92"/>
      <c r="F443" s="92"/>
      <c r="G443" s="92"/>
      <c r="H443" s="92"/>
      <c r="I443" s="93"/>
      <c r="J443" s="93"/>
      <c r="K443" s="93"/>
      <c r="L443" s="100"/>
      <c r="M443" s="100"/>
      <c r="N443" s="93"/>
      <c r="O443" s="93"/>
      <c r="P443" s="93"/>
      <c r="Q443" s="100"/>
      <c r="R443" s="100"/>
    </row>
    <row r="444" spans="2:18">
      <c r="B444" s="92"/>
      <c r="C444" s="92"/>
      <c r="D444" s="92"/>
      <c r="E444" s="92"/>
      <c r="F444" s="92"/>
      <c r="G444" s="92"/>
      <c r="H444" s="92"/>
      <c r="I444" s="93"/>
      <c r="J444" s="93"/>
      <c r="K444" s="93"/>
      <c r="L444" s="100"/>
      <c r="M444" s="100"/>
      <c r="N444" s="93"/>
      <c r="O444" s="93"/>
      <c r="P444" s="93"/>
      <c r="Q444" s="100"/>
      <c r="R444" s="100"/>
    </row>
    <row r="445" spans="2:18">
      <c r="B445" s="92"/>
      <c r="C445" s="92"/>
      <c r="D445" s="92"/>
      <c r="E445" s="92"/>
      <c r="F445" s="92"/>
      <c r="G445" s="92"/>
      <c r="H445" s="92"/>
      <c r="I445" s="93"/>
      <c r="J445" s="93"/>
      <c r="K445" s="93"/>
      <c r="L445" s="100"/>
      <c r="M445" s="100"/>
      <c r="N445" s="93"/>
      <c r="O445" s="93"/>
      <c r="P445" s="93"/>
      <c r="Q445" s="100"/>
      <c r="R445" s="100"/>
    </row>
    <row r="446" spans="2:18">
      <c r="B446" s="92"/>
      <c r="C446" s="92"/>
      <c r="D446" s="92"/>
      <c r="E446" s="92"/>
      <c r="F446" s="92"/>
      <c r="G446" s="92"/>
      <c r="H446" s="92"/>
      <c r="I446" s="93"/>
      <c r="J446" s="93"/>
      <c r="K446" s="93"/>
      <c r="L446" s="100"/>
      <c r="M446" s="100"/>
      <c r="N446" s="93"/>
      <c r="O446" s="93"/>
      <c r="P446" s="93"/>
      <c r="Q446" s="100"/>
      <c r="R446" s="100"/>
    </row>
    <row r="447" spans="2:18">
      <c r="B447" s="92"/>
      <c r="C447" s="92"/>
      <c r="D447" s="92"/>
      <c r="E447" s="92"/>
      <c r="F447" s="92"/>
      <c r="G447" s="92"/>
      <c r="H447" s="92"/>
      <c r="I447" s="93"/>
      <c r="J447" s="93"/>
      <c r="K447" s="93"/>
      <c r="L447" s="100"/>
      <c r="M447" s="100"/>
      <c r="N447" s="93"/>
      <c r="O447" s="93"/>
      <c r="P447" s="93"/>
      <c r="Q447" s="100"/>
      <c r="R447" s="100"/>
    </row>
    <row r="448" spans="2:18">
      <c r="B448" s="92"/>
      <c r="C448" s="92"/>
      <c r="D448" s="92"/>
      <c r="E448" s="92"/>
      <c r="F448" s="92"/>
      <c r="G448" s="92"/>
      <c r="H448" s="92"/>
      <c r="I448" s="93"/>
      <c r="J448" s="93"/>
      <c r="K448" s="93"/>
      <c r="L448" s="100"/>
      <c r="M448" s="100"/>
      <c r="N448" s="93"/>
      <c r="O448" s="93"/>
      <c r="P448" s="93"/>
      <c r="Q448" s="100"/>
      <c r="R448" s="100"/>
    </row>
    <row r="449" spans="2:18">
      <c r="B449" s="92"/>
      <c r="C449" s="92"/>
      <c r="D449" s="92"/>
      <c r="E449" s="92"/>
      <c r="F449" s="92"/>
      <c r="G449" s="92"/>
      <c r="H449" s="92"/>
      <c r="I449" s="93"/>
      <c r="J449" s="93"/>
      <c r="K449" s="93"/>
      <c r="L449" s="100"/>
      <c r="M449" s="100"/>
      <c r="N449" s="93"/>
      <c r="O449" s="93"/>
      <c r="P449" s="93"/>
      <c r="Q449" s="100"/>
      <c r="R449" s="100"/>
    </row>
    <row r="450" spans="2:18">
      <c r="B450" s="92"/>
      <c r="C450" s="92"/>
      <c r="D450" s="92"/>
      <c r="E450" s="92"/>
      <c r="F450" s="92"/>
      <c r="G450" s="92"/>
      <c r="H450" s="92"/>
      <c r="I450" s="93"/>
      <c r="J450" s="93"/>
      <c r="K450" s="93"/>
      <c r="L450" s="100"/>
      <c r="M450" s="100"/>
      <c r="N450" s="93"/>
      <c r="O450" s="93"/>
      <c r="P450" s="93"/>
      <c r="Q450" s="100"/>
      <c r="R450" s="100"/>
    </row>
    <row r="451" spans="2:18">
      <c r="B451" s="92"/>
      <c r="C451" s="92"/>
      <c r="D451" s="92"/>
      <c r="E451" s="92"/>
      <c r="F451" s="92"/>
      <c r="G451" s="92"/>
      <c r="H451" s="92"/>
      <c r="I451" s="93"/>
      <c r="J451" s="93"/>
      <c r="K451" s="93"/>
      <c r="L451" s="100"/>
      <c r="M451" s="100"/>
      <c r="N451" s="93"/>
      <c r="O451" s="93"/>
      <c r="P451" s="93"/>
      <c r="Q451" s="100"/>
      <c r="R451" s="100"/>
    </row>
    <row r="452" spans="2:18">
      <c r="B452" s="92"/>
      <c r="C452" s="92"/>
      <c r="D452" s="92"/>
      <c r="E452" s="92"/>
      <c r="F452" s="92"/>
      <c r="G452" s="92"/>
      <c r="H452" s="92"/>
      <c r="I452" s="93"/>
      <c r="J452" s="93"/>
      <c r="K452" s="93"/>
      <c r="L452" s="100"/>
      <c r="M452" s="100"/>
      <c r="N452" s="93"/>
      <c r="O452" s="93"/>
      <c r="P452" s="93"/>
      <c r="Q452" s="100"/>
      <c r="R452" s="100"/>
    </row>
    <row r="453" spans="2:18">
      <c r="B453" s="92"/>
      <c r="C453" s="92"/>
      <c r="D453" s="92"/>
      <c r="E453" s="92"/>
      <c r="F453" s="92"/>
      <c r="G453" s="92"/>
      <c r="H453" s="92"/>
      <c r="I453" s="93"/>
      <c r="J453" s="93"/>
      <c r="K453" s="93"/>
      <c r="L453" s="100"/>
      <c r="M453" s="100"/>
      <c r="N453" s="93"/>
      <c r="O453" s="93"/>
      <c r="P453" s="93"/>
      <c r="Q453" s="100"/>
      <c r="R453" s="100"/>
    </row>
    <row r="454" spans="2:18">
      <c r="B454" s="92"/>
      <c r="C454" s="92"/>
      <c r="D454" s="92"/>
      <c r="E454" s="92"/>
      <c r="F454" s="92"/>
      <c r="G454" s="92"/>
      <c r="H454" s="92"/>
      <c r="I454" s="93"/>
      <c r="J454" s="93"/>
      <c r="K454" s="93"/>
      <c r="L454" s="100"/>
      <c r="M454" s="100"/>
      <c r="N454" s="93"/>
      <c r="O454" s="93"/>
      <c r="P454" s="93"/>
      <c r="Q454" s="100"/>
      <c r="R454" s="100"/>
    </row>
    <row r="455" spans="2:18">
      <c r="B455" s="92"/>
      <c r="C455" s="92"/>
      <c r="D455" s="92"/>
      <c r="E455" s="92"/>
      <c r="F455" s="92"/>
      <c r="G455" s="92"/>
      <c r="H455" s="92"/>
      <c r="I455" s="93"/>
      <c r="J455" s="93"/>
      <c r="K455" s="93"/>
      <c r="L455" s="100"/>
      <c r="M455" s="100"/>
      <c r="N455" s="93"/>
      <c r="O455" s="93"/>
      <c r="P455" s="93"/>
      <c r="Q455" s="100"/>
      <c r="R455" s="100"/>
    </row>
    <row r="456" spans="2:18">
      <c r="B456" s="92"/>
      <c r="C456" s="92"/>
      <c r="D456" s="92"/>
      <c r="E456" s="92"/>
      <c r="F456" s="92"/>
      <c r="G456" s="92"/>
      <c r="H456" s="92"/>
      <c r="I456" s="93"/>
      <c r="J456" s="93"/>
      <c r="K456" s="93"/>
      <c r="L456" s="100"/>
      <c r="M456" s="100"/>
      <c r="N456" s="93"/>
      <c r="O456" s="93"/>
      <c r="P456" s="93"/>
      <c r="Q456" s="100"/>
      <c r="R456" s="100"/>
    </row>
    <row r="457" spans="2:18">
      <c r="B457" s="92"/>
      <c r="C457" s="92"/>
      <c r="D457" s="92"/>
      <c r="E457" s="92"/>
      <c r="F457" s="92"/>
      <c r="G457" s="92"/>
      <c r="H457" s="92"/>
      <c r="I457" s="93"/>
      <c r="J457" s="93"/>
      <c r="K457" s="93"/>
      <c r="L457" s="100"/>
      <c r="M457" s="100"/>
      <c r="N457" s="93"/>
      <c r="O457" s="93"/>
      <c r="P457" s="93"/>
      <c r="Q457" s="100"/>
      <c r="R457" s="100"/>
    </row>
    <row r="458" spans="2:18">
      <c r="B458" s="92"/>
      <c r="C458" s="92"/>
      <c r="D458" s="92"/>
      <c r="E458" s="92"/>
      <c r="F458" s="92"/>
      <c r="G458" s="92"/>
      <c r="H458" s="92"/>
      <c r="I458" s="93"/>
      <c r="J458" s="93"/>
      <c r="K458" s="93"/>
      <c r="L458" s="100"/>
      <c r="M458" s="100"/>
      <c r="N458" s="93"/>
      <c r="O458" s="93"/>
      <c r="P458" s="93"/>
      <c r="Q458" s="100"/>
      <c r="R458" s="100"/>
    </row>
    <row r="459" spans="2:18">
      <c r="B459" s="92"/>
      <c r="C459" s="92"/>
      <c r="D459" s="92"/>
      <c r="E459" s="92"/>
      <c r="F459" s="92"/>
      <c r="G459" s="92"/>
      <c r="H459" s="92"/>
      <c r="I459" s="93"/>
      <c r="J459" s="93"/>
      <c r="K459" s="93"/>
      <c r="L459" s="100"/>
      <c r="M459" s="100"/>
      <c r="N459" s="93"/>
      <c r="O459" s="93"/>
      <c r="P459" s="93"/>
      <c r="Q459" s="100"/>
      <c r="R459" s="100"/>
    </row>
    <row r="460" spans="2:18">
      <c r="B460" s="92"/>
      <c r="C460" s="92"/>
      <c r="D460" s="92"/>
      <c r="E460" s="92"/>
      <c r="F460" s="92"/>
      <c r="G460" s="92"/>
      <c r="H460" s="92"/>
      <c r="I460" s="93"/>
      <c r="J460" s="93"/>
      <c r="K460" s="93"/>
      <c r="L460" s="100"/>
      <c r="M460" s="100"/>
      <c r="N460" s="93"/>
      <c r="O460" s="93"/>
      <c r="P460" s="93"/>
      <c r="Q460" s="100"/>
      <c r="R460" s="100"/>
    </row>
    <row r="461" spans="2:18">
      <c r="B461" s="92"/>
      <c r="C461" s="92"/>
      <c r="D461" s="92"/>
      <c r="E461" s="92"/>
      <c r="F461" s="92"/>
      <c r="G461" s="92"/>
      <c r="H461" s="92"/>
      <c r="I461" s="93"/>
      <c r="J461" s="93"/>
      <c r="K461" s="93"/>
      <c r="L461" s="100"/>
      <c r="M461" s="100"/>
      <c r="N461" s="93"/>
      <c r="O461" s="93"/>
      <c r="P461" s="93"/>
      <c r="Q461" s="100"/>
      <c r="R461" s="100"/>
    </row>
    <row r="462" spans="2:18">
      <c r="B462" s="92"/>
      <c r="C462" s="92"/>
      <c r="D462" s="92"/>
      <c r="E462" s="92"/>
      <c r="F462" s="92"/>
      <c r="G462" s="92"/>
      <c r="H462" s="92"/>
      <c r="I462" s="93"/>
      <c r="J462" s="93"/>
      <c r="K462" s="93"/>
      <c r="L462" s="100"/>
      <c r="M462" s="100"/>
      <c r="N462" s="93"/>
      <c r="O462" s="93"/>
      <c r="P462" s="93"/>
      <c r="Q462" s="100"/>
      <c r="R462" s="100"/>
    </row>
    <row r="463" spans="2:18">
      <c r="B463" s="92"/>
      <c r="C463" s="92"/>
      <c r="D463" s="92"/>
      <c r="E463" s="92"/>
      <c r="F463" s="92"/>
      <c r="G463" s="92"/>
      <c r="H463" s="92"/>
      <c r="I463" s="93"/>
      <c r="J463" s="93"/>
      <c r="K463" s="93"/>
      <c r="L463" s="100"/>
      <c r="M463" s="100"/>
      <c r="N463" s="93"/>
      <c r="O463" s="93"/>
      <c r="P463" s="93"/>
      <c r="Q463" s="100"/>
      <c r="R463" s="100"/>
    </row>
    <row r="464" spans="2:18">
      <c r="B464" s="92"/>
      <c r="C464" s="92"/>
      <c r="D464" s="92"/>
      <c r="E464" s="92"/>
      <c r="F464" s="92"/>
      <c r="G464" s="92"/>
      <c r="H464" s="92"/>
      <c r="I464" s="93"/>
      <c r="J464" s="93"/>
      <c r="K464" s="93"/>
      <c r="L464" s="100"/>
      <c r="M464" s="100"/>
      <c r="N464" s="93"/>
      <c r="O464" s="93"/>
      <c r="P464" s="93"/>
      <c r="Q464" s="100"/>
      <c r="R464" s="100"/>
    </row>
    <row r="465" spans="2:18">
      <c r="B465" s="92"/>
      <c r="C465" s="92"/>
      <c r="D465" s="92"/>
      <c r="E465" s="92"/>
      <c r="F465" s="92"/>
      <c r="G465" s="92"/>
      <c r="H465" s="92"/>
      <c r="I465" s="93"/>
      <c r="J465" s="93"/>
      <c r="K465" s="93"/>
      <c r="L465" s="100"/>
      <c r="M465" s="100"/>
      <c r="N465" s="93"/>
      <c r="O465" s="93"/>
      <c r="P465" s="93"/>
      <c r="Q465" s="100"/>
      <c r="R465" s="100"/>
    </row>
    <row r="466" spans="2:18">
      <c r="B466" s="92"/>
      <c r="C466" s="92"/>
      <c r="D466" s="92"/>
      <c r="E466" s="92"/>
      <c r="F466" s="92"/>
      <c r="G466" s="92"/>
      <c r="H466" s="92"/>
      <c r="I466" s="93"/>
      <c r="J466" s="93"/>
      <c r="K466" s="93"/>
      <c r="L466" s="100"/>
      <c r="M466" s="100"/>
      <c r="N466" s="93"/>
      <c r="O466" s="93"/>
      <c r="P466" s="93"/>
      <c r="Q466" s="100"/>
      <c r="R466" s="100"/>
    </row>
    <row r="467" spans="2:18">
      <c r="B467" s="92"/>
      <c r="C467" s="92"/>
      <c r="D467" s="92"/>
      <c r="E467" s="92"/>
      <c r="F467" s="92"/>
      <c r="G467" s="92"/>
      <c r="H467" s="92"/>
      <c r="I467" s="93"/>
      <c r="J467" s="93"/>
      <c r="K467" s="93"/>
      <c r="L467" s="100"/>
      <c r="M467" s="100"/>
      <c r="N467" s="93"/>
      <c r="O467" s="93"/>
      <c r="P467" s="93"/>
      <c r="Q467" s="100"/>
      <c r="R467" s="100"/>
    </row>
    <row r="468" spans="2:18">
      <c r="B468" s="92"/>
      <c r="C468" s="92"/>
      <c r="D468" s="92"/>
      <c r="E468" s="92"/>
      <c r="F468" s="92"/>
      <c r="G468" s="92"/>
      <c r="H468" s="92"/>
      <c r="I468" s="93"/>
      <c r="J468" s="93"/>
      <c r="K468" s="93"/>
      <c r="L468" s="100"/>
      <c r="M468" s="100"/>
      <c r="N468" s="93"/>
      <c r="O468" s="93"/>
      <c r="P468" s="93"/>
      <c r="Q468" s="100"/>
      <c r="R468" s="100"/>
    </row>
    <row r="469" spans="2:18">
      <c r="B469" s="92"/>
      <c r="C469" s="92"/>
      <c r="D469" s="92"/>
      <c r="E469" s="92"/>
      <c r="F469" s="92"/>
      <c r="G469" s="92"/>
      <c r="H469" s="92"/>
      <c r="I469" s="93"/>
      <c r="J469" s="93"/>
      <c r="K469" s="93"/>
      <c r="L469" s="100"/>
      <c r="M469" s="100"/>
      <c r="N469" s="93"/>
      <c r="O469" s="93"/>
      <c r="P469" s="93"/>
      <c r="Q469" s="100"/>
      <c r="R469" s="100"/>
    </row>
    <row r="470" spans="2:18">
      <c r="B470" s="92"/>
      <c r="C470" s="92"/>
      <c r="D470" s="92"/>
      <c r="E470" s="92"/>
      <c r="F470" s="92"/>
      <c r="G470" s="92"/>
      <c r="H470" s="92"/>
      <c r="I470" s="93"/>
      <c r="J470" s="93"/>
      <c r="K470" s="93"/>
      <c r="L470" s="100"/>
      <c r="M470" s="100"/>
      <c r="N470" s="93"/>
      <c r="O470" s="93"/>
      <c r="P470" s="93"/>
      <c r="Q470" s="100"/>
      <c r="R470" s="100"/>
    </row>
    <row r="471" spans="2:18">
      <c r="B471" s="92"/>
      <c r="C471" s="92"/>
      <c r="D471" s="92"/>
      <c r="E471" s="92"/>
      <c r="F471" s="92"/>
      <c r="G471" s="92"/>
      <c r="H471" s="92"/>
      <c r="I471" s="93"/>
      <c r="J471" s="93"/>
      <c r="K471" s="93"/>
      <c r="L471" s="100"/>
      <c r="M471" s="100"/>
      <c r="N471" s="93"/>
      <c r="O471" s="93"/>
      <c r="P471" s="93"/>
      <c r="Q471" s="100"/>
      <c r="R471" s="100"/>
    </row>
    <row r="472" spans="2:18">
      <c r="B472" s="92"/>
      <c r="C472" s="92"/>
      <c r="D472" s="92"/>
      <c r="E472" s="92"/>
      <c r="F472" s="92"/>
      <c r="G472" s="92"/>
      <c r="H472" s="92"/>
      <c r="I472" s="93"/>
      <c r="J472" s="93"/>
      <c r="K472" s="93"/>
      <c r="L472" s="100"/>
      <c r="M472" s="100"/>
      <c r="N472" s="93"/>
      <c r="O472" s="93"/>
      <c r="P472" s="93"/>
      <c r="Q472" s="100"/>
      <c r="R472" s="100"/>
    </row>
    <row r="473" spans="2:18">
      <c r="B473" s="92"/>
      <c r="C473" s="92"/>
      <c r="D473" s="92"/>
      <c r="E473" s="92"/>
      <c r="F473" s="92"/>
      <c r="G473" s="92"/>
      <c r="H473" s="92"/>
      <c r="I473" s="93"/>
      <c r="J473" s="93"/>
      <c r="K473" s="93"/>
      <c r="L473" s="100"/>
      <c r="M473" s="100"/>
      <c r="N473" s="93"/>
      <c r="O473" s="93"/>
      <c r="P473" s="93"/>
      <c r="Q473" s="100"/>
      <c r="R473" s="100"/>
    </row>
    <row r="474" spans="2:18">
      <c r="B474" s="92"/>
      <c r="C474" s="92"/>
      <c r="D474" s="92"/>
      <c r="E474" s="92"/>
      <c r="F474" s="92"/>
      <c r="G474" s="92"/>
      <c r="H474" s="92"/>
      <c r="I474" s="93"/>
      <c r="J474" s="93"/>
      <c r="K474" s="93"/>
      <c r="L474" s="100"/>
      <c r="M474" s="100"/>
      <c r="N474" s="93"/>
      <c r="O474" s="93"/>
      <c r="P474" s="93"/>
      <c r="Q474" s="100"/>
      <c r="R474" s="100"/>
    </row>
    <row r="475" spans="2:18">
      <c r="B475" s="92"/>
      <c r="C475" s="92"/>
      <c r="D475" s="92"/>
      <c r="E475" s="92"/>
      <c r="F475" s="92"/>
      <c r="G475" s="92"/>
      <c r="H475" s="92"/>
      <c r="I475" s="93"/>
      <c r="J475" s="93"/>
      <c r="K475" s="93"/>
      <c r="L475" s="100"/>
      <c r="M475" s="100"/>
      <c r="N475" s="93"/>
      <c r="O475" s="93"/>
      <c r="P475" s="93"/>
      <c r="Q475" s="100"/>
      <c r="R475" s="100"/>
    </row>
    <row r="476" spans="2:18">
      <c r="B476" s="92"/>
      <c r="C476" s="92"/>
      <c r="D476" s="92"/>
      <c r="E476" s="92"/>
      <c r="F476" s="92"/>
      <c r="G476" s="92"/>
      <c r="H476" s="92"/>
      <c r="I476" s="93"/>
      <c r="J476" s="93"/>
      <c r="K476" s="93"/>
      <c r="L476" s="100"/>
      <c r="M476" s="100"/>
      <c r="N476" s="93"/>
      <c r="O476" s="93"/>
      <c r="P476" s="93"/>
      <c r="Q476" s="100"/>
      <c r="R476" s="100"/>
    </row>
    <row r="477" spans="2:18">
      <c r="B477" s="92"/>
      <c r="C477" s="92"/>
      <c r="D477" s="92"/>
      <c r="E477" s="92"/>
      <c r="F477" s="92"/>
      <c r="G477" s="92"/>
      <c r="H477" s="92"/>
      <c r="I477" s="93"/>
      <c r="J477" s="93"/>
      <c r="K477" s="93"/>
      <c r="L477" s="100"/>
      <c r="M477" s="100"/>
      <c r="N477" s="93"/>
      <c r="O477" s="93"/>
      <c r="P477" s="93"/>
      <c r="Q477" s="100"/>
      <c r="R477" s="100"/>
    </row>
    <row r="478" spans="2:18">
      <c r="B478" s="92"/>
      <c r="C478" s="92"/>
      <c r="D478" s="92"/>
      <c r="E478" s="92"/>
      <c r="F478" s="92"/>
      <c r="G478" s="92"/>
      <c r="H478" s="92"/>
      <c r="I478" s="93"/>
      <c r="J478" s="93"/>
      <c r="K478" s="93"/>
      <c r="L478" s="100"/>
      <c r="M478" s="100"/>
      <c r="N478" s="93"/>
      <c r="O478" s="93"/>
      <c r="P478" s="93"/>
      <c r="Q478" s="100"/>
      <c r="R478" s="100"/>
    </row>
    <row r="479" spans="2:18">
      <c r="B479" s="92"/>
      <c r="C479" s="92"/>
      <c r="D479" s="92"/>
      <c r="E479" s="92"/>
      <c r="F479" s="92"/>
      <c r="G479" s="92"/>
      <c r="H479" s="92"/>
      <c r="I479" s="93"/>
      <c r="J479" s="93"/>
      <c r="K479" s="93"/>
      <c r="L479" s="100"/>
      <c r="M479" s="100"/>
      <c r="N479" s="93"/>
      <c r="O479" s="93"/>
      <c r="P479" s="93"/>
      <c r="Q479" s="100"/>
      <c r="R479" s="100"/>
    </row>
    <row r="480" spans="2:18">
      <c r="B480" s="92"/>
      <c r="C480" s="92"/>
      <c r="D480" s="92"/>
      <c r="E480" s="92"/>
      <c r="F480" s="92"/>
      <c r="G480" s="92"/>
      <c r="H480" s="92"/>
      <c r="I480" s="93"/>
      <c r="J480" s="93"/>
      <c r="K480" s="93"/>
      <c r="L480" s="100"/>
      <c r="M480" s="100"/>
      <c r="N480" s="93"/>
      <c r="O480" s="93"/>
      <c r="P480" s="93"/>
      <c r="Q480" s="100"/>
      <c r="R480" s="100"/>
    </row>
    <row r="481" spans="2:18">
      <c r="B481" s="92"/>
      <c r="C481" s="92"/>
      <c r="D481" s="92"/>
      <c r="E481" s="92"/>
      <c r="F481" s="92"/>
      <c r="G481" s="92"/>
      <c r="H481" s="92"/>
      <c r="I481" s="93"/>
      <c r="J481" s="93"/>
      <c r="K481" s="93"/>
      <c r="L481" s="100"/>
      <c r="M481" s="100"/>
      <c r="N481" s="93"/>
      <c r="O481" s="93"/>
      <c r="P481" s="93"/>
      <c r="Q481" s="100"/>
      <c r="R481" s="100"/>
    </row>
    <row r="482" spans="2:18">
      <c r="B482" s="92"/>
      <c r="C482" s="92"/>
      <c r="D482" s="92"/>
      <c r="E482" s="92"/>
      <c r="F482" s="92"/>
      <c r="G482" s="92"/>
      <c r="H482" s="92"/>
      <c r="I482" s="93"/>
      <c r="J482" s="93"/>
      <c r="K482" s="93"/>
      <c r="L482" s="100"/>
      <c r="M482" s="100"/>
      <c r="N482" s="93"/>
      <c r="O482" s="93"/>
      <c r="P482" s="93"/>
      <c r="Q482" s="100"/>
      <c r="R482" s="100"/>
    </row>
    <row r="483" spans="2:18">
      <c r="B483" s="92"/>
      <c r="C483" s="92"/>
      <c r="D483" s="92"/>
      <c r="E483" s="92"/>
      <c r="F483" s="92"/>
      <c r="G483" s="92"/>
      <c r="H483" s="92"/>
      <c r="I483" s="93"/>
      <c r="J483" s="93"/>
      <c r="K483" s="93"/>
      <c r="L483" s="100"/>
      <c r="M483" s="100"/>
      <c r="N483" s="93"/>
      <c r="O483" s="93"/>
      <c r="P483" s="93"/>
      <c r="Q483" s="100"/>
      <c r="R483" s="100"/>
    </row>
    <row r="484" spans="2:18">
      <c r="B484" s="92"/>
      <c r="C484" s="92"/>
      <c r="D484" s="92"/>
      <c r="E484" s="92"/>
      <c r="F484" s="92"/>
      <c r="G484" s="92"/>
      <c r="H484" s="92"/>
      <c r="I484" s="93"/>
      <c r="J484" s="93"/>
      <c r="K484" s="93"/>
      <c r="L484" s="100"/>
      <c r="M484" s="100"/>
      <c r="N484" s="93"/>
      <c r="O484" s="93"/>
      <c r="P484" s="93"/>
      <c r="Q484" s="100"/>
      <c r="R484" s="100"/>
    </row>
    <row r="485" spans="2:18">
      <c r="B485" s="92"/>
      <c r="C485" s="92"/>
      <c r="D485" s="92"/>
      <c r="E485" s="92"/>
      <c r="F485" s="92"/>
      <c r="G485" s="92"/>
      <c r="H485" s="92"/>
      <c r="I485" s="93"/>
      <c r="J485" s="93"/>
      <c r="K485" s="93"/>
      <c r="L485" s="100"/>
      <c r="M485" s="100"/>
      <c r="N485" s="93"/>
      <c r="O485" s="93"/>
      <c r="P485" s="93"/>
      <c r="Q485" s="100"/>
      <c r="R485" s="100"/>
    </row>
    <row r="486" spans="2:18">
      <c r="B486" s="92"/>
      <c r="C486" s="92"/>
      <c r="D486" s="92"/>
      <c r="E486" s="92"/>
      <c r="F486" s="92"/>
      <c r="G486" s="92"/>
      <c r="H486" s="92"/>
      <c r="I486" s="93"/>
      <c r="J486" s="93"/>
      <c r="K486" s="93"/>
      <c r="L486" s="100"/>
      <c r="M486" s="100"/>
      <c r="N486" s="93"/>
      <c r="O486" s="93"/>
      <c r="P486" s="93"/>
      <c r="Q486" s="100"/>
      <c r="R486" s="100"/>
    </row>
    <row r="487" spans="2:18">
      <c r="B487" s="92"/>
      <c r="C487" s="92"/>
      <c r="D487" s="92"/>
      <c r="E487" s="92"/>
      <c r="F487" s="92"/>
      <c r="G487" s="92"/>
      <c r="H487" s="92"/>
      <c r="I487" s="93"/>
      <c r="J487" s="93"/>
      <c r="K487" s="93"/>
      <c r="L487" s="100"/>
      <c r="M487" s="100"/>
      <c r="N487" s="93"/>
      <c r="O487" s="93"/>
      <c r="P487" s="93"/>
      <c r="Q487" s="100"/>
      <c r="R487" s="100"/>
    </row>
    <row r="488" spans="2:18">
      <c r="B488" s="92"/>
      <c r="C488" s="92"/>
      <c r="D488" s="92"/>
      <c r="E488" s="92"/>
      <c r="F488" s="92"/>
      <c r="G488" s="92"/>
      <c r="H488" s="92"/>
      <c r="I488" s="93"/>
      <c r="J488" s="93"/>
      <c r="K488" s="93"/>
      <c r="L488" s="100"/>
      <c r="M488" s="100"/>
      <c r="N488" s="93"/>
      <c r="O488" s="93"/>
      <c r="P488" s="93"/>
      <c r="Q488" s="100"/>
      <c r="R488" s="100"/>
    </row>
    <row r="489" spans="2:18">
      <c r="B489" s="92"/>
      <c r="C489" s="92"/>
      <c r="D489" s="92"/>
      <c r="E489" s="92"/>
      <c r="F489" s="92"/>
      <c r="G489" s="92"/>
      <c r="H489" s="92"/>
      <c r="I489" s="93"/>
      <c r="J489" s="93"/>
      <c r="K489" s="93"/>
      <c r="L489" s="100"/>
      <c r="M489" s="100"/>
      <c r="N489" s="93"/>
      <c r="O489" s="93"/>
      <c r="P489" s="93"/>
      <c r="Q489" s="100"/>
      <c r="R489" s="100"/>
    </row>
    <row r="490" spans="2:18">
      <c r="B490" s="92"/>
      <c r="C490" s="92"/>
      <c r="D490" s="92"/>
      <c r="E490" s="92"/>
      <c r="F490" s="92"/>
      <c r="G490" s="92"/>
      <c r="H490" s="92"/>
      <c r="I490" s="93"/>
      <c r="J490" s="93"/>
      <c r="K490" s="93"/>
      <c r="L490" s="100"/>
      <c r="M490" s="100"/>
      <c r="N490" s="93"/>
      <c r="O490" s="93"/>
      <c r="P490" s="93"/>
      <c r="Q490" s="100"/>
      <c r="R490" s="100"/>
    </row>
    <row r="491" spans="2:18">
      <c r="B491" s="92"/>
      <c r="C491" s="92"/>
      <c r="D491" s="92"/>
      <c r="E491" s="92"/>
      <c r="F491" s="92"/>
      <c r="G491" s="92"/>
      <c r="H491" s="92"/>
      <c r="I491" s="93"/>
      <c r="J491" s="93"/>
      <c r="K491" s="93"/>
      <c r="L491" s="100"/>
      <c r="M491" s="100"/>
      <c r="N491" s="93"/>
      <c r="O491" s="93"/>
      <c r="P491" s="93"/>
      <c r="Q491" s="100"/>
      <c r="R491" s="100"/>
    </row>
    <row r="492" spans="2:18">
      <c r="B492" s="92"/>
      <c r="C492" s="92"/>
      <c r="D492" s="92"/>
      <c r="E492" s="92"/>
      <c r="F492" s="92"/>
      <c r="G492" s="92"/>
      <c r="H492" s="92"/>
      <c r="I492" s="93"/>
      <c r="J492" s="93"/>
      <c r="K492" s="93"/>
      <c r="L492" s="100"/>
      <c r="M492" s="100"/>
      <c r="N492" s="93"/>
      <c r="O492" s="93"/>
      <c r="P492" s="93"/>
      <c r="Q492" s="100"/>
      <c r="R492" s="100"/>
    </row>
    <row r="493" spans="2:18">
      <c r="B493" s="92"/>
      <c r="C493" s="92"/>
      <c r="D493" s="92"/>
      <c r="E493" s="92"/>
      <c r="F493" s="92"/>
      <c r="G493" s="92"/>
      <c r="H493" s="92"/>
      <c r="I493" s="93"/>
      <c r="J493" s="93"/>
      <c r="K493" s="93"/>
      <c r="L493" s="100"/>
      <c r="M493" s="100"/>
      <c r="N493" s="93"/>
      <c r="O493" s="93"/>
      <c r="P493" s="93"/>
      <c r="Q493" s="100"/>
      <c r="R493" s="100"/>
    </row>
    <row r="494" spans="2:18">
      <c r="B494" s="92"/>
      <c r="C494" s="92"/>
      <c r="D494" s="92"/>
      <c r="E494" s="92"/>
      <c r="F494" s="92"/>
      <c r="G494" s="92"/>
      <c r="H494" s="92"/>
      <c r="I494" s="93"/>
      <c r="J494" s="93"/>
      <c r="K494" s="93"/>
      <c r="L494" s="100"/>
      <c r="M494" s="100"/>
      <c r="N494" s="93"/>
      <c r="O494" s="93"/>
      <c r="P494" s="93"/>
      <c r="Q494" s="100"/>
      <c r="R494" s="100"/>
    </row>
    <row r="495" spans="2:18">
      <c r="B495" s="92"/>
      <c r="C495" s="92"/>
      <c r="D495" s="92"/>
      <c r="E495" s="92"/>
      <c r="F495" s="92"/>
      <c r="G495" s="92"/>
      <c r="H495" s="92"/>
      <c r="I495" s="93"/>
      <c r="J495" s="93"/>
      <c r="K495" s="93"/>
      <c r="L495" s="100"/>
      <c r="M495" s="100"/>
      <c r="N495" s="93"/>
      <c r="O495" s="93"/>
      <c r="P495" s="93"/>
      <c r="Q495" s="100"/>
      <c r="R495" s="100"/>
    </row>
    <row r="496" spans="2:18">
      <c r="B496" s="92"/>
      <c r="C496" s="92"/>
      <c r="D496" s="92"/>
      <c r="E496" s="92"/>
      <c r="F496" s="92"/>
      <c r="G496" s="92"/>
      <c r="H496" s="92"/>
      <c r="I496" s="93"/>
      <c r="J496" s="93"/>
      <c r="K496" s="93"/>
      <c r="L496" s="100"/>
      <c r="M496" s="100"/>
      <c r="N496" s="93"/>
      <c r="O496" s="93"/>
      <c r="P496" s="93"/>
      <c r="Q496" s="100"/>
      <c r="R496" s="100"/>
    </row>
    <row r="497" spans="2:18">
      <c r="B497" s="92"/>
      <c r="C497" s="92"/>
      <c r="D497" s="92"/>
      <c r="E497" s="92"/>
      <c r="F497" s="92"/>
      <c r="G497" s="92"/>
      <c r="H497" s="92"/>
      <c r="I497" s="93"/>
      <c r="J497" s="93"/>
      <c r="K497" s="93"/>
      <c r="L497" s="100"/>
      <c r="M497" s="100"/>
      <c r="N497" s="93"/>
      <c r="O497" s="93"/>
      <c r="P497" s="93"/>
      <c r="Q497" s="100"/>
      <c r="R497" s="100"/>
    </row>
    <row r="498" spans="2:18">
      <c r="B498" s="92"/>
      <c r="C498" s="92"/>
      <c r="D498" s="92"/>
      <c r="E498" s="92"/>
      <c r="F498" s="92"/>
      <c r="G498" s="92"/>
      <c r="H498" s="92"/>
      <c r="I498" s="93"/>
      <c r="J498" s="93"/>
      <c r="K498" s="93"/>
      <c r="L498" s="100"/>
      <c r="M498" s="100"/>
      <c r="N498" s="93"/>
      <c r="O498" s="93"/>
      <c r="P498" s="93"/>
      <c r="Q498" s="100"/>
      <c r="R498" s="100"/>
    </row>
    <row r="499" spans="2:18">
      <c r="B499" s="92"/>
      <c r="C499" s="92"/>
      <c r="D499" s="92"/>
      <c r="E499" s="92"/>
      <c r="F499" s="92"/>
      <c r="G499" s="92"/>
      <c r="H499" s="92"/>
      <c r="I499" s="93"/>
      <c r="J499" s="93"/>
      <c r="K499" s="93"/>
      <c r="L499" s="100"/>
      <c r="M499" s="100"/>
      <c r="N499" s="93"/>
      <c r="O499" s="93"/>
      <c r="P499" s="93"/>
      <c r="Q499" s="100"/>
      <c r="R499" s="100"/>
    </row>
    <row r="500" spans="2:18">
      <c r="B500" s="92"/>
      <c r="C500" s="92"/>
      <c r="D500" s="92"/>
      <c r="E500" s="92"/>
      <c r="F500" s="92"/>
      <c r="G500" s="92"/>
      <c r="H500" s="92"/>
      <c r="I500" s="93"/>
      <c r="J500" s="93"/>
      <c r="K500" s="93"/>
      <c r="L500" s="100"/>
      <c r="M500" s="100"/>
      <c r="N500" s="93"/>
      <c r="O500" s="93"/>
      <c r="P500" s="93"/>
      <c r="Q500" s="100"/>
      <c r="R500" s="100"/>
    </row>
    <row r="501" spans="2:18">
      <c r="B501" s="92"/>
      <c r="C501" s="92"/>
      <c r="D501" s="92"/>
      <c r="E501" s="92"/>
      <c r="F501" s="92"/>
      <c r="G501" s="92"/>
      <c r="H501" s="92"/>
      <c r="I501" s="93"/>
      <c r="J501" s="93"/>
      <c r="K501" s="93"/>
      <c r="L501" s="100"/>
      <c r="M501" s="100"/>
      <c r="N501" s="93"/>
      <c r="O501" s="93"/>
      <c r="P501" s="93"/>
      <c r="Q501" s="100"/>
      <c r="R501" s="100"/>
    </row>
    <row r="502" spans="2:18">
      <c r="B502" s="92"/>
      <c r="C502" s="92"/>
      <c r="D502" s="92"/>
      <c r="E502" s="92"/>
      <c r="F502" s="92"/>
      <c r="G502" s="92"/>
      <c r="H502" s="92"/>
      <c r="I502" s="93"/>
      <c r="J502" s="93"/>
      <c r="K502" s="93"/>
      <c r="L502" s="100"/>
      <c r="M502" s="100"/>
      <c r="N502" s="93"/>
      <c r="O502" s="93"/>
      <c r="P502" s="93"/>
      <c r="Q502" s="100"/>
      <c r="R502" s="100"/>
    </row>
    <row r="503" spans="2:18">
      <c r="B503" s="92"/>
      <c r="C503" s="92"/>
      <c r="D503" s="92"/>
      <c r="E503" s="92"/>
      <c r="F503" s="92"/>
      <c r="G503" s="92"/>
      <c r="H503" s="92"/>
      <c r="I503" s="93"/>
      <c r="J503" s="93"/>
      <c r="K503" s="93"/>
      <c r="L503" s="100"/>
      <c r="M503" s="100"/>
      <c r="N503" s="93"/>
      <c r="O503" s="93"/>
      <c r="P503" s="93"/>
      <c r="Q503" s="100"/>
      <c r="R503" s="100"/>
    </row>
    <row r="504" spans="2:18">
      <c r="B504" s="92"/>
      <c r="C504" s="92"/>
      <c r="D504" s="92"/>
      <c r="E504" s="92"/>
      <c r="F504" s="92"/>
      <c r="G504" s="92"/>
      <c r="H504" s="92"/>
      <c r="I504" s="93"/>
      <c r="J504" s="93"/>
      <c r="K504" s="93"/>
      <c r="L504" s="100"/>
      <c r="M504" s="100"/>
      <c r="N504" s="93"/>
      <c r="O504" s="93"/>
      <c r="P504" s="93"/>
      <c r="Q504" s="100"/>
      <c r="R504" s="100"/>
    </row>
    <row r="505" spans="2:18">
      <c r="B505" s="92"/>
      <c r="C505" s="92"/>
      <c r="D505" s="92"/>
      <c r="E505" s="92"/>
      <c r="F505" s="92"/>
      <c r="G505" s="92"/>
      <c r="H505" s="92"/>
      <c r="I505" s="93"/>
      <c r="J505" s="93"/>
      <c r="K505" s="93"/>
      <c r="L505" s="100"/>
      <c r="M505" s="100"/>
      <c r="N505" s="93"/>
      <c r="O505" s="93"/>
      <c r="P505" s="93"/>
      <c r="Q505" s="100"/>
      <c r="R505" s="100"/>
    </row>
    <row r="506" spans="2:18">
      <c r="B506" s="92"/>
      <c r="C506" s="92"/>
      <c r="D506" s="92"/>
      <c r="E506" s="92"/>
      <c r="F506" s="92"/>
      <c r="G506" s="92"/>
      <c r="H506" s="92"/>
      <c r="I506" s="93"/>
      <c r="J506" s="93"/>
      <c r="K506" s="93"/>
      <c r="L506" s="100"/>
      <c r="M506" s="100"/>
      <c r="N506" s="93"/>
      <c r="O506" s="93"/>
      <c r="P506" s="93"/>
      <c r="Q506" s="100"/>
      <c r="R506" s="100"/>
    </row>
    <row r="507" spans="2:18">
      <c r="B507" s="92"/>
      <c r="C507" s="92"/>
      <c r="D507" s="92"/>
      <c r="E507" s="92"/>
      <c r="F507" s="92"/>
      <c r="G507" s="92"/>
      <c r="H507" s="92"/>
      <c r="I507" s="93"/>
      <c r="J507" s="93"/>
      <c r="K507" s="93"/>
      <c r="L507" s="100"/>
      <c r="M507" s="100"/>
      <c r="N507" s="93"/>
      <c r="O507" s="93"/>
      <c r="P507" s="93"/>
      <c r="Q507" s="100"/>
      <c r="R507" s="100"/>
    </row>
    <row r="508" spans="2:18">
      <c r="B508" s="92"/>
      <c r="C508" s="92"/>
      <c r="D508" s="92"/>
      <c r="E508" s="92"/>
      <c r="F508" s="92"/>
      <c r="G508" s="92"/>
      <c r="H508" s="92"/>
      <c r="I508" s="93"/>
      <c r="J508" s="93"/>
      <c r="K508" s="93"/>
      <c r="L508" s="100"/>
      <c r="M508" s="100"/>
      <c r="N508" s="93"/>
      <c r="O508" s="93"/>
      <c r="P508" s="93"/>
      <c r="Q508" s="100"/>
      <c r="R508" s="100"/>
    </row>
    <row r="509" spans="2:18">
      <c r="B509" s="92"/>
      <c r="C509" s="92"/>
      <c r="D509" s="92"/>
      <c r="E509" s="92"/>
      <c r="F509" s="92"/>
      <c r="G509" s="92"/>
      <c r="H509" s="92"/>
      <c r="I509" s="93"/>
      <c r="J509" s="93"/>
      <c r="K509" s="93"/>
      <c r="L509" s="100"/>
      <c r="M509" s="100"/>
      <c r="N509" s="93"/>
      <c r="O509" s="93"/>
      <c r="P509" s="93"/>
      <c r="Q509" s="100"/>
      <c r="R509" s="100"/>
    </row>
    <row r="510" spans="2:18">
      <c r="B510" s="92"/>
      <c r="C510" s="92"/>
      <c r="D510" s="92"/>
      <c r="E510" s="92"/>
      <c r="F510" s="92"/>
      <c r="G510" s="92"/>
      <c r="H510" s="92"/>
      <c r="I510" s="93"/>
      <c r="J510" s="93"/>
      <c r="K510" s="93"/>
      <c r="L510" s="100"/>
      <c r="M510" s="100"/>
      <c r="N510" s="93"/>
      <c r="O510" s="93"/>
      <c r="P510" s="93"/>
      <c r="Q510" s="100"/>
      <c r="R510" s="100"/>
    </row>
    <row r="511" spans="2:18">
      <c r="B511" s="92"/>
      <c r="C511" s="92"/>
      <c r="D511" s="92"/>
      <c r="E511" s="92"/>
      <c r="F511" s="92"/>
      <c r="G511" s="92"/>
      <c r="H511" s="92"/>
      <c r="I511" s="93"/>
      <c r="J511" s="93"/>
      <c r="K511" s="93"/>
      <c r="L511" s="100"/>
      <c r="M511" s="100"/>
      <c r="N511" s="93"/>
      <c r="O511" s="93"/>
      <c r="P511" s="93"/>
      <c r="Q511" s="100"/>
      <c r="R511" s="100"/>
    </row>
    <row r="512" spans="2:18">
      <c r="B512" s="92"/>
      <c r="C512" s="92"/>
      <c r="D512" s="92"/>
      <c r="E512" s="92"/>
      <c r="F512" s="92"/>
      <c r="G512" s="92"/>
      <c r="H512" s="92"/>
      <c r="I512" s="93"/>
      <c r="J512" s="93"/>
      <c r="K512" s="93"/>
      <c r="L512" s="100"/>
      <c r="M512" s="100"/>
      <c r="N512" s="93"/>
      <c r="O512" s="93"/>
      <c r="P512" s="93"/>
      <c r="Q512" s="100"/>
      <c r="R512" s="100"/>
    </row>
    <row r="513" spans="2:18">
      <c r="B513" s="92"/>
      <c r="C513" s="92"/>
      <c r="D513" s="92"/>
      <c r="E513" s="92"/>
      <c r="F513" s="92"/>
      <c r="G513" s="92"/>
      <c r="H513" s="92"/>
      <c r="I513" s="93"/>
      <c r="J513" s="93"/>
      <c r="K513" s="93"/>
      <c r="L513" s="100"/>
      <c r="M513" s="100"/>
      <c r="N513" s="93"/>
      <c r="O513" s="93"/>
      <c r="P513" s="93"/>
      <c r="Q513" s="100"/>
      <c r="R513" s="100"/>
    </row>
    <row r="514" spans="2:18">
      <c r="B514" s="92"/>
      <c r="C514" s="92"/>
      <c r="D514" s="92"/>
      <c r="E514" s="92"/>
      <c r="F514" s="92"/>
      <c r="G514" s="92"/>
      <c r="H514" s="92"/>
      <c r="I514" s="93"/>
      <c r="J514" s="93"/>
      <c r="K514" s="93"/>
      <c r="L514" s="100"/>
      <c r="M514" s="100"/>
      <c r="N514" s="93"/>
      <c r="O514" s="93"/>
      <c r="P514" s="93"/>
      <c r="Q514" s="100"/>
      <c r="R514" s="100"/>
    </row>
    <row r="515" spans="2:18">
      <c r="B515" s="92"/>
      <c r="C515" s="92"/>
      <c r="D515" s="92"/>
      <c r="E515" s="92"/>
      <c r="F515" s="92"/>
      <c r="G515" s="92"/>
      <c r="H515" s="92"/>
      <c r="I515" s="93"/>
      <c r="J515" s="93"/>
      <c r="K515" s="93"/>
      <c r="L515" s="100"/>
      <c r="M515" s="100"/>
      <c r="N515" s="93"/>
      <c r="O515" s="93"/>
      <c r="P515" s="93"/>
      <c r="Q515" s="100"/>
      <c r="R515" s="100"/>
    </row>
    <row r="516" spans="2:18">
      <c r="B516" s="92"/>
      <c r="C516" s="92"/>
      <c r="D516" s="92"/>
      <c r="E516" s="92"/>
      <c r="F516" s="92"/>
      <c r="G516" s="92"/>
      <c r="H516" s="92"/>
      <c r="I516" s="93"/>
      <c r="J516" s="93"/>
      <c r="K516" s="93"/>
      <c r="L516" s="100"/>
      <c r="M516" s="100"/>
      <c r="N516" s="93"/>
      <c r="O516" s="93"/>
      <c r="P516" s="93"/>
      <c r="Q516" s="100"/>
      <c r="R516" s="100"/>
    </row>
    <row r="517" spans="2:18">
      <c r="B517" s="92"/>
      <c r="C517" s="92"/>
      <c r="D517" s="92"/>
      <c r="E517" s="92"/>
      <c r="F517" s="92"/>
      <c r="G517" s="92"/>
      <c r="H517" s="92"/>
      <c r="I517" s="93"/>
      <c r="J517" s="93"/>
      <c r="K517" s="93"/>
      <c r="L517" s="100"/>
      <c r="M517" s="100"/>
      <c r="N517" s="93"/>
      <c r="O517" s="93"/>
      <c r="P517" s="93"/>
      <c r="Q517" s="100"/>
      <c r="R517" s="100"/>
    </row>
    <row r="518" spans="2:18">
      <c r="B518" s="92"/>
      <c r="C518" s="92"/>
      <c r="D518" s="92"/>
      <c r="E518" s="92"/>
      <c r="F518" s="92"/>
      <c r="G518" s="92"/>
      <c r="H518" s="92"/>
      <c r="I518" s="93"/>
      <c r="J518" s="93"/>
      <c r="K518" s="93"/>
      <c r="L518" s="100"/>
      <c r="M518" s="100"/>
      <c r="N518" s="93"/>
      <c r="O518" s="93"/>
      <c r="P518" s="93"/>
      <c r="Q518" s="100"/>
      <c r="R518" s="100"/>
    </row>
    <row r="519" spans="2:18">
      <c r="B519" s="92"/>
      <c r="C519" s="92"/>
      <c r="D519" s="92"/>
      <c r="E519" s="92"/>
      <c r="F519" s="92"/>
      <c r="G519" s="92"/>
      <c r="H519" s="92"/>
      <c r="I519" s="93"/>
      <c r="J519" s="93"/>
      <c r="K519" s="93"/>
      <c r="L519" s="100"/>
      <c r="M519" s="100"/>
      <c r="N519" s="93"/>
      <c r="O519" s="93"/>
      <c r="P519" s="93"/>
      <c r="Q519" s="100"/>
      <c r="R519" s="100"/>
    </row>
    <row r="520" spans="2:18">
      <c r="B520" s="92"/>
      <c r="C520" s="92"/>
      <c r="D520" s="92"/>
      <c r="E520" s="92"/>
      <c r="F520" s="92"/>
      <c r="G520" s="92"/>
      <c r="H520" s="92"/>
      <c r="I520" s="93"/>
      <c r="J520" s="93"/>
      <c r="K520" s="93"/>
      <c r="L520" s="100"/>
      <c r="M520" s="100"/>
      <c r="N520" s="93"/>
      <c r="O520" s="93"/>
      <c r="P520" s="93"/>
      <c r="Q520" s="100"/>
      <c r="R520" s="100"/>
    </row>
    <row r="521" spans="2:18">
      <c r="B521" s="92"/>
      <c r="C521" s="92"/>
      <c r="D521" s="92"/>
      <c r="E521" s="92"/>
      <c r="F521" s="92"/>
      <c r="G521" s="92"/>
      <c r="H521" s="92"/>
      <c r="I521" s="93"/>
      <c r="J521" s="93"/>
      <c r="K521" s="93"/>
      <c r="L521" s="100"/>
      <c r="M521" s="100"/>
      <c r="N521" s="93"/>
      <c r="O521" s="93"/>
      <c r="P521" s="93"/>
      <c r="Q521" s="100"/>
      <c r="R521" s="100"/>
    </row>
    <row r="522" spans="2:18">
      <c r="B522" s="92"/>
      <c r="C522" s="92"/>
      <c r="D522" s="92"/>
      <c r="E522" s="92"/>
      <c r="F522" s="92"/>
      <c r="G522" s="92"/>
      <c r="H522" s="92"/>
      <c r="I522" s="93"/>
      <c r="J522" s="93"/>
      <c r="K522" s="93"/>
      <c r="L522" s="100"/>
      <c r="M522" s="100"/>
      <c r="N522" s="93"/>
      <c r="O522" s="93"/>
      <c r="P522" s="93"/>
      <c r="Q522" s="100"/>
      <c r="R522" s="100"/>
    </row>
    <row r="523" spans="2:18">
      <c r="B523" s="92"/>
      <c r="C523" s="92"/>
      <c r="D523" s="92"/>
      <c r="E523" s="92"/>
      <c r="F523" s="92"/>
      <c r="G523" s="92"/>
      <c r="H523" s="92"/>
      <c r="I523" s="93"/>
      <c r="J523" s="93"/>
      <c r="K523" s="93"/>
      <c r="L523" s="100"/>
      <c r="M523" s="100"/>
      <c r="N523" s="93"/>
      <c r="O523" s="93"/>
      <c r="P523" s="93"/>
      <c r="Q523" s="100"/>
      <c r="R523" s="100"/>
    </row>
    <row r="524" spans="2:18">
      <c r="B524" s="92"/>
      <c r="C524" s="92"/>
      <c r="D524" s="92"/>
      <c r="E524" s="92"/>
      <c r="F524" s="92"/>
      <c r="G524" s="92"/>
      <c r="H524" s="92"/>
      <c r="I524" s="93"/>
      <c r="J524" s="93"/>
      <c r="K524" s="93"/>
      <c r="L524" s="100"/>
      <c r="M524" s="100"/>
      <c r="N524" s="93"/>
      <c r="O524" s="93"/>
      <c r="P524" s="93"/>
      <c r="Q524" s="100"/>
      <c r="R524" s="100"/>
    </row>
    <row r="525" spans="2:18">
      <c r="B525" s="92"/>
      <c r="C525" s="92"/>
      <c r="D525" s="92"/>
      <c r="E525" s="92"/>
      <c r="F525" s="92"/>
      <c r="G525" s="92"/>
      <c r="H525" s="92"/>
      <c r="I525" s="93"/>
      <c r="J525" s="93"/>
      <c r="K525" s="93"/>
      <c r="L525" s="100"/>
      <c r="M525" s="100"/>
      <c r="N525" s="93"/>
      <c r="O525" s="93"/>
      <c r="P525" s="93"/>
      <c r="Q525" s="100"/>
      <c r="R525" s="100"/>
    </row>
    <row r="526" spans="2:18">
      <c r="B526" s="92"/>
      <c r="C526" s="92"/>
      <c r="D526" s="92"/>
      <c r="E526" s="92"/>
      <c r="F526" s="92"/>
      <c r="G526" s="92"/>
      <c r="H526" s="92"/>
      <c r="I526" s="93"/>
      <c r="J526" s="93"/>
      <c r="K526" s="93"/>
      <c r="L526" s="100"/>
      <c r="M526" s="100"/>
      <c r="N526" s="93"/>
      <c r="O526" s="93"/>
      <c r="P526" s="93"/>
      <c r="Q526" s="100"/>
      <c r="R526" s="100"/>
    </row>
    <row r="527" spans="2:18">
      <c r="B527" s="92"/>
      <c r="C527" s="92"/>
      <c r="D527" s="92"/>
      <c r="E527" s="92"/>
      <c r="F527" s="92"/>
      <c r="G527" s="92"/>
      <c r="H527" s="92"/>
      <c r="I527" s="93"/>
      <c r="J527" s="93"/>
      <c r="K527" s="93"/>
      <c r="L527" s="100"/>
      <c r="M527" s="100"/>
      <c r="N527" s="93"/>
      <c r="O527" s="93"/>
      <c r="P527" s="93"/>
      <c r="Q527" s="100"/>
      <c r="R527" s="100"/>
    </row>
    <row r="528" spans="2:18">
      <c r="B528" s="92"/>
      <c r="C528" s="92"/>
      <c r="D528" s="92"/>
      <c r="E528" s="92"/>
      <c r="F528" s="92"/>
      <c r="G528" s="92"/>
      <c r="H528" s="92"/>
      <c r="I528" s="93"/>
      <c r="J528" s="93"/>
      <c r="K528" s="93"/>
      <c r="L528" s="100"/>
      <c r="M528" s="100"/>
      <c r="N528" s="93"/>
      <c r="O528" s="93"/>
      <c r="P528" s="93"/>
      <c r="Q528" s="100"/>
      <c r="R528" s="100"/>
    </row>
    <row r="529" spans="2:18">
      <c r="B529" s="92"/>
      <c r="C529" s="92"/>
      <c r="D529" s="92"/>
      <c r="E529" s="92"/>
      <c r="F529" s="92"/>
      <c r="G529" s="92"/>
      <c r="H529" s="92"/>
      <c r="I529" s="93"/>
      <c r="J529" s="93"/>
      <c r="K529" s="93"/>
      <c r="L529" s="100"/>
      <c r="M529" s="100"/>
      <c r="N529" s="93"/>
      <c r="O529" s="93"/>
      <c r="P529" s="93"/>
      <c r="Q529" s="100"/>
      <c r="R529" s="100"/>
    </row>
    <row r="530" spans="2:18">
      <c r="B530" s="92"/>
      <c r="C530" s="92"/>
      <c r="D530" s="92"/>
      <c r="E530" s="92"/>
      <c r="F530" s="92"/>
      <c r="G530" s="92"/>
      <c r="H530" s="92"/>
      <c r="I530" s="93"/>
      <c r="J530" s="93"/>
      <c r="K530" s="93"/>
      <c r="L530" s="100"/>
      <c r="M530" s="100"/>
      <c r="N530" s="93"/>
      <c r="O530" s="93"/>
      <c r="P530" s="93"/>
      <c r="Q530" s="100"/>
      <c r="R530" s="100"/>
    </row>
    <row r="531" spans="2:18">
      <c r="B531" s="92"/>
      <c r="C531" s="92"/>
      <c r="D531" s="92"/>
      <c r="E531" s="92"/>
      <c r="F531" s="92"/>
      <c r="G531" s="92"/>
      <c r="H531" s="92"/>
      <c r="I531" s="93"/>
      <c r="J531" s="93"/>
      <c r="K531" s="93"/>
      <c r="L531" s="100"/>
      <c r="M531" s="100"/>
      <c r="N531" s="93"/>
      <c r="O531" s="93"/>
      <c r="P531" s="93"/>
      <c r="Q531" s="100"/>
      <c r="R531" s="100"/>
    </row>
    <row r="532" spans="2:18">
      <c r="B532" s="92"/>
      <c r="C532" s="92"/>
      <c r="D532" s="92"/>
      <c r="E532" s="92"/>
      <c r="F532" s="92"/>
      <c r="G532" s="92"/>
      <c r="H532" s="92"/>
      <c r="I532" s="93"/>
      <c r="J532" s="93"/>
      <c r="K532" s="93"/>
      <c r="L532" s="100"/>
      <c r="M532" s="100"/>
      <c r="N532" s="93"/>
      <c r="O532" s="93"/>
      <c r="P532" s="93"/>
      <c r="Q532" s="100"/>
      <c r="R532" s="100"/>
    </row>
    <row r="533" spans="2:18">
      <c r="B533" s="92"/>
      <c r="C533" s="92"/>
      <c r="D533" s="92"/>
      <c r="E533" s="92"/>
      <c r="F533" s="92"/>
      <c r="G533" s="92"/>
      <c r="H533" s="92"/>
      <c r="I533" s="93"/>
      <c r="J533" s="93"/>
      <c r="K533" s="93"/>
      <c r="L533" s="100"/>
      <c r="M533" s="100"/>
      <c r="N533" s="93"/>
      <c r="O533" s="93"/>
      <c r="P533" s="93"/>
      <c r="Q533" s="100"/>
      <c r="R533" s="100"/>
    </row>
    <row r="534" spans="2:18">
      <c r="B534" s="92"/>
      <c r="C534" s="92"/>
      <c r="D534" s="92"/>
      <c r="E534" s="92"/>
      <c r="F534" s="92"/>
      <c r="G534" s="92"/>
      <c r="H534" s="92"/>
      <c r="I534" s="93"/>
      <c r="J534" s="93"/>
      <c r="K534" s="93"/>
      <c r="L534" s="100"/>
      <c r="M534" s="100"/>
      <c r="N534" s="93"/>
      <c r="O534" s="93"/>
      <c r="P534" s="93"/>
      <c r="Q534" s="100"/>
      <c r="R534" s="100"/>
    </row>
    <row r="535" spans="2:18">
      <c r="B535" s="92"/>
      <c r="C535" s="92"/>
      <c r="D535" s="92"/>
      <c r="E535" s="92"/>
      <c r="F535" s="92"/>
      <c r="G535" s="92"/>
      <c r="H535" s="92"/>
      <c r="I535" s="93"/>
      <c r="J535" s="93"/>
      <c r="K535" s="93"/>
      <c r="L535" s="100"/>
      <c r="M535" s="100"/>
      <c r="N535" s="93"/>
      <c r="O535" s="93"/>
      <c r="P535" s="93"/>
      <c r="Q535" s="100"/>
      <c r="R535" s="100"/>
    </row>
    <row r="536" spans="2:18">
      <c r="B536" s="92"/>
      <c r="C536" s="92"/>
      <c r="D536" s="92"/>
      <c r="E536" s="92"/>
      <c r="F536" s="92"/>
      <c r="G536" s="92"/>
      <c r="H536" s="92"/>
      <c r="I536" s="93"/>
      <c r="J536" s="93"/>
      <c r="K536" s="93"/>
      <c r="L536" s="100"/>
      <c r="M536" s="100"/>
      <c r="N536" s="93"/>
      <c r="O536" s="93"/>
      <c r="P536" s="93"/>
      <c r="Q536" s="100"/>
      <c r="R536" s="100"/>
    </row>
    <row r="537" spans="2:18">
      <c r="B537" s="92"/>
      <c r="C537" s="92"/>
      <c r="D537" s="92"/>
      <c r="E537" s="92"/>
      <c r="F537" s="92"/>
      <c r="G537" s="92"/>
      <c r="H537" s="92"/>
      <c r="I537" s="93"/>
      <c r="J537" s="93"/>
      <c r="K537" s="93"/>
      <c r="L537" s="100"/>
      <c r="M537" s="100"/>
      <c r="N537" s="93"/>
      <c r="O537" s="93"/>
      <c r="P537" s="93"/>
      <c r="Q537" s="100"/>
      <c r="R537" s="100"/>
    </row>
    <row r="538" spans="2:18">
      <c r="B538" s="92"/>
      <c r="C538" s="92"/>
      <c r="D538" s="92"/>
      <c r="E538" s="92"/>
      <c r="F538" s="92"/>
      <c r="G538" s="92"/>
      <c r="H538" s="92"/>
      <c r="I538" s="93"/>
      <c r="J538" s="93"/>
      <c r="K538" s="93"/>
      <c r="L538" s="100"/>
      <c r="M538" s="100"/>
      <c r="N538" s="93"/>
      <c r="O538" s="93"/>
      <c r="P538" s="93"/>
      <c r="Q538" s="100"/>
      <c r="R538" s="100"/>
    </row>
    <row r="539" spans="2:18">
      <c r="B539" s="92"/>
      <c r="C539" s="92"/>
      <c r="D539" s="92"/>
      <c r="E539" s="92"/>
      <c r="F539" s="92"/>
      <c r="G539" s="92"/>
      <c r="H539" s="92"/>
      <c r="I539" s="93"/>
      <c r="J539" s="93"/>
      <c r="K539" s="93"/>
      <c r="L539" s="100"/>
      <c r="M539" s="100"/>
      <c r="N539" s="93"/>
      <c r="O539" s="93"/>
      <c r="P539" s="93"/>
      <c r="Q539" s="100"/>
      <c r="R539" s="100"/>
    </row>
    <row r="540" spans="2:18">
      <c r="B540" s="92"/>
      <c r="C540" s="92"/>
      <c r="D540" s="92"/>
      <c r="E540" s="92"/>
      <c r="F540" s="92"/>
      <c r="G540" s="92"/>
      <c r="H540" s="92"/>
      <c r="I540" s="93"/>
      <c r="J540" s="93"/>
      <c r="K540" s="93"/>
      <c r="L540" s="100"/>
      <c r="M540" s="100"/>
      <c r="N540" s="93"/>
      <c r="O540" s="93"/>
      <c r="P540" s="93"/>
      <c r="Q540" s="100"/>
      <c r="R540" s="100"/>
    </row>
    <row r="541" spans="2:18">
      <c r="B541" s="92"/>
      <c r="C541" s="92"/>
      <c r="D541" s="92"/>
      <c r="E541" s="92"/>
      <c r="F541" s="92"/>
      <c r="G541" s="92"/>
      <c r="H541" s="92"/>
      <c r="I541" s="93"/>
      <c r="J541" s="93"/>
      <c r="K541" s="93"/>
      <c r="L541" s="100"/>
      <c r="M541" s="100"/>
      <c r="N541" s="93"/>
      <c r="O541" s="93"/>
      <c r="P541" s="93"/>
      <c r="Q541" s="100"/>
      <c r="R541" s="100"/>
    </row>
    <row r="542" spans="2:18">
      <c r="B542" s="92"/>
      <c r="C542" s="92"/>
      <c r="D542" s="92"/>
      <c r="E542" s="92"/>
      <c r="F542" s="92"/>
      <c r="G542" s="92"/>
      <c r="H542" s="92"/>
      <c r="I542" s="93"/>
      <c r="J542" s="93"/>
      <c r="K542" s="93"/>
      <c r="L542" s="100"/>
      <c r="M542" s="100"/>
      <c r="N542" s="93"/>
      <c r="O542" s="93"/>
      <c r="P542" s="93"/>
      <c r="Q542" s="100"/>
      <c r="R542" s="100"/>
    </row>
    <row r="543" spans="2:18">
      <c r="B543" s="92"/>
      <c r="C543" s="92"/>
      <c r="D543" s="92"/>
      <c r="E543" s="92"/>
      <c r="F543" s="92"/>
      <c r="G543" s="92"/>
      <c r="H543" s="92"/>
      <c r="I543" s="93"/>
      <c r="J543" s="93"/>
      <c r="K543" s="93"/>
      <c r="L543" s="100"/>
      <c r="M543" s="100"/>
      <c r="N543" s="93"/>
      <c r="O543" s="93"/>
      <c r="P543" s="93"/>
      <c r="Q543" s="100"/>
      <c r="R543" s="100"/>
    </row>
    <row r="544" spans="2:18">
      <c r="B544" s="92"/>
      <c r="C544" s="92"/>
      <c r="D544" s="92"/>
      <c r="E544" s="92"/>
      <c r="F544" s="92"/>
      <c r="G544" s="92"/>
      <c r="H544" s="92"/>
      <c r="I544" s="93"/>
      <c r="J544" s="93"/>
      <c r="K544" s="93"/>
      <c r="L544" s="100"/>
      <c r="M544" s="100"/>
      <c r="N544" s="93"/>
      <c r="O544" s="93"/>
      <c r="P544" s="93"/>
      <c r="Q544" s="100"/>
      <c r="R544" s="100"/>
    </row>
    <row r="545" spans="2:18">
      <c r="B545" s="92"/>
      <c r="C545" s="92"/>
      <c r="D545" s="92"/>
      <c r="E545" s="92"/>
      <c r="F545" s="92"/>
      <c r="G545" s="92"/>
      <c r="H545" s="92"/>
      <c r="I545" s="93"/>
      <c r="J545" s="93"/>
      <c r="K545" s="93"/>
      <c r="L545" s="100"/>
      <c r="M545" s="100"/>
      <c r="N545" s="93"/>
      <c r="O545" s="93"/>
      <c r="P545" s="93"/>
      <c r="Q545" s="100"/>
      <c r="R545" s="100"/>
    </row>
    <row r="546" spans="2:18">
      <c r="B546" s="92"/>
      <c r="C546" s="92"/>
      <c r="D546" s="92"/>
      <c r="E546" s="92"/>
      <c r="F546" s="92"/>
      <c r="G546" s="92"/>
      <c r="H546" s="92"/>
      <c r="I546" s="93"/>
      <c r="J546" s="93"/>
      <c r="K546" s="93"/>
      <c r="L546" s="100"/>
      <c r="M546" s="100"/>
      <c r="N546" s="93"/>
      <c r="O546" s="93"/>
      <c r="P546" s="93"/>
      <c r="Q546" s="100"/>
      <c r="R546" s="100"/>
    </row>
    <row r="547" spans="2:18">
      <c r="B547" s="92"/>
      <c r="C547" s="92"/>
      <c r="D547" s="92"/>
      <c r="E547" s="92"/>
      <c r="F547" s="92"/>
      <c r="G547" s="92"/>
      <c r="H547" s="92"/>
      <c r="I547" s="93"/>
      <c r="J547" s="93"/>
      <c r="K547" s="93"/>
      <c r="L547" s="100"/>
      <c r="M547" s="100"/>
      <c r="N547" s="93"/>
      <c r="O547" s="93"/>
      <c r="P547" s="93"/>
      <c r="Q547" s="100"/>
      <c r="R547" s="100"/>
    </row>
    <row r="548" spans="2:18">
      <c r="B548" s="92"/>
      <c r="C548" s="92"/>
      <c r="D548" s="92"/>
      <c r="E548" s="92"/>
      <c r="F548" s="92"/>
      <c r="G548" s="92"/>
      <c r="H548" s="92"/>
      <c r="I548" s="93"/>
      <c r="J548" s="93"/>
      <c r="K548" s="93"/>
      <c r="L548" s="100"/>
      <c r="M548" s="100"/>
      <c r="N548" s="93"/>
      <c r="O548" s="93"/>
      <c r="P548" s="93"/>
      <c r="Q548" s="100"/>
      <c r="R548" s="100"/>
    </row>
    <row r="549" spans="2:18">
      <c r="B549" s="92"/>
      <c r="C549" s="92"/>
      <c r="D549" s="92"/>
      <c r="E549" s="92"/>
      <c r="F549" s="92"/>
      <c r="G549" s="92"/>
      <c r="H549" s="92"/>
      <c r="I549" s="93"/>
      <c r="J549" s="93"/>
      <c r="K549" s="93"/>
      <c r="L549" s="100"/>
      <c r="M549" s="100"/>
      <c r="N549" s="93"/>
      <c r="O549" s="93"/>
      <c r="P549" s="93"/>
      <c r="Q549" s="100"/>
      <c r="R549" s="100"/>
    </row>
    <row r="550" spans="2:18">
      <c r="B550" s="92"/>
      <c r="C550" s="92"/>
      <c r="D550" s="92"/>
      <c r="E550" s="92"/>
      <c r="F550" s="92"/>
      <c r="G550" s="92"/>
      <c r="H550" s="92"/>
      <c r="I550" s="93"/>
      <c r="J550" s="93"/>
      <c r="K550" s="93"/>
      <c r="L550" s="100"/>
      <c r="M550" s="100"/>
      <c r="N550" s="93"/>
      <c r="O550" s="93"/>
      <c r="P550" s="93"/>
      <c r="Q550" s="100"/>
      <c r="R550" s="100"/>
    </row>
    <row r="551" spans="2:18">
      <c r="B551" s="92"/>
      <c r="C551" s="92"/>
      <c r="D551" s="92"/>
      <c r="E551" s="92"/>
      <c r="F551" s="92"/>
      <c r="G551" s="92"/>
      <c r="H551" s="92"/>
      <c r="I551" s="93"/>
      <c r="J551" s="93"/>
      <c r="K551" s="93"/>
      <c r="L551" s="100"/>
      <c r="M551" s="100"/>
      <c r="N551" s="93"/>
      <c r="O551" s="93"/>
      <c r="P551" s="93"/>
      <c r="Q551" s="100"/>
      <c r="R551" s="100"/>
    </row>
    <row r="552" spans="2:18">
      <c r="B552" s="92"/>
      <c r="C552" s="92"/>
      <c r="D552" s="92"/>
      <c r="E552" s="92"/>
      <c r="F552" s="92"/>
      <c r="G552" s="92"/>
      <c r="H552" s="92"/>
      <c r="I552" s="93"/>
      <c r="J552" s="93"/>
      <c r="K552" s="93"/>
      <c r="L552" s="100"/>
      <c r="M552" s="100"/>
      <c r="N552" s="93"/>
      <c r="O552" s="93"/>
      <c r="P552" s="93"/>
      <c r="Q552" s="100"/>
      <c r="R552" s="100"/>
    </row>
    <row r="553" spans="2:18">
      <c r="B553" s="92"/>
      <c r="C553" s="92"/>
      <c r="D553" s="92"/>
      <c r="E553" s="92"/>
      <c r="F553" s="92"/>
      <c r="G553" s="92"/>
      <c r="H553" s="92"/>
      <c r="I553" s="93"/>
      <c r="J553" s="93"/>
      <c r="K553" s="93"/>
      <c r="L553" s="100"/>
      <c r="M553" s="100"/>
      <c r="N553" s="93"/>
      <c r="O553" s="93"/>
      <c r="P553" s="93"/>
      <c r="Q553" s="100"/>
      <c r="R553" s="100"/>
    </row>
    <row r="554" spans="2:18">
      <c r="B554" s="92"/>
      <c r="C554" s="92"/>
      <c r="D554" s="92"/>
      <c r="E554" s="92"/>
      <c r="F554" s="92"/>
      <c r="G554" s="92"/>
      <c r="H554" s="92"/>
      <c r="I554" s="93"/>
      <c r="J554" s="93"/>
      <c r="K554" s="93"/>
      <c r="L554" s="100"/>
      <c r="M554" s="100"/>
      <c r="N554" s="93"/>
      <c r="O554" s="93"/>
      <c r="P554" s="93"/>
      <c r="Q554" s="100"/>
      <c r="R554" s="100"/>
    </row>
    <row r="555" spans="2:18">
      <c r="B555" s="92"/>
      <c r="C555" s="92"/>
      <c r="D555" s="92"/>
      <c r="E555" s="92"/>
      <c r="F555" s="92"/>
      <c r="G555" s="92"/>
      <c r="H555" s="92"/>
      <c r="I555" s="93"/>
      <c r="J555" s="93"/>
      <c r="K555" s="93"/>
      <c r="L555" s="100"/>
      <c r="M555" s="100"/>
      <c r="N555" s="93"/>
      <c r="O555" s="93"/>
      <c r="P555" s="93"/>
      <c r="Q555" s="100"/>
      <c r="R555" s="100"/>
    </row>
    <row r="556" spans="2:18">
      <c r="B556" s="92"/>
      <c r="C556" s="92"/>
      <c r="D556" s="92"/>
      <c r="E556" s="92"/>
      <c r="F556" s="92"/>
      <c r="G556" s="92"/>
      <c r="H556" s="92"/>
      <c r="I556" s="93"/>
      <c r="J556" s="93"/>
      <c r="K556" s="93"/>
      <c r="L556" s="100"/>
      <c r="M556" s="100"/>
      <c r="N556" s="93"/>
      <c r="O556" s="93"/>
      <c r="P556" s="93"/>
      <c r="Q556" s="100"/>
      <c r="R556" s="100"/>
    </row>
    <row r="557" spans="2:18">
      <c r="B557" s="92"/>
      <c r="C557" s="92"/>
      <c r="D557" s="92"/>
      <c r="E557" s="92"/>
      <c r="F557" s="92"/>
      <c r="G557" s="92"/>
      <c r="H557" s="92"/>
      <c r="I557" s="93"/>
      <c r="J557" s="93"/>
      <c r="K557" s="93"/>
      <c r="L557" s="100"/>
      <c r="M557" s="100"/>
      <c r="N557" s="93"/>
      <c r="O557" s="93"/>
      <c r="P557" s="93"/>
      <c r="Q557" s="100"/>
      <c r="R557" s="100"/>
    </row>
    <row r="558" spans="2:18">
      <c r="B558" s="92"/>
      <c r="C558" s="92"/>
      <c r="D558" s="92"/>
      <c r="E558" s="92"/>
      <c r="F558" s="92"/>
      <c r="G558" s="92"/>
      <c r="H558" s="92"/>
      <c r="I558" s="93"/>
      <c r="J558" s="93"/>
      <c r="K558" s="93"/>
      <c r="L558" s="100"/>
      <c r="M558" s="100"/>
      <c r="N558" s="93"/>
      <c r="O558" s="93"/>
      <c r="P558" s="93"/>
      <c r="Q558" s="100"/>
      <c r="R558" s="100"/>
    </row>
    <row r="559" spans="2:18">
      <c r="B559" s="92"/>
      <c r="C559" s="92"/>
      <c r="D559" s="92"/>
      <c r="E559" s="92"/>
      <c r="F559" s="92"/>
      <c r="G559" s="92"/>
      <c r="H559" s="92"/>
      <c r="I559" s="93"/>
      <c r="J559" s="93"/>
      <c r="K559" s="93"/>
      <c r="L559" s="100"/>
      <c r="M559" s="100"/>
      <c r="N559" s="93"/>
      <c r="O559" s="93"/>
      <c r="P559" s="93"/>
      <c r="Q559" s="100"/>
      <c r="R559" s="100"/>
    </row>
    <row r="560" spans="2:18">
      <c r="B560" s="92"/>
      <c r="C560" s="92"/>
      <c r="D560" s="92"/>
      <c r="E560" s="92"/>
      <c r="F560" s="92"/>
      <c r="G560" s="92"/>
      <c r="H560" s="92"/>
      <c r="I560" s="93"/>
      <c r="J560" s="93"/>
      <c r="K560" s="93"/>
      <c r="L560" s="100"/>
      <c r="M560" s="100"/>
      <c r="N560" s="93"/>
      <c r="O560" s="93"/>
      <c r="P560" s="93"/>
      <c r="Q560" s="100"/>
      <c r="R560" s="100"/>
    </row>
    <row r="561" spans="2:18">
      <c r="B561" s="92"/>
      <c r="C561" s="92"/>
      <c r="D561" s="92"/>
      <c r="E561" s="92"/>
      <c r="F561" s="92"/>
      <c r="G561" s="92"/>
      <c r="H561" s="92"/>
      <c r="I561" s="93"/>
      <c r="J561" s="93"/>
      <c r="K561" s="93"/>
      <c r="L561" s="100"/>
      <c r="M561" s="100"/>
      <c r="N561" s="93"/>
      <c r="O561" s="93"/>
      <c r="P561" s="93"/>
      <c r="Q561" s="100"/>
      <c r="R561" s="100"/>
    </row>
    <row r="562" spans="2:18">
      <c r="B562" s="92"/>
      <c r="C562" s="92"/>
      <c r="D562" s="92"/>
      <c r="E562" s="92"/>
      <c r="F562" s="92"/>
      <c r="G562" s="92"/>
      <c r="H562" s="92"/>
      <c r="I562" s="93"/>
      <c r="J562" s="93"/>
      <c r="K562" s="93"/>
      <c r="L562" s="100"/>
      <c r="M562" s="100"/>
      <c r="N562" s="93"/>
      <c r="O562" s="93"/>
      <c r="P562" s="93"/>
      <c r="Q562" s="100"/>
      <c r="R562" s="100"/>
    </row>
    <row r="563" spans="2:18">
      <c r="B563" s="92"/>
      <c r="C563" s="92"/>
      <c r="D563" s="92"/>
      <c r="E563" s="92"/>
      <c r="F563" s="92"/>
      <c r="G563" s="92"/>
      <c r="H563" s="92"/>
      <c r="I563" s="93"/>
      <c r="J563" s="93"/>
      <c r="K563" s="93"/>
      <c r="L563" s="100"/>
      <c r="M563" s="100"/>
      <c r="N563" s="93"/>
      <c r="O563" s="93"/>
      <c r="P563" s="93"/>
      <c r="Q563" s="100"/>
      <c r="R563" s="100"/>
    </row>
    <row r="564" spans="2:18">
      <c r="B564" s="92"/>
      <c r="C564" s="92"/>
      <c r="D564" s="92"/>
      <c r="E564" s="92"/>
      <c r="F564" s="92"/>
      <c r="G564" s="92"/>
      <c r="H564" s="92"/>
      <c r="I564" s="93"/>
      <c r="J564" s="93"/>
      <c r="K564" s="93"/>
      <c r="L564" s="100"/>
      <c r="M564" s="100"/>
      <c r="N564" s="93"/>
      <c r="O564" s="93"/>
      <c r="P564" s="93"/>
      <c r="Q564" s="100"/>
      <c r="R564" s="100"/>
    </row>
    <row r="565" spans="2:18">
      <c r="B565" s="92"/>
      <c r="C565" s="92"/>
      <c r="D565" s="92"/>
      <c r="E565" s="92"/>
      <c r="F565" s="92"/>
      <c r="G565" s="92"/>
      <c r="H565" s="92"/>
      <c r="I565" s="93"/>
      <c r="J565" s="93"/>
      <c r="K565" s="93"/>
      <c r="L565" s="100"/>
      <c r="M565" s="100"/>
      <c r="N565" s="93"/>
      <c r="O565" s="93"/>
      <c r="P565" s="93"/>
      <c r="Q565" s="100"/>
      <c r="R565" s="100"/>
    </row>
    <row r="566" spans="2:18">
      <c r="B566" s="92"/>
      <c r="C566" s="92"/>
      <c r="D566" s="92"/>
      <c r="E566" s="92"/>
      <c r="F566" s="92"/>
      <c r="G566" s="92"/>
      <c r="H566" s="92"/>
      <c r="I566" s="93"/>
      <c r="J566" s="93"/>
      <c r="K566" s="93"/>
      <c r="L566" s="100"/>
      <c r="M566" s="100"/>
      <c r="N566" s="93"/>
      <c r="O566" s="93"/>
      <c r="P566" s="93"/>
      <c r="Q566" s="100"/>
      <c r="R566" s="100"/>
    </row>
    <row r="567" spans="2:18">
      <c r="B567" s="92"/>
      <c r="C567" s="92"/>
      <c r="D567" s="92"/>
      <c r="E567" s="92"/>
      <c r="F567" s="92"/>
      <c r="G567" s="92"/>
      <c r="H567" s="92"/>
      <c r="I567" s="93"/>
      <c r="J567" s="93"/>
      <c r="K567" s="93"/>
      <c r="L567" s="100"/>
      <c r="M567" s="100"/>
      <c r="N567" s="93"/>
      <c r="O567" s="93"/>
      <c r="P567" s="93"/>
      <c r="Q567" s="100"/>
      <c r="R567" s="100"/>
    </row>
    <row r="568" spans="2:18">
      <c r="B568" s="92"/>
      <c r="C568" s="92"/>
      <c r="D568" s="92"/>
      <c r="E568" s="92"/>
      <c r="F568" s="92"/>
      <c r="G568" s="92"/>
      <c r="H568" s="92"/>
      <c r="I568" s="93"/>
      <c r="J568" s="93"/>
      <c r="K568" s="93"/>
      <c r="L568" s="100"/>
      <c r="M568" s="100"/>
      <c r="N568" s="93"/>
      <c r="O568" s="93"/>
      <c r="P568" s="93"/>
      <c r="Q568" s="100"/>
      <c r="R568" s="100"/>
    </row>
    <row r="569" spans="2:18">
      <c r="B569" s="92"/>
      <c r="C569" s="92"/>
      <c r="D569" s="92"/>
      <c r="E569" s="92"/>
      <c r="F569" s="92"/>
      <c r="G569" s="92"/>
      <c r="H569" s="92"/>
      <c r="I569" s="93"/>
      <c r="J569" s="93"/>
      <c r="K569" s="93"/>
      <c r="L569" s="100"/>
      <c r="M569" s="100"/>
      <c r="N569" s="93"/>
      <c r="O569" s="93"/>
      <c r="P569" s="93"/>
      <c r="Q569" s="100"/>
      <c r="R569" s="100"/>
    </row>
    <row r="570" spans="2:18">
      <c r="B570" s="92"/>
      <c r="C570" s="92"/>
      <c r="D570" s="92"/>
      <c r="E570" s="92"/>
      <c r="F570" s="92"/>
      <c r="G570" s="92"/>
      <c r="H570" s="92"/>
      <c r="I570" s="93"/>
      <c r="J570" s="93"/>
      <c r="K570" s="93"/>
      <c r="L570" s="100"/>
      <c r="M570" s="100"/>
      <c r="N570" s="93"/>
      <c r="O570" s="93"/>
      <c r="P570" s="93"/>
      <c r="Q570" s="100"/>
      <c r="R570" s="100"/>
    </row>
    <row r="571" spans="2:18">
      <c r="B571" s="92"/>
      <c r="C571" s="92"/>
      <c r="D571" s="92"/>
      <c r="E571" s="92"/>
      <c r="F571" s="92"/>
      <c r="G571" s="92"/>
      <c r="H571" s="92"/>
      <c r="I571" s="93"/>
      <c r="J571" s="93"/>
      <c r="K571" s="93"/>
      <c r="L571" s="100"/>
      <c r="M571" s="100"/>
      <c r="N571" s="93"/>
      <c r="O571" s="93"/>
      <c r="P571" s="93"/>
      <c r="Q571" s="100"/>
      <c r="R571" s="100"/>
    </row>
    <row r="572" spans="2:18">
      <c r="B572" s="92"/>
      <c r="C572" s="92"/>
      <c r="D572" s="92"/>
      <c r="E572" s="92"/>
      <c r="F572" s="92"/>
      <c r="G572" s="92"/>
      <c r="H572" s="92"/>
      <c r="I572" s="93"/>
      <c r="J572" s="93"/>
      <c r="K572" s="93"/>
      <c r="L572" s="100"/>
      <c r="M572" s="100"/>
      <c r="N572" s="93"/>
      <c r="O572" s="93"/>
      <c r="P572" s="93"/>
      <c r="Q572" s="100"/>
      <c r="R572" s="100"/>
    </row>
    <row r="573" spans="2:18">
      <c r="B573" s="92"/>
      <c r="C573" s="92"/>
      <c r="D573" s="92"/>
      <c r="E573" s="92"/>
      <c r="F573" s="92"/>
      <c r="G573" s="92"/>
      <c r="H573" s="92"/>
      <c r="I573" s="93"/>
      <c r="J573" s="93"/>
      <c r="K573" s="93"/>
      <c r="L573" s="100"/>
      <c r="M573" s="100"/>
      <c r="N573" s="93"/>
      <c r="O573" s="93"/>
      <c r="P573" s="93"/>
      <c r="Q573" s="100"/>
      <c r="R573" s="100"/>
    </row>
    <row r="574" spans="2:18">
      <c r="B574" s="92"/>
      <c r="C574" s="92"/>
      <c r="D574" s="92"/>
      <c r="E574" s="92"/>
      <c r="F574" s="92"/>
      <c r="G574" s="92"/>
      <c r="H574" s="92"/>
      <c r="I574" s="93"/>
      <c r="J574" s="93"/>
      <c r="K574" s="93"/>
      <c r="L574" s="100"/>
      <c r="M574" s="100"/>
      <c r="N574" s="93"/>
      <c r="O574" s="93"/>
      <c r="P574" s="93"/>
      <c r="Q574" s="100"/>
      <c r="R574" s="100"/>
    </row>
    <row r="575" spans="2:18">
      <c r="B575" s="92"/>
      <c r="C575" s="92"/>
      <c r="D575" s="92"/>
      <c r="E575" s="92"/>
      <c r="F575" s="92"/>
      <c r="G575" s="92"/>
      <c r="H575" s="92"/>
      <c r="I575" s="93"/>
      <c r="J575" s="93"/>
      <c r="K575" s="93"/>
      <c r="L575" s="100"/>
      <c r="M575" s="100"/>
      <c r="N575" s="93"/>
      <c r="O575" s="93"/>
      <c r="P575" s="93"/>
      <c r="Q575" s="100"/>
      <c r="R575" s="100"/>
    </row>
    <row r="576" spans="2:18">
      <c r="B576" s="92"/>
      <c r="C576" s="92"/>
      <c r="D576" s="92"/>
      <c r="E576" s="92"/>
      <c r="F576" s="92"/>
      <c r="G576" s="92"/>
      <c r="H576" s="92"/>
      <c r="I576" s="93"/>
      <c r="J576" s="93"/>
      <c r="K576" s="93"/>
      <c r="L576" s="100"/>
      <c r="M576" s="100"/>
      <c r="N576" s="93"/>
      <c r="O576" s="93"/>
      <c r="P576" s="93"/>
      <c r="Q576" s="100"/>
      <c r="R576" s="100"/>
    </row>
    <row r="577" spans="2:18">
      <c r="B577" s="92"/>
      <c r="C577" s="92"/>
      <c r="D577" s="92"/>
      <c r="E577" s="92"/>
      <c r="F577" s="92"/>
      <c r="G577" s="92"/>
      <c r="H577" s="92"/>
      <c r="I577" s="93"/>
      <c r="J577" s="93"/>
      <c r="K577" s="93"/>
      <c r="L577" s="100"/>
      <c r="M577" s="100"/>
      <c r="N577" s="93"/>
      <c r="O577" s="93"/>
      <c r="P577" s="93"/>
      <c r="Q577" s="100"/>
      <c r="R577" s="100"/>
    </row>
    <row r="578" spans="2:18">
      <c r="B578" s="92"/>
      <c r="C578" s="92"/>
      <c r="D578" s="92"/>
      <c r="E578" s="92"/>
      <c r="F578" s="92"/>
      <c r="G578" s="92"/>
      <c r="H578" s="92"/>
      <c r="I578" s="93"/>
      <c r="J578" s="93"/>
      <c r="K578" s="93"/>
      <c r="L578" s="100"/>
      <c r="M578" s="100"/>
      <c r="N578" s="93"/>
      <c r="O578" s="93"/>
      <c r="P578" s="93"/>
      <c r="Q578" s="100"/>
      <c r="R578" s="100"/>
    </row>
    <row r="579" spans="2:18">
      <c r="B579" s="92"/>
      <c r="C579" s="92"/>
      <c r="D579" s="92"/>
      <c r="E579" s="92"/>
      <c r="F579" s="92"/>
      <c r="G579" s="92"/>
      <c r="H579" s="92"/>
      <c r="I579" s="93"/>
      <c r="J579" s="93"/>
      <c r="K579" s="93"/>
      <c r="L579" s="100"/>
      <c r="M579" s="100"/>
      <c r="N579" s="93"/>
      <c r="O579" s="93"/>
      <c r="P579" s="93"/>
      <c r="Q579" s="100"/>
      <c r="R579" s="100"/>
    </row>
    <row r="580" spans="2:18">
      <c r="B580" s="92"/>
      <c r="C580" s="92"/>
      <c r="D580" s="92"/>
      <c r="E580" s="92"/>
      <c r="F580" s="92"/>
      <c r="G580" s="92"/>
      <c r="H580" s="92"/>
      <c r="I580" s="93"/>
      <c r="J580" s="93"/>
      <c r="K580" s="93"/>
      <c r="L580" s="100"/>
      <c r="M580" s="100"/>
      <c r="N580" s="93"/>
      <c r="O580" s="93"/>
      <c r="P580" s="93"/>
      <c r="Q580" s="100"/>
      <c r="R580" s="100"/>
    </row>
    <row r="581" spans="2:18">
      <c r="B581" s="92"/>
      <c r="C581" s="92"/>
      <c r="D581" s="92"/>
      <c r="E581" s="92"/>
      <c r="F581" s="92"/>
      <c r="G581" s="92"/>
      <c r="H581" s="92"/>
      <c r="I581" s="93"/>
      <c r="J581" s="93"/>
      <c r="K581" s="93"/>
      <c r="L581" s="100"/>
      <c r="M581" s="100"/>
      <c r="N581" s="93"/>
      <c r="O581" s="93"/>
      <c r="P581" s="93"/>
      <c r="Q581" s="100"/>
      <c r="R581" s="100"/>
    </row>
    <row r="582" spans="2:18">
      <c r="B582" s="92"/>
      <c r="C582" s="92"/>
      <c r="D582" s="92"/>
      <c r="E582" s="92"/>
      <c r="F582" s="92"/>
      <c r="G582" s="92"/>
      <c r="H582" s="92"/>
      <c r="I582" s="93"/>
      <c r="J582" s="93"/>
      <c r="K582" s="93"/>
      <c r="L582" s="100"/>
      <c r="M582" s="100"/>
      <c r="N582" s="93"/>
      <c r="O582" s="93"/>
      <c r="P582" s="93"/>
      <c r="Q582" s="100"/>
      <c r="R582" s="100"/>
    </row>
    <row r="583" spans="2:18">
      <c r="B583" s="92"/>
      <c r="C583" s="92"/>
      <c r="D583" s="92"/>
      <c r="E583" s="92"/>
      <c r="F583" s="92"/>
      <c r="G583" s="92"/>
      <c r="H583" s="92"/>
      <c r="I583" s="93"/>
      <c r="J583" s="93"/>
      <c r="K583" s="93"/>
      <c r="L583" s="100"/>
      <c r="M583" s="100"/>
      <c r="N583" s="93"/>
      <c r="O583" s="93"/>
      <c r="P583" s="93"/>
      <c r="Q583" s="100"/>
      <c r="R583" s="100"/>
    </row>
    <row r="584" spans="2:18">
      <c r="B584" s="92"/>
      <c r="C584" s="92"/>
      <c r="D584" s="92"/>
      <c r="E584" s="92"/>
      <c r="F584" s="92"/>
      <c r="G584" s="92"/>
      <c r="H584" s="92"/>
      <c r="I584" s="93"/>
      <c r="J584" s="93"/>
      <c r="K584" s="93"/>
      <c r="L584" s="100"/>
      <c r="M584" s="100"/>
      <c r="N584" s="93"/>
      <c r="O584" s="93"/>
      <c r="P584" s="93"/>
      <c r="Q584" s="100"/>
      <c r="R584" s="100"/>
    </row>
    <row r="585" spans="2:18">
      <c r="B585" s="92"/>
      <c r="C585" s="92"/>
      <c r="D585" s="92"/>
      <c r="E585" s="92"/>
      <c r="F585" s="92"/>
      <c r="G585" s="92"/>
      <c r="H585" s="92"/>
      <c r="I585" s="93"/>
      <c r="J585" s="93"/>
      <c r="K585" s="93"/>
      <c r="L585" s="100"/>
      <c r="M585" s="100"/>
      <c r="N585" s="93"/>
      <c r="O585" s="93"/>
      <c r="P585" s="93"/>
      <c r="Q585" s="100"/>
      <c r="R585" s="100"/>
    </row>
    <row r="586" spans="2:18">
      <c r="B586" s="92"/>
      <c r="C586" s="92"/>
      <c r="D586" s="92"/>
      <c r="E586" s="92"/>
      <c r="F586" s="92"/>
      <c r="G586" s="92"/>
      <c r="H586" s="92"/>
      <c r="I586" s="93"/>
      <c r="J586" s="93"/>
      <c r="K586" s="93"/>
      <c r="L586" s="100"/>
      <c r="M586" s="100"/>
      <c r="N586" s="93"/>
      <c r="O586" s="93"/>
      <c r="P586" s="93"/>
      <c r="Q586" s="100"/>
      <c r="R586" s="100"/>
    </row>
    <row r="587" spans="2:18">
      <c r="B587" s="92"/>
      <c r="C587" s="92"/>
      <c r="D587" s="92"/>
      <c r="E587" s="92"/>
      <c r="F587" s="92"/>
      <c r="G587" s="92"/>
      <c r="H587" s="92"/>
      <c r="I587" s="93"/>
      <c r="J587" s="93"/>
      <c r="K587" s="93"/>
      <c r="L587" s="100"/>
      <c r="M587" s="100"/>
      <c r="N587" s="93"/>
      <c r="O587" s="93"/>
      <c r="P587" s="93"/>
      <c r="Q587" s="100"/>
      <c r="R587" s="100"/>
    </row>
    <row r="588" spans="2:18">
      <c r="B588" s="92"/>
      <c r="C588" s="92"/>
      <c r="D588" s="92"/>
      <c r="E588" s="92"/>
      <c r="F588" s="92"/>
      <c r="G588" s="92"/>
      <c r="H588" s="92"/>
      <c r="I588" s="93"/>
      <c r="J588" s="93"/>
      <c r="K588" s="93"/>
      <c r="L588" s="100"/>
      <c r="M588" s="100"/>
      <c r="N588" s="93"/>
      <c r="O588" s="93"/>
      <c r="P588" s="93"/>
      <c r="Q588" s="100"/>
      <c r="R588" s="100"/>
    </row>
    <row r="589" spans="2:18">
      <c r="B589" s="92"/>
      <c r="C589" s="92"/>
      <c r="D589" s="92"/>
      <c r="E589" s="92"/>
      <c r="F589" s="92"/>
      <c r="G589" s="92"/>
      <c r="H589" s="92"/>
      <c r="I589" s="93"/>
      <c r="J589" s="93"/>
      <c r="K589" s="93"/>
      <c r="L589" s="100"/>
      <c r="M589" s="100"/>
      <c r="N589" s="93"/>
      <c r="O589" s="93"/>
      <c r="P589" s="93"/>
      <c r="Q589" s="100"/>
      <c r="R589" s="100"/>
    </row>
    <row r="590" spans="2:18">
      <c r="B590" s="92"/>
      <c r="C590" s="92"/>
      <c r="D590" s="92"/>
      <c r="E590" s="92"/>
      <c r="F590" s="92"/>
      <c r="G590" s="92"/>
      <c r="H590" s="92"/>
      <c r="I590" s="93"/>
      <c r="J590" s="93"/>
      <c r="K590" s="93"/>
      <c r="L590" s="100"/>
      <c r="M590" s="100"/>
      <c r="N590" s="93"/>
      <c r="O590" s="93"/>
      <c r="P590" s="93"/>
      <c r="Q590" s="100"/>
      <c r="R590" s="100"/>
    </row>
    <row r="591" spans="2:18">
      <c r="B591" s="92"/>
      <c r="C591" s="92"/>
      <c r="D591" s="92"/>
      <c r="E591" s="92"/>
      <c r="F591" s="92"/>
      <c r="G591" s="92"/>
      <c r="H591" s="92"/>
      <c r="I591" s="93"/>
      <c r="J591" s="93"/>
      <c r="K591" s="93"/>
      <c r="L591" s="100"/>
      <c r="M591" s="100"/>
      <c r="N591" s="93"/>
      <c r="O591" s="93"/>
      <c r="P591" s="93"/>
      <c r="Q591" s="100"/>
      <c r="R591" s="100"/>
    </row>
    <row r="592" spans="2:18">
      <c r="B592" s="92"/>
      <c r="C592" s="92"/>
      <c r="D592" s="92"/>
      <c r="E592" s="92"/>
      <c r="F592" s="92"/>
      <c r="G592" s="92"/>
      <c r="H592" s="92"/>
      <c r="I592" s="93"/>
      <c r="J592" s="93"/>
      <c r="K592" s="93"/>
      <c r="L592" s="100"/>
      <c r="M592" s="100"/>
      <c r="N592" s="93"/>
      <c r="O592" s="93"/>
      <c r="P592" s="93"/>
      <c r="Q592" s="100"/>
      <c r="R592" s="100"/>
    </row>
    <row r="593" spans="2:18">
      <c r="B593" s="92"/>
      <c r="C593" s="92"/>
      <c r="D593" s="92"/>
      <c r="E593" s="92"/>
      <c r="F593" s="92"/>
      <c r="G593" s="92"/>
      <c r="H593" s="92"/>
      <c r="I593" s="93"/>
      <c r="J593" s="93"/>
      <c r="K593" s="93"/>
      <c r="L593" s="100"/>
      <c r="M593" s="100"/>
      <c r="N593" s="93"/>
      <c r="O593" s="93"/>
      <c r="P593" s="93"/>
      <c r="Q593" s="100"/>
      <c r="R593" s="100"/>
    </row>
    <row r="594" spans="2:18">
      <c r="B594" s="92"/>
      <c r="C594" s="92"/>
      <c r="D594" s="92"/>
      <c r="E594" s="92"/>
      <c r="F594" s="92"/>
      <c r="G594" s="92"/>
      <c r="H594" s="92"/>
      <c r="I594" s="93"/>
      <c r="J594" s="93"/>
      <c r="K594" s="93"/>
      <c r="L594" s="100"/>
      <c r="M594" s="100"/>
      <c r="N594" s="93"/>
      <c r="O594" s="93"/>
      <c r="P594" s="93"/>
      <c r="Q594" s="100"/>
      <c r="R594" s="100"/>
    </row>
    <row r="595" spans="2:18">
      <c r="B595" s="92"/>
      <c r="C595" s="92"/>
      <c r="D595" s="92"/>
      <c r="E595" s="92"/>
      <c r="F595" s="92"/>
      <c r="G595" s="92"/>
      <c r="H595" s="92"/>
      <c r="I595" s="93"/>
      <c r="J595" s="93"/>
      <c r="K595" s="93"/>
      <c r="L595" s="100"/>
      <c r="M595" s="100"/>
      <c r="N595" s="93"/>
      <c r="O595" s="93"/>
      <c r="P595" s="93"/>
      <c r="Q595" s="100"/>
      <c r="R595" s="100"/>
    </row>
    <row r="596" spans="2:18">
      <c r="B596" s="92"/>
      <c r="C596" s="92"/>
      <c r="D596" s="92"/>
      <c r="E596" s="92"/>
      <c r="F596" s="92"/>
      <c r="G596" s="92"/>
      <c r="H596" s="92"/>
      <c r="I596" s="93"/>
      <c r="J596" s="93"/>
      <c r="K596" s="93"/>
      <c r="L596" s="100"/>
      <c r="M596" s="100"/>
      <c r="N596" s="93"/>
      <c r="O596" s="93"/>
      <c r="P596" s="93"/>
      <c r="Q596" s="100"/>
      <c r="R596" s="100"/>
    </row>
    <row r="597" spans="2:18">
      <c r="B597" s="92"/>
      <c r="C597" s="92"/>
      <c r="D597" s="92"/>
      <c r="E597" s="92"/>
      <c r="F597" s="92"/>
      <c r="G597" s="92"/>
      <c r="H597" s="92"/>
      <c r="I597" s="93"/>
      <c r="J597" s="93"/>
      <c r="K597" s="93"/>
      <c r="L597" s="100"/>
      <c r="M597" s="100"/>
      <c r="N597" s="93"/>
      <c r="O597" s="93"/>
      <c r="P597" s="93"/>
      <c r="Q597" s="100"/>
      <c r="R597" s="100"/>
    </row>
    <row r="598" spans="2:18">
      <c r="B598" s="92"/>
      <c r="C598" s="92"/>
      <c r="D598" s="92"/>
      <c r="E598" s="92"/>
      <c r="F598" s="92"/>
      <c r="G598" s="92"/>
      <c r="H598" s="92"/>
      <c r="I598" s="93"/>
      <c r="J598" s="93"/>
      <c r="K598" s="93"/>
      <c r="L598" s="100"/>
      <c r="M598" s="100"/>
      <c r="N598" s="93"/>
      <c r="O598" s="93"/>
      <c r="P598" s="93"/>
      <c r="Q598" s="100"/>
      <c r="R598" s="100"/>
    </row>
    <row r="599" spans="2:18">
      <c r="B599" s="92"/>
      <c r="C599" s="92"/>
      <c r="D599" s="92"/>
      <c r="E599" s="92"/>
      <c r="F599" s="92"/>
      <c r="G599" s="92"/>
      <c r="H599" s="92"/>
      <c r="I599" s="93"/>
      <c r="J599" s="93"/>
      <c r="K599" s="93"/>
      <c r="L599" s="100"/>
      <c r="M599" s="100"/>
      <c r="N599" s="93"/>
      <c r="O599" s="93"/>
      <c r="P599" s="93"/>
      <c r="Q599" s="100"/>
      <c r="R599" s="100"/>
    </row>
    <row r="600" spans="2:18">
      <c r="B600" s="92"/>
      <c r="C600" s="92"/>
      <c r="D600" s="92"/>
      <c r="E600" s="92"/>
      <c r="F600" s="92"/>
      <c r="G600" s="92"/>
      <c r="H600" s="92"/>
      <c r="I600" s="93"/>
      <c r="J600" s="93"/>
      <c r="K600" s="93"/>
      <c r="L600" s="100"/>
      <c r="M600" s="100"/>
      <c r="N600" s="93"/>
      <c r="O600" s="93"/>
      <c r="P600" s="93"/>
      <c r="Q600" s="100"/>
      <c r="R600" s="100"/>
    </row>
    <row r="601" spans="2:18">
      <c r="B601" s="92"/>
      <c r="C601" s="92"/>
      <c r="D601" s="92"/>
      <c r="E601" s="92"/>
      <c r="F601" s="92"/>
      <c r="G601" s="92"/>
      <c r="H601" s="92"/>
      <c r="I601" s="93"/>
      <c r="J601" s="93"/>
      <c r="K601" s="93"/>
      <c r="L601" s="100"/>
      <c r="M601" s="100"/>
      <c r="N601" s="93"/>
      <c r="O601" s="93"/>
      <c r="P601" s="93"/>
      <c r="Q601" s="100"/>
      <c r="R601" s="100"/>
    </row>
    <row r="602" spans="2:18">
      <c r="B602" s="92"/>
      <c r="C602" s="92"/>
      <c r="D602" s="92"/>
      <c r="E602" s="92"/>
      <c r="F602" s="92"/>
      <c r="G602" s="92"/>
      <c r="H602" s="92"/>
      <c r="I602" s="93"/>
      <c r="J602" s="93"/>
      <c r="K602" s="93"/>
      <c r="L602" s="100"/>
      <c r="M602" s="100"/>
      <c r="N602" s="93"/>
      <c r="O602" s="93"/>
      <c r="P602" s="93"/>
      <c r="Q602" s="100"/>
      <c r="R602" s="100"/>
    </row>
    <row r="603" spans="2:18">
      <c r="B603" s="92"/>
      <c r="C603" s="92"/>
      <c r="D603" s="92"/>
      <c r="E603" s="92"/>
      <c r="F603" s="92"/>
      <c r="G603" s="92"/>
      <c r="H603" s="92"/>
      <c r="I603" s="93"/>
      <c r="J603" s="93"/>
      <c r="K603" s="93"/>
      <c r="L603" s="100"/>
      <c r="M603" s="100"/>
      <c r="N603" s="93"/>
      <c r="O603" s="93"/>
      <c r="P603" s="93"/>
      <c r="Q603" s="100"/>
      <c r="R603" s="100"/>
    </row>
    <row r="604" spans="2:18">
      <c r="B604" s="92"/>
      <c r="C604" s="92"/>
      <c r="D604" s="92"/>
      <c r="E604" s="92"/>
      <c r="F604" s="92"/>
      <c r="G604" s="92"/>
      <c r="H604" s="92"/>
      <c r="I604" s="93"/>
      <c r="J604" s="93"/>
      <c r="K604" s="93"/>
      <c r="L604" s="100"/>
      <c r="M604" s="100"/>
      <c r="N604" s="93"/>
      <c r="O604" s="93"/>
      <c r="P604" s="93"/>
      <c r="Q604" s="100"/>
      <c r="R604" s="100"/>
    </row>
    <row r="605" spans="2:18">
      <c r="B605" s="92"/>
      <c r="C605" s="92"/>
      <c r="D605" s="92"/>
      <c r="E605" s="92"/>
      <c r="F605" s="92"/>
      <c r="G605" s="92"/>
      <c r="H605" s="92"/>
      <c r="I605" s="93"/>
      <c r="J605" s="93"/>
      <c r="K605" s="93"/>
      <c r="L605" s="100"/>
      <c r="M605" s="100"/>
      <c r="N605" s="93"/>
      <c r="O605" s="93"/>
      <c r="P605" s="93"/>
      <c r="Q605" s="100"/>
      <c r="R605" s="100"/>
    </row>
    <row r="606" spans="2:18">
      <c r="B606" s="92"/>
      <c r="C606" s="92"/>
      <c r="D606" s="92"/>
      <c r="E606" s="92"/>
      <c r="F606" s="92"/>
      <c r="G606" s="92"/>
      <c r="H606" s="92"/>
      <c r="I606" s="93"/>
      <c r="J606" s="93"/>
      <c r="K606" s="93"/>
      <c r="L606" s="100"/>
      <c r="M606" s="100"/>
      <c r="N606" s="93"/>
      <c r="O606" s="93"/>
      <c r="P606" s="93"/>
      <c r="Q606" s="100"/>
      <c r="R606" s="100"/>
    </row>
    <row r="607" spans="2:18">
      <c r="B607" s="92"/>
      <c r="C607" s="92"/>
      <c r="D607" s="92"/>
      <c r="E607" s="92"/>
      <c r="F607" s="92"/>
      <c r="G607" s="92"/>
      <c r="H607" s="92"/>
      <c r="I607" s="93"/>
      <c r="J607" s="93"/>
      <c r="K607" s="93"/>
      <c r="L607" s="100"/>
      <c r="M607" s="100"/>
      <c r="N607" s="93"/>
      <c r="O607" s="93"/>
      <c r="P607" s="93"/>
      <c r="Q607" s="100"/>
      <c r="R607" s="100"/>
    </row>
    <row r="608" spans="2:18">
      <c r="B608" s="92"/>
      <c r="C608" s="92"/>
      <c r="D608" s="92"/>
      <c r="E608" s="92"/>
      <c r="F608" s="92"/>
      <c r="G608" s="92"/>
      <c r="H608" s="92"/>
      <c r="I608" s="93"/>
      <c r="J608" s="93"/>
      <c r="K608" s="93"/>
      <c r="L608" s="100"/>
      <c r="M608" s="100"/>
      <c r="N608" s="93"/>
      <c r="O608" s="93"/>
      <c r="P608" s="93"/>
      <c r="Q608" s="100"/>
      <c r="R608" s="100"/>
    </row>
    <row r="609" spans="2:18">
      <c r="B609" s="92"/>
      <c r="C609" s="92"/>
      <c r="D609" s="92"/>
      <c r="E609" s="92"/>
      <c r="F609" s="92"/>
      <c r="G609" s="92"/>
      <c r="H609" s="92"/>
      <c r="I609" s="93"/>
      <c r="J609" s="93"/>
      <c r="K609" s="93"/>
      <c r="L609" s="100"/>
      <c r="M609" s="100"/>
      <c r="N609" s="93"/>
      <c r="O609" s="93"/>
      <c r="P609" s="93"/>
      <c r="Q609" s="100"/>
      <c r="R609" s="100"/>
    </row>
    <row r="610" spans="2:18">
      <c r="B610" s="92"/>
      <c r="C610" s="92"/>
      <c r="D610" s="92"/>
      <c r="E610" s="92"/>
      <c r="F610" s="92"/>
      <c r="G610" s="92"/>
      <c r="H610" s="92"/>
      <c r="I610" s="93"/>
      <c r="J610" s="93"/>
      <c r="K610" s="93"/>
      <c r="L610" s="100"/>
      <c r="M610" s="100"/>
      <c r="N610" s="93"/>
      <c r="O610" s="93"/>
      <c r="P610" s="93"/>
      <c r="Q610" s="100"/>
      <c r="R610" s="100"/>
    </row>
    <row r="611" spans="2:18">
      <c r="B611" s="92"/>
      <c r="C611" s="92"/>
      <c r="D611" s="92"/>
      <c r="E611" s="92"/>
      <c r="F611" s="92"/>
      <c r="G611" s="92"/>
      <c r="H611" s="92"/>
      <c r="I611" s="93"/>
      <c r="J611" s="93"/>
      <c r="K611" s="93"/>
      <c r="L611" s="100"/>
      <c r="M611" s="100"/>
      <c r="N611" s="93"/>
      <c r="O611" s="93"/>
      <c r="P611" s="93"/>
      <c r="Q611" s="100"/>
      <c r="R611" s="100"/>
    </row>
    <row r="612" spans="2:18">
      <c r="B612" s="92"/>
      <c r="C612" s="92"/>
      <c r="D612" s="92"/>
      <c r="E612" s="92"/>
      <c r="F612" s="92"/>
      <c r="G612" s="92"/>
      <c r="H612" s="92"/>
      <c r="I612" s="93"/>
      <c r="J612" s="93"/>
      <c r="K612" s="93"/>
      <c r="L612" s="100"/>
      <c r="M612" s="100"/>
      <c r="N612" s="93"/>
      <c r="O612" s="93"/>
      <c r="P612" s="93"/>
      <c r="Q612" s="100"/>
      <c r="R612" s="100"/>
    </row>
    <row r="613" spans="2:18">
      <c r="B613" s="92"/>
      <c r="C613" s="92"/>
      <c r="D613" s="92"/>
      <c r="E613" s="92"/>
      <c r="F613" s="92"/>
      <c r="G613" s="92"/>
      <c r="H613" s="92"/>
      <c r="I613" s="93"/>
      <c r="J613" s="93"/>
      <c r="K613" s="93"/>
      <c r="L613" s="100"/>
      <c r="M613" s="100"/>
      <c r="N613" s="93"/>
      <c r="O613" s="93"/>
      <c r="P613" s="93"/>
      <c r="Q613" s="100"/>
      <c r="R613" s="100"/>
    </row>
    <row r="614" spans="2:18">
      <c r="B614" s="92"/>
      <c r="C614" s="92"/>
      <c r="D614" s="92"/>
      <c r="E614" s="92"/>
      <c r="F614" s="92"/>
      <c r="G614" s="92"/>
      <c r="H614" s="92"/>
      <c r="I614" s="93"/>
      <c r="J614" s="93"/>
      <c r="K614" s="93"/>
      <c r="L614" s="100"/>
      <c r="M614" s="100"/>
      <c r="N614" s="93"/>
      <c r="O614" s="93"/>
      <c r="P614" s="93"/>
      <c r="Q614" s="100"/>
      <c r="R614" s="100"/>
    </row>
    <row r="615" spans="2:18">
      <c r="B615" s="92"/>
      <c r="C615" s="92"/>
      <c r="D615" s="92"/>
      <c r="E615" s="92"/>
      <c r="F615" s="92"/>
      <c r="G615" s="92"/>
      <c r="H615" s="92"/>
      <c r="I615" s="93"/>
      <c r="J615" s="93"/>
      <c r="K615" s="93"/>
      <c r="L615" s="100"/>
      <c r="M615" s="100"/>
      <c r="N615" s="93"/>
      <c r="O615" s="93"/>
      <c r="P615" s="93"/>
      <c r="Q615" s="100"/>
      <c r="R615" s="100"/>
    </row>
    <row r="616" spans="2:18">
      <c r="B616" s="92"/>
      <c r="C616" s="92"/>
      <c r="D616" s="92"/>
      <c r="E616" s="92"/>
      <c r="F616" s="92"/>
      <c r="G616" s="92"/>
      <c r="H616" s="92"/>
      <c r="I616" s="93"/>
      <c r="J616" s="93"/>
      <c r="K616" s="93"/>
      <c r="L616" s="100"/>
      <c r="M616" s="100"/>
      <c r="N616" s="93"/>
      <c r="O616" s="93"/>
      <c r="P616" s="93"/>
      <c r="Q616" s="100"/>
      <c r="R616" s="100"/>
    </row>
    <row r="617" spans="2:18">
      <c r="B617" s="92"/>
      <c r="C617" s="92"/>
      <c r="D617" s="92"/>
      <c r="E617" s="92"/>
      <c r="F617" s="92"/>
      <c r="G617" s="92"/>
      <c r="H617" s="92"/>
      <c r="I617" s="93"/>
      <c r="J617" s="93"/>
      <c r="K617" s="93"/>
      <c r="L617" s="100"/>
      <c r="M617" s="100"/>
      <c r="N617" s="93"/>
      <c r="O617" s="93"/>
      <c r="P617" s="93"/>
      <c r="Q617" s="100"/>
      <c r="R617" s="100"/>
    </row>
    <row r="618" spans="2:18">
      <c r="B618" s="92"/>
      <c r="C618" s="92"/>
      <c r="D618" s="92"/>
      <c r="E618" s="92"/>
      <c r="F618" s="92"/>
      <c r="G618" s="92"/>
      <c r="H618" s="92"/>
      <c r="I618" s="93"/>
      <c r="J618" s="93"/>
      <c r="K618" s="93"/>
      <c r="L618" s="100"/>
      <c r="M618" s="100"/>
      <c r="N618" s="93"/>
      <c r="O618" s="93"/>
      <c r="P618" s="93"/>
      <c r="Q618" s="100"/>
      <c r="R618" s="100"/>
    </row>
    <row r="619" spans="2:18">
      <c r="B619" s="92"/>
      <c r="C619" s="92"/>
      <c r="D619" s="92"/>
      <c r="E619" s="92"/>
      <c r="F619" s="92"/>
      <c r="G619" s="92"/>
      <c r="H619" s="92"/>
      <c r="I619" s="93"/>
      <c r="J619" s="93"/>
      <c r="K619" s="93"/>
      <c r="L619" s="100"/>
      <c r="M619" s="100"/>
      <c r="N619" s="93"/>
      <c r="O619" s="93"/>
      <c r="P619" s="93"/>
      <c r="Q619" s="100"/>
      <c r="R619" s="100"/>
    </row>
    <row r="620" spans="2:18">
      <c r="B620" s="92"/>
      <c r="C620" s="92"/>
      <c r="D620" s="92"/>
      <c r="E620" s="92"/>
      <c r="F620" s="92"/>
      <c r="G620" s="92"/>
      <c r="H620" s="92"/>
      <c r="I620" s="93"/>
      <c r="J620" s="93"/>
      <c r="K620" s="93"/>
      <c r="L620" s="100"/>
      <c r="M620" s="100"/>
      <c r="N620" s="93"/>
      <c r="O620" s="93"/>
      <c r="P620" s="93"/>
      <c r="Q620" s="100"/>
      <c r="R620" s="100"/>
    </row>
    <row r="621" spans="2:18">
      <c r="B621" s="92"/>
      <c r="C621" s="92"/>
      <c r="D621" s="92"/>
      <c r="E621" s="92"/>
      <c r="F621" s="92"/>
      <c r="G621" s="92"/>
      <c r="H621" s="92"/>
      <c r="I621" s="93"/>
      <c r="J621" s="93"/>
      <c r="K621" s="93"/>
      <c r="L621" s="100"/>
      <c r="M621" s="100"/>
      <c r="N621" s="93"/>
      <c r="O621" s="93"/>
      <c r="P621" s="93"/>
      <c r="Q621" s="100"/>
      <c r="R621" s="100"/>
    </row>
    <row r="622" spans="2:18">
      <c r="B622" s="92"/>
      <c r="C622" s="92"/>
      <c r="D622" s="92"/>
      <c r="E622" s="92"/>
      <c r="F622" s="92"/>
      <c r="G622" s="92"/>
      <c r="H622" s="92"/>
      <c r="I622" s="93"/>
      <c r="J622" s="93"/>
      <c r="K622" s="93"/>
      <c r="L622" s="100"/>
      <c r="M622" s="100"/>
      <c r="N622" s="93"/>
      <c r="O622" s="93"/>
      <c r="P622" s="93"/>
      <c r="Q622" s="100"/>
      <c r="R622" s="100"/>
    </row>
    <row r="623" spans="2:18">
      <c r="B623" s="92"/>
      <c r="C623" s="92"/>
      <c r="D623" s="92"/>
      <c r="E623" s="92"/>
      <c r="F623" s="92"/>
      <c r="G623" s="92"/>
      <c r="H623" s="92"/>
      <c r="I623" s="93"/>
      <c r="J623" s="93"/>
      <c r="K623" s="93"/>
      <c r="L623" s="100"/>
      <c r="M623" s="100"/>
      <c r="N623" s="93"/>
      <c r="O623" s="93"/>
      <c r="P623" s="93"/>
      <c r="Q623" s="100"/>
      <c r="R623" s="100"/>
    </row>
    <row r="624" spans="2:18">
      <c r="B624" s="92"/>
      <c r="C624" s="92"/>
      <c r="D624" s="92"/>
      <c r="E624" s="92"/>
      <c r="F624" s="92"/>
      <c r="G624" s="92"/>
      <c r="H624" s="92"/>
      <c r="I624" s="93"/>
      <c r="J624" s="93"/>
      <c r="K624" s="93"/>
      <c r="L624" s="100"/>
      <c r="M624" s="100"/>
      <c r="N624" s="93"/>
      <c r="O624" s="93"/>
      <c r="P624" s="93"/>
      <c r="Q624" s="100"/>
      <c r="R624" s="100"/>
    </row>
    <row r="625" spans="2:18">
      <c r="B625" s="92"/>
      <c r="C625" s="92"/>
      <c r="D625" s="92"/>
      <c r="E625" s="92"/>
      <c r="F625" s="92"/>
      <c r="G625" s="92"/>
      <c r="H625" s="92"/>
      <c r="I625" s="93"/>
      <c r="J625" s="93"/>
      <c r="K625" s="93"/>
      <c r="L625" s="100"/>
      <c r="M625" s="100"/>
      <c r="N625" s="93"/>
      <c r="O625" s="93"/>
      <c r="P625" s="93"/>
      <c r="Q625" s="100"/>
      <c r="R625" s="100"/>
    </row>
    <row r="626" spans="2:18">
      <c r="B626" s="92"/>
      <c r="C626" s="92"/>
      <c r="D626" s="92"/>
      <c r="E626" s="92"/>
      <c r="F626" s="92"/>
      <c r="G626" s="92"/>
      <c r="H626" s="92"/>
      <c r="I626" s="93"/>
      <c r="J626" s="93"/>
      <c r="K626" s="93"/>
      <c r="L626" s="100"/>
      <c r="M626" s="100"/>
      <c r="N626" s="93"/>
      <c r="O626" s="93"/>
      <c r="P626" s="93"/>
      <c r="Q626" s="100"/>
      <c r="R626" s="100"/>
    </row>
    <row r="627" spans="2:18">
      <c r="B627" s="92"/>
      <c r="C627" s="92"/>
      <c r="D627" s="92"/>
      <c r="E627" s="92"/>
      <c r="F627" s="92"/>
      <c r="G627" s="92"/>
      <c r="H627" s="92"/>
      <c r="I627" s="93"/>
      <c r="J627" s="93"/>
      <c r="K627" s="93"/>
      <c r="L627" s="100"/>
      <c r="M627" s="100"/>
      <c r="N627" s="93"/>
      <c r="O627" s="93"/>
      <c r="P627" s="93"/>
      <c r="Q627" s="100"/>
      <c r="R627" s="100"/>
    </row>
    <row r="628" spans="2:18">
      <c r="B628" s="92"/>
      <c r="C628" s="92"/>
      <c r="D628" s="92"/>
      <c r="E628" s="92"/>
      <c r="F628" s="92"/>
      <c r="G628" s="92"/>
      <c r="H628" s="92"/>
      <c r="I628" s="93"/>
      <c r="J628" s="93"/>
      <c r="K628" s="93"/>
      <c r="L628" s="100"/>
      <c r="M628" s="100"/>
      <c r="N628" s="93"/>
      <c r="O628" s="93"/>
      <c r="P628" s="93"/>
      <c r="Q628" s="100"/>
      <c r="R628" s="100"/>
    </row>
    <row r="629" spans="2:18">
      <c r="B629" s="92"/>
      <c r="C629" s="92"/>
      <c r="D629" s="92"/>
      <c r="E629" s="92"/>
      <c r="F629" s="92"/>
      <c r="G629" s="92"/>
      <c r="H629" s="92"/>
      <c r="I629" s="93"/>
      <c r="J629" s="93"/>
      <c r="K629" s="93"/>
      <c r="L629" s="100"/>
      <c r="M629" s="100"/>
      <c r="N629" s="93"/>
      <c r="O629" s="93"/>
      <c r="P629" s="93"/>
      <c r="Q629" s="100"/>
      <c r="R629" s="100"/>
    </row>
    <row r="630" spans="2:18">
      <c r="B630" s="92"/>
      <c r="C630" s="92"/>
      <c r="D630" s="92"/>
      <c r="E630" s="92"/>
      <c r="F630" s="92"/>
      <c r="G630" s="92"/>
      <c r="H630" s="92"/>
      <c r="I630" s="93"/>
      <c r="J630" s="93"/>
      <c r="K630" s="93"/>
      <c r="L630" s="100"/>
      <c r="M630" s="100"/>
      <c r="N630" s="93"/>
      <c r="O630" s="93"/>
      <c r="P630" s="93"/>
      <c r="Q630" s="100"/>
      <c r="R630" s="100"/>
    </row>
    <row r="631" spans="2:18">
      <c r="B631" s="92"/>
      <c r="C631" s="92"/>
      <c r="D631" s="92"/>
      <c r="E631" s="92"/>
      <c r="F631" s="92"/>
      <c r="G631" s="92"/>
      <c r="H631" s="92"/>
      <c r="I631" s="93"/>
      <c r="J631" s="93"/>
      <c r="K631" s="93"/>
      <c r="L631" s="100"/>
      <c r="M631" s="100"/>
      <c r="N631" s="93"/>
      <c r="O631" s="93"/>
      <c r="P631" s="93"/>
      <c r="Q631" s="100"/>
      <c r="R631" s="100"/>
    </row>
    <row r="632" spans="2:18">
      <c r="B632" s="92"/>
      <c r="C632" s="92"/>
      <c r="D632" s="92"/>
      <c r="E632" s="92"/>
      <c r="F632" s="92"/>
      <c r="G632" s="92"/>
      <c r="H632" s="92"/>
      <c r="I632" s="93"/>
      <c r="J632" s="93"/>
      <c r="K632" s="93"/>
      <c r="L632" s="100"/>
      <c r="M632" s="100"/>
      <c r="N632" s="93"/>
      <c r="O632" s="93"/>
      <c r="P632" s="93"/>
      <c r="Q632" s="100"/>
      <c r="R632" s="100"/>
    </row>
    <row r="633" spans="2:18">
      <c r="B633" s="92"/>
      <c r="C633" s="92"/>
      <c r="D633" s="92"/>
      <c r="E633" s="92"/>
      <c r="F633" s="92"/>
      <c r="G633" s="92"/>
      <c r="H633" s="92"/>
      <c r="I633" s="93"/>
      <c r="J633" s="93"/>
      <c r="K633" s="93"/>
      <c r="L633" s="100"/>
      <c r="M633" s="100"/>
      <c r="N633" s="93"/>
      <c r="O633" s="93"/>
      <c r="P633" s="93"/>
      <c r="Q633" s="100"/>
      <c r="R633" s="100"/>
    </row>
    <row r="634" spans="2:18">
      <c r="B634" s="92"/>
      <c r="C634" s="92"/>
      <c r="D634" s="92"/>
      <c r="E634" s="92"/>
      <c r="F634" s="92"/>
      <c r="G634" s="92"/>
      <c r="H634" s="92"/>
      <c r="I634" s="93"/>
      <c r="J634" s="93"/>
      <c r="K634" s="93"/>
      <c r="L634" s="100"/>
      <c r="M634" s="100"/>
      <c r="N634" s="93"/>
      <c r="O634" s="93"/>
      <c r="P634" s="93"/>
      <c r="Q634" s="100"/>
      <c r="R634" s="100"/>
    </row>
    <row r="635" spans="2:18">
      <c r="B635" s="92"/>
      <c r="C635" s="92"/>
      <c r="D635" s="92"/>
      <c r="E635" s="92"/>
      <c r="F635" s="92"/>
      <c r="G635" s="92"/>
      <c r="H635" s="92"/>
      <c r="I635" s="93"/>
      <c r="J635" s="93"/>
      <c r="K635" s="93"/>
      <c r="L635" s="100"/>
      <c r="M635" s="100"/>
      <c r="N635" s="93"/>
      <c r="O635" s="93"/>
      <c r="P635" s="93"/>
      <c r="Q635" s="100"/>
      <c r="R635" s="100"/>
    </row>
    <row r="636" spans="2:18">
      <c r="B636" s="92"/>
      <c r="C636" s="92"/>
      <c r="D636" s="92"/>
      <c r="E636" s="92"/>
      <c r="F636" s="92"/>
      <c r="G636" s="92"/>
      <c r="H636" s="92"/>
      <c r="I636" s="93"/>
      <c r="J636" s="93"/>
      <c r="K636" s="93"/>
      <c r="L636" s="100"/>
      <c r="M636" s="100"/>
      <c r="N636" s="93"/>
      <c r="O636" s="93"/>
      <c r="P636" s="93"/>
      <c r="Q636" s="100"/>
      <c r="R636" s="100"/>
    </row>
    <row r="637" spans="2:18">
      <c r="B637" s="92"/>
      <c r="C637" s="92"/>
      <c r="D637" s="92"/>
      <c r="E637" s="92"/>
      <c r="F637" s="92"/>
      <c r="G637" s="92"/>
      <c r="H637" s="92"/>
      <c r="I637" s="93"/>
      <c r="J637" s="93"/>
      <c r="K637" s="93"/>
      <c r="L637" s="100"/>
      <c r="M637" s="100"/>
      <c r="N637" s="93"/>
      <c r="O637" s="93"/>
      <c r="P637" s="93"/>
      <c r="Q637" s="100"/>
      <c r="R637" s="100"/>
    </row>
    <row r="638" spans="2:18">
      <c r="B638" s="92"/>
      <c r="C638" s="92"/>
      <c r="D638" s="92"/>
      <c r="E638" s="92"/>
      <c r="F638" s="92"/>
      <c r="G638" s="92"/>
      <c r="H638" s="92"/>
      <c r="I638" s="93"/>
      <c r="J638" s="93"/>
      <c r="K638" s="93"/>
      <c r="L638" s="100"/>
      <c r="M638" s="100"/>
      <c r="N638" s="93"/>
      <c r="O638" s="93"/>
      <c r="P638" s="93"/>
      <c r="Q638" s="100"/>
      <c r="R638" s="100"/>
    </row>
    <row r="639" spans="2:18">
      <c r="B639" s="92"/>
      <c r="C639" s="92"/>
      <c r="D639" s="92"/>
      <c r="E639" s="92"/>
      <c r="F639" s="92"/>
      <c r="G639" s="92"/>
      <c r="H639" s="92"/>
      <c r="I639" s="93"/>
      <c r="J639" s="93"/>
      <c r="K639" s="93"/>
      <c r="L639" s="100"/>
      <c r="M639" s="100"/>
      <c r="N639" s="93"/>
      <c r="O639" s="93"/>
      <c r="P639" s="93"/>
      <c r="Q639" s="100"/>
      <c r="R639" s="100"/>
    </row>
    <row r="640" spans="2:18">
      <c r="B640" s="92"/>
      <c r="C640" s="92"/>
      <c r="D640" s="92"/>
      <c r="E640" s="92"/>
      <c r="F640" s="92"/>
      <c r="G640" s="92"/>
      <c r="H640" s="92"/>
      <c r="I640" s="93"/>
      <c r="J640" s="93"/>
      <c r="K640" s="93"/>
      <c r="L640" s="100"/>
      <c r="M640" s="100"/>
      <c r="N640" s="93"/>
      <c r="O640" s="93"/>
      <c r="P640" s="93"/>
      <c r="Q640" s="100"/>
      <c r="R640" s="100"/>
    </row>
    <row r="641" spans="2:18">
      <c r="B641" s="92"/>
      <c r="C641" s="92"/>
      <c r="D641" s="92"/>
      <c r="E641" s="92"/>
      <c r="F641" s="92"/>
      <c r="G641" s="92"/>
      <c r="H641" s="92"/>
      <c r="I641" s="93"/>
      <c r="J641" s="93"/>
      <c r="K641" s="93"/>
      <c r="L641" s="100"/>
      <c r="M641" s="100"/>
      <c r="N641" s="93"/>
      <c r="O641" s="93"/>
      <c r="P641" s="93"/>
      <c r="Q641" s="100"/>
      <c r="R641" s="100"/>
    </row>
    <row r="642" spans="2:18">
      <c r="B642" s="92"/>
      <c r="C642" s="92"/>
      <c r="D642" s="92"/>
      <c r="E642" s="92"/>
      <c r="F642" s="92"/>
      <c r="G642" s="92"/>
      <c r="H642" s="92"/>
      <c r="I642" s="93"/>
      <c r="J642" s="93"/>
      <c r="K642" s="93"/>
      <c r="L642" s="100"/>
      <c r="M642" s="100"/>
      <c r="N642" s="93"/>
      <c r="O642" s="93"/>
      <c r="P642" s="93"/>
      <c r="Q642" s="100"/>
      <c r="R642" s="100"/>
    </row>
    <row r="643" spans="2:18">
      <c r="B643" s="92"/>
      <c r="C643" s="92"/>
      <c r="D643" s="92"/>
      <c r="E643" s="92"/>
      <c r="F643" s="92"/>
      <c r="G643" s="92"/>
      <c r="H643" s="92"/>
      <c r="I643" s="93"/>
      <c r="J643" s="93"/>
      <c r="K643" s="93"/>
      <c r="L643" s="100"/>
      <c r="M643" s="100"/>
      <c r="N643" s="93"/>
      <c r="O643" s="93"/>
      <c r="P643" s="93"/>
      <c r="Q643" s="100"/>
      <c r="R643" s="100"/>
    </row>
    <row r="644" spans="2:18">
      <c r="B644" s="92"/>
      <c r="C644" s="92"/>
      <c r="D644" s="92"/>
      <c r="E644" s="92"/>
      <c r="F644" s="92"/>
      <c r="G644" s="92"/>
      <c r="H644" s="92"/>
      <c r="I644" s="93"/>
      <c r="J644" s="93"/>
      <c r="K644" s="93"/>
      <c r="L644" s="100"/>
      <c r="M644" s="100"/>
      <c r="N644" s="93"/>
      <c r="O644" s="93"/>
      <c r="P644" s="93"/>
      <c r="Q644" s="100"/>
      <c r="R644" s="100"/>
    </row>
    <row r="645" spans="2:18">
      <c r="B645" s="92"/>
      <c r="C645" s="92"/>
      <c r="D645" s="92"/>
      <c r="E645" s="92"/>
      <c r="F645" s="92"/>
      <c r="G645" s="92"/>
      <c r="H645" s="92"/>
      <c r="I645" s="93"/>
      <c r="J645" s="93"/>
      <c r="K645" s="93"/>
      <c r="L645" s="100"/>
      <c r="M645" s="100"/>
      <c r="N645" s="93"/>
      <c r="O645" s="93"/>
      <c r="P645" s="93"/>
      <c r="Q645" s="100"/>
      <c r="R645" s="100"/>
    </row>
    <row r="646" spans="2:18">
      <c r="B646" s="92"/>
      <c r="C646" s="92"/>
      <c r="D646" s="92"/>
      <c r="E646" s="92"/>
      <c r="F646" s="92"/>
      <c r="G646" s="92"/>
      <c r="H646" s="92"/>
      <c r="I646" s="93"/>
      <c r="J646" s="93"/>
      <c r="K646" s="93"/>
      <c r="L646" s="100"/>
      <c r="M646" s="100"/>
      <c r="N646" s="93"/>
      <c r="O646" s="93"/>
      <c r="P646" s="93"/>
      <c r="Q646" s="100"/>
      <c r="R646" s="100"/>
    </row>
    <row r="647" spans="2:18">
      <c r="B647" s="92"/>
      <c r="C647" s="92"/>
      <c r="D647" s="92"/>
      <c r="E647" s="92"/>
      <c r="F647" s="92"/>
      <c r="G647" s="92"/>
      <c r="H647" s="92"/>
      <c r="I647" s="93"/>
      <c r="J647" s="93"/>
      <c r="K647" s="93"/>
      <c r="L647" s="100"/>
      <c r="M647" s="100"/>
      <c r="N647" s="93"/>
      <c r="O647" s="93"/>
      <c r="P647" s="93"/>
      <c r="Q647" s="100"/>
      <c r="R647" s="100"/>
    </row>
    <row r="648" spans="2:18">
      <c r="B648" s="92"/>
      <c r="C648" s="92"/>
      <c r="D648" s="92"/>
      <c r="E648" s="92"/>
      <c r="F648" s="92"/>
      <c r="G648" s="92"/>
      <c r="H648" s="92"/>
      <c r="I648" s="93"/>
      <c r="J648" s="93"/>
      <c r="K648" s="93"/>
      <c r="L648" s="100"/>
      <c r="M648" s="100"/>
      <c r="N648" s="93"/>
      <c r="O648" s="93"/>
      <c r="P648" s="93"/>
      <c r="Q648" s="100"/>
      <c r="R648" s="100"/>
    </row>
    <row r="649" spans="2:18">
      <c r="B649" s="92"/>
      <c r="C649" s="92"/>
      <c r="D649" s="92"/>
      <c r="E649" s="92"/>
      <c r="F649" s="92"/>
      <c r="G649" s="92"/>
      <c r="H649" s="92"/>
      <c r="I649" s="93"/>
      <c r="J649" s="93"/>
      <c r="K649" s="93"/>
      <c r="L649" s="100"/>
      <c r="M649" s="100"/>
      <c r="N649" s="93"/>
      <c r="O649" s="93"/>
      <c r="P649" s="93"/>
      <c r="Q649" s="100"/>
      <c r="R649" s="100"/>
    </row>
    <row r="650" spans="2:18">
      <c r="B650" s="92"/>
      <c r="C650" s="92"/>
      <c r="D650" s="92"/>
      <c r="E650" s="92"/>
      <c r="F650" s="92"/>
      <c r="G650" s="92"/>
      <c r="H650" s="92"/>
      <c r="I650" s="93"/>
      <c r="J650" s="93"/>
      <c r="K650" s="93"/>
      <c r="L650" s="100"/>
      <c r="M650" s="100"/>
      <c r="N650" s="93"/>
      <c r="O650" s="93"/>
      <c r="P650" s="93"/>
      <c r="Q650" s="100"/>
      <c r="R650" s="100"/>
    </row>
    <row r="651" spans="2:18">
      <c r="B651" s="92"/>
      <c r="C651" s="92"/>
      <c r="D651" s="92"/>
      <c r="E651" s="92"/>
      <c r="F651" s="92"/>
      <c r="G651" s="92"/>
      <c r="H651" s="92"/>
      <c r="I651" s="93"/>
      <c r="J651" s="93"/>
      <c r="K651" s="93"/>
      <c r="L651" s="100"/>
      <c r="M651" s="100"/>
      <c r="N651" s="93"/>
      <c r="O651" s="93"/>
      <c r="P651" s="93"/>
      <c r="Q651" s="100"/>
      <c r="R651" s="100"/>
    </row>
    <row r="652" spans="2:18">
      <c r="B652" s="92"/>
      <c r="C652" s="92"/>
      <c r="D652" s="92"/>
      <c r="E652" s="92"/>
      <c r="F652" s="92"/>
      <c r="G652" s="92"/>
      <c r="H652" s="92"/>
      <c r="I652" s="93"/>
      <c r="J652" s="93"/>
      <c r="K652" s="93"/>
      <c r="L652" s="100"/>
      <c r="M652" s="100"/>
      <c r="N652" s="93"/>
      <c r="O652" s="93"/>
      <c r="P652" s="93"/>
      <c r="Q652" s="100"/>
      <c r="R652" s="100"/>
    </row>
    <row r="653" spans="2:18">
      <c r="B653" s="92"/>
      <c r="C653" s="92"/>
      <c r="D653" s="92"/>
      <c r="E653" s="92"/>
      <c r="F653" s="92"/>
      <c r="G653" s="92"/>
      <c r="H653" s="92"/>
      <c r="I653" s="93"/>
      <c r="J653" s="93"/>
      <c r="K653" s="93"/>
      <c r="L653" s="100"/>
      <c r="M653" s="100"/>
      <c r="N653" s="93"/>
      <c r="O653" s="93"/>
      <c r="P653" s="93"/>
      <c r="Q653" s="100"/>
      <c r="R653" s="100"/>
    </row>
    <row r="654" spans="2:18">
      <c r="B654" s="92"/>
      <c r="C654" s="92"/>
      <c r="D654" s="92"/>
      <c r="E654" s="92"/>
      <c r="F654" s="92"/>
      <c r="G654" s="92"/>
      <c r="H654" s="92"/>
      <c r="I654" s="93"/>
      <c r="J654" s="93"/>
      <c r="K654" s="93"/>
      <c r="L654" s="100"/>
      <c r="M654" s="100"/>
      <c r="N654" s="93"/>
      <c r="O654" s="93"/>
      <c r="P654" s="93"/>
      <c r="Q654" s="100"/>
      <c r="R654" s="100"/>
    </row>
    <row r="655" spans="2:18">
      <c r="B655" s="92"/>
      <c r="C655" s="92"/>
      <c r="D655" s="92"/>
      <c r="E655" s="92"/>
      <c r="F655" s="92"/>
      <c r="G655" s="92"/>
      <c r="H655" s="92"/>
      <c r="I655" s="93"/>
      <c r="J655" s="93"/>
      <c r="K655" s="93"/>
      <c r="L655" s="100"/>
      <c r="M655" s="100"/>
      <c r="N655" s="93"/>
      <c r="O655" s="93"/>
      <c r="P655" s="93"/>
      <c r="Q655" s="100"/>
      <c r="R655" s="100"/>
    </row>
    <row r="656" spans="2:18">
      <c r="B656" s="92"/>
      <c r="C656" s="92"/>
      <c r="D656" s="92"/>
      <c r="E656" s="92"/>
      <c r="F656" s="92"/>
      <c r="G656" s="92"/>
      <c r="H656" s="92"/>
      <c r="I656" s="93"/>
      <c r="J656" s="93"/>
      <c r="K656" s="93"/>
      <c r="L656" s="100"/>
      <c r="M656" s="100"/>
      <c r="N656" s="93"/>
      <c r="O656" s="93"/>
      <c r="P656" s="93"/>
      <c r="Q656" s="100"/>
      <c r="R656" s="100"/>
    </row>
    <row r="657" spans="2:18">
      <c r="B657" s="92"/>
      <c r="C657" s="92"/>
      <c r="D657" s="92"/>
      <c r="E657" s="92"/>
      <c r="F657" s="92"/>
      <c r="G657" s="92"/>
      <c r="H657" s="92"/>
      <c r="I657" s="93"/>
      <c r="J657" s="93"/>
      <c r="K657" s="93"/>
      <c r="L657" s="100"/>
      <c r="M657" s="100"/>
      <c r="N657" s="93"/>
      <c r="O657" s="93"/>
      <c r="P657" s="93"/>
      <c r="Q657" s="100"/>
      <c r="R657" s="100"/>
    </row>
    <row r="658" spans="2:18">
      <c r="B658" s="92"/>
      <c r="C658" s="92"/>
      <c r="D658" s="92"/>
      <c r="E658" s="92"/>
      <c r="F658" s="92"/>
      <c r="G658" s="92"/>
      <c r="H658" s="92"/>
      <c r="I658" s="93"/>
      <c r="J658" s="93"/>
      <c r="K658" s="93"/>
      <c r="L658" s="100"/>
      <c r="M658" s="100"/>
      <c r="N658" s="93"/>
      <c r="O658" s="93"/>
      <c r="P658" s="93"/>
      <c r="Q658" s="100"/>
      <c r="R658" s="100"/>
    </row>
    <row r="659" spans="2:18">
      <c r="B659" s="92"/>
      <c r="C659" s="92"/>
      <c r="D659" s="92"/>
      <c r="E659" s="92"/>
      <c r="F659" s="92"/>
      <c r="G659" s="92"/>
      <c r="H659" s="92"/>
      <c r="I659" s="93"/>
      <c r="J659" s="93"/>
      <c r="K659" s="93"/>
      <c r="L659" s="100"/>
      <c r="M659" s="100"/>
      <c r="N659" s="93"/>
      <c r="O659" s="93"/>
      <c r="P659" s="93"/>
      <c r="Q659" s="100"/>
      <c r="R659" s="100"/>
    </row>
    <row r="660" spans="2:18">
      <c r="B660" s="92"/>
      <c r="C660" s="92"/>
      <c r="D660" s="92"/>
      <c r="E660" s="92"/>
      <c r="F660" s="92"/>
      <c r="G660" s="92"/>
      <c r="H660" s="92"/>
      <c r="I660" s="93"/>
      <c r="J660" s="93"/>
      <c r="K660" s="93"/>
      <c r="L660" s="100"/>
      <c r="M660" s="100"/>
      <c r="N660" s="93"/>
      <c r="O660" s="93"/>
      <c r="P660" s="93"/>
      <c r="Q660" s="100"/>
      <c r="R660" s="100"/>
    </row>
    <row r="661" spans="2:18">
      <c r="B661" s="92"/>
      <c r="C661" s="92"/>
      <c r="D661" s="92"/>
      <c r="E661" s="92"/>
      <c r="F661" s="92"/>
      <c r="G661" s="92"/>
      <c r="H661" s="92"/>
      <c r="I661" s="93"/>
      <c r="J661" s="93"/>
      <c r="K661" s="93"/>
      <c r="L661" s="100"/>
      <c r="M661" s="100"/>
      <c r="N661" s="93"/>
      <c r="O661" s="93"/>
      <c r="P661" s="93"/>
      <c r="Q661" s="100"/>
      <c r="R661" s="100"/>
    </row>
    <row r="662" spans="2:18">
      <c r="B662" s="92"/>
      <c r="C662" s="92"/>
      <c r="D662" s="92"/>
      <c r="E662" s="92"/>
      <c r="F662" s="92"/>
      <c r="G662" s="92"/>
      <c r="H662" s="92"/>
      <c r="I662" s="93"/>
      <c r="J662" s="93"/>
      <c r="K662" s="93"/>
      <c r="L662" s="100"/>
      <c r="M662" s="100"/>
      <c r="N662" s="93"/>
      <c r="O662" s="93"/>
      <c r="P662" s="93"/>
      <c r="Q662" s="100"/>
      <c r="R662" s="100"/>
    </row>
    <row r="663" spans="2:18">
      <c r="B663" s="92"/>
      <c r="C663" s="92"/>
      <c r="D663" s="92"/>
      <c r="E663" s="92"/>
      <c r="F663" s="92"/>
      <c r="G663" s="92"/>
      <c r="H663" s="92"/>
      <c r="I663" s="93"/>
      <c r="J663" s="93"/>
      <c r="K663" s="93"/>
      <c r="L663" s="100"/>
      <c r="M663" s="100"/>
      <c r="N663" s="93"/>
      <c r="O663" s="93"/>
      <c r="P663" s="93"/>
      <c r="Q663" s="100"/>
      <c r="R663" s="100"/>
    </row>
    <row r="664" spans="2:18">
      <c r="B664" s="92"/>
      <c r="C664" s="92"/>
      <c r="D664" s="92"/>
      <c r="E664" s="92"/>
      <c r="F664" s="92"/>
      <c r="G664" s="92"/>
      <c r="H664" s="92"/>
      <c r="I664" s="93"/>
      <c r="J664" s="93"/>
      <c r="K664" s="93"/>
      <c r="L664" s="100"/>
      <c r="M664" s="100"/>
      <c r="N664" s="93"/>
      <c r="O664" s="93"/>
      <c r="P664" s="93"/>
      <c r="Q664" s="100"/>
      <c r="R664" s="100"/>
    </row>
    <row r="665" spans="2:18">
      <c r="B665" s="92"/>
      <c r="C665" s="92"/>
      <c r="D665" s="92"/>
      <c r="E665" s="92"/>
      <c r="F665" s="92"/>
      <c r="G665" s="92"/>
      <c r="H665" s="92"/>
      <c r="I665" s="93"/>
      <c r="J665" s="93"/>
      <c r="K665" s="93"/>
      <c r="L665" s="100"/>
      <c r="M665" s="100"/>
      <c r="N665" s="93"/>
      <c r="O665" s="93"/>
      <c r="P665" s="93"/>
      <c r="Q665" s="100"/>
      <c r="R665" s="100"/>
    </row>
    <row r="666" spans="2:18">
      <c r="B666" s="92"/>
      <c r="C666" s="92"/>
      <c r="D666" s="92"/>
      <c r="E666" s="92"/>
      <c r="F666" s="92"/>
      <c r="G666" s="92"/>
      <c r="H666" s="92"/>
      <c r="I666" s="93"/>
      <c r="J666" s="93"/>
      <c r="K666" s="93"/>
      <c r="L666" s="100"/>
      <c r="M666" s="100"/>
      <c r="N666" s="93"/>
      <c r="O666" s="93"/>
      <c r="P666" s="93"/>
      <c r="Q666" s="100"/>
      <c r="R666" s="100"/>
    </row>
    <row r="667" spans="2:18">
      <c r="B667" s="92"/>
      <c r="C667" s="92"/>
      <c r="D667" s="92"/>
      <c r="E667" s="92"/>
      <c r="F667" s="92"/>
      <c r="G667" s="92"/>
      <c r="H667" s="92"/>
      <c r="I667" s="93"/>
      <c r="J667" s="93"/>
      <c r="K667" s="93"/>
      <c r="L667" s="100"/>
      <c r="M667" s="100"/>
      <c r="N667" s="93"/>
      <c r="O667" s="93"/>
      <c r="P667" s="93"/>
      <c r="Q667" s="100"/>
      <c r="R667" s="100"/>
    </row>
    <row r="668" spans="2:18">
      <c r="B668" s="92"/>
      <c r="C668" s="92"/>
      <c r="D668" s="92"/>
      <c r="E668" s="92"/>
      <c r="F668" s="92"/>
      <c r="G668" s="92"/>
      <c r="H668" s="92"/>
      <c r="I668" s="93"/>
      <c r="J668" s="93"/>
      <c r="K668" s="93"/>
      <c r="L668" s="100"/>
      <c r="M668" s="100"/>
      <c r="N668" s="93"/>
      <c r="O668" s="93"/>
      <c r="P668" s="93"/>
      <c r="Q668" s="100"/>
      <c r="R668" s="100"/>
    </row>
    <row r="669" spans="2:18">
      <c r="B669" s="92"/>
      <c r="C669" s="92"/>
      <c r="D669" s="92"/>
      <c r="E669" s="92"/>
      <c r="F669" s="92"/>
      <c r="G669" s="92"/>
      <c r="H669" s="92"/>
      <c r="I669" s="93"/>
      <c r="J669" s="93"/>
      <c r="K669" s="93"/>
      <c r="L669" s="100"/>
      <c r="M669" s="100"/>
      <c r="N669" s="93"/>
      <c r="O669" s="93"/>
      <c r="P669" s="93"/>
      <c r="Q669" s="100"/>
      <c r="R669" s="100"/>
    </row>
    <row r="670" spans="2:18">
      <c r="B670" s="92"/>
      <c r="C670" s="92"/>
      <c r="D670" s="92"/>
      <c r="E670" s="92"/>
      <c r="F670" s="92"/>
      <c r="G670" s="92"/>
      <c r="H670" s="92"/>
      <c r="I670" s="93"/>
      <c r="J670" s="93"/>
      <c r="K670" s="93"/>
      <c r="L670" s="100"/>
      <c r="M670" s="100"/>
      <c r="N670" s="93"/>
      <c r="O670" s="93"/>
      <c r="P670" s="93"/>
      <c r="Q670" s="100"/>
      <c r="R670" s="100"/>
    </row>
    <row r="671" spans="2:18">
      <c r="B671" s="92"/>
      <c r="C671" s="92"/>
      <c r="D671" s="92"/>
      <c r="E671" s="92"/>
      <c r="F671" s="92"/>
      <c r="G671" s="92"/>
      <c r="H671" s="92"/>
      <c r="I671" s="93"/>
      <c r="J671" s="93"/>
      <c r="K671" s="93"/>
      <c r="L671" s="100"/>
      <c r="M671" s="100"/>
      <c r="N671" s="93"/>
      <c r="O671" s="93"/>
      <c r="P671" s="93"/>
      <c r="Q671" s="100"/>
      <c r="R671" s="100"/>
    </row>
    <row r="672" spans="2:18">
      <c r="B672" s="92"/>
      <c r="C672" s="92"/>
      <c r="D672" s="92"/>
      <c r="E672" s="92"/>
      <c r="F672" s="92"/>
      <c r="G672" s="92"/>
      <c r="H672" s="92"/>
      <c r="I672" s="93"/>
      <c r="J672" s="93"/>
      <c r="K672" s="93"/>
      <c r="L672" s="100"/>
      <c r="M672" s="100"/>
      <c r="N672" s="93"/>
      <c r="O672" s="93"/>
      <c r="P672" s="93"/>
      <c r="Q672" s="100"/>
      <c r="R672" s="100"/>
    </row>
    <row r="673" spans="2:18">
      <c r="B673" s="92"/>
      <c r="C673" s="92"/>
      <c r="D673" s="92"/>
      <c r="E673" s="92"/>
      <c r="F673" s="92"/>
      <c r="G673" s="92"/>
      <c r="H673" s="92"/>
      <c r="I673" s="93"/>
      <c r="J673" s="93"/>
      <c r="K673" s="93"/>
      <c r="L673" s="100"/>
      <c r="M673" s="100"/>
      <c r="N673" s="93"/>
      <c r="O673" s="93"/>
      <c r="P673" s="93"/>
      <c r="Q673" s="100"/>
      <c r="R673" s="100"/>
    </row>
    <row r="674" spans="2:18">
      <c r="B674" s="92"/>
      <c r="C674" s="92"/>
      <c r="D674" s="92"/>
      <c r="E674" s="92"/>
      <c r="F674" s="92"/>
      <c r="G674" s="92"/>
      <c r="H674" s="92"/>
      <c r="I674" s="93"/>
      <c r="J674" s="93"/>
      <c r="K674" s="93"/>
      <c r="L674" s="100"/>
      <c r="M674" s="100"/>
      <c r="N674" s="93"/>
      <c r="O674" s="93"/>
      <c r="P674" s="93"/>
      <c r="Q674" s="100"/>
      <c r="R674" s="100"/>
    </row>
    <row r="675" spans="2:18">
      <c r="B675" s="92"/>
      <c r="C675" s="92"/>
      <c r="D675" s="92"/>
      <c r="E675" s="92"/>
      <c r="F675" s="92"/>
      <c r="G675" s="92"/>
      <c r="H675" s="92"/>
      <c r="I675" s="93"/>
      <c r="J675" s="93"/>
      <c r="K675" s="93"/>
      <c r="L675" s="100"/>
      <c r="M675" s="100"/>
      <c r="N675" s="93"/>
      <c r="O675" s="93"/>
      <c r="P675" s="93"/>
      <c r="Q675" s="100"/>
      <c r="R675" s="100"/>
    </row>
    <row r="676" spans="2:18">
      <c r="B676" s="92"/>
      <c r="C676" s="92"/>
      <c r="D676" s="92"/>
      <c r="E676" s="92"/>
      <c r="F676" s="92"/>
      <c r="G676" s="92"/>
      <c r="H676" s="92"/>
      <c r="I676" s="93"/>
      <c r="J676" s="93"/>
      <c r="K676" s="93"/>
      <c r="L676" s="100"/>
      <c r="M676" s="100"/>
      <c r="N676" s="93"/>
      <c r="O676" s="93"/>
      <c r="P676" s="93"/>
      <c r="Q676" s="100"/>
      <c r="R676" s="100"/>
    </row>
    <row r="677" spans="2:18">
      <c r="B677" s="92"/>
      <c r="C677" s="92"/>
      <c r="D677" s="92"/>
      <c r="E677" s="92"/>
      <c r="F677" s="92"/>
      <c r="G677" s="92"/>
      <c r="H677" s="92"/>
      <c r="I677" s="93"/>
      <c r="J677" s="93"/>
      <c r="K677" s="93"/>
      <c r="L677" s="100"/>
      <c r="M677" s="100"/>
      <c r="N677" s="93"/>
      <c r="O677" s="93"/>
      <c r="P677" s="93"/>
      <c r="Q677" s="100"/>
      <c r="R677" s="100"/>
    </row>
    <row r="678" spans="2:18">
      <c r="B678" s="92"/>
      <c r="C678" s="92"/>
      <c r="D678" s="92"/>
      <c r="E678" s="92"/>
      <c r="F678" s="92"/>
      <c r="G678" s="92"/>
      <c r="H678" s="92"/>
      <c r="I678" s="93"/>
      <c r="J678" s="93"/>
      <c r="K678" s="93"/>
      <c r="L678" s="100"/>
      <c r="M678" s="100"/>
      <c r="N678" s="93"/>
      <c r="O678" s="93"/>
      <c r="P678" s="93"/>
      <c r="Q678" s="100"/>
      <c r="R678" s="100"/>
    </row>
    <row r="679" spans="2:18">
      <c r="B679" s="92"/>
      <c r="C679" s="92"/>
      <c r="D679" s="92"/>
      <c r="E679" s="92"/>
      <c r="F679" s="92"/>
      <c r="G679" s="92"/>
      <c r="H679" s="92"/>
      <c r="I679" s="93"/>
      <c r="J679" s="93"/>
      <c r="K679" s="93"/>
      <c r="L679" s="100"/>
      <c r="M679" s="100"/>
      <c r="N679" s="93"/>
      <c r="O679" s="93"/>
      <c r="P679" s="93"/>
      <c r="Q679" s="100"/>
      <c r="R679" s="100"/>
    </row>
    <row r="680" spans="2:18">
      <c r="B680" s="92"/>
      <c r="C680" s="92"/>
      <c r="D680" s="92"/>
      <c r="E680" s="92"/>
      <c r="F680" s="92"/>
      <c r="G680" s="92"/>
      <c r="H680" s="92"/>
      <c r="I680" s="93"/>
      <c r="J680" s="93"/>
      <c r="K680" s="93"/>
      <c r="L680" s="100"/>
      <c r="M680" s="100"/>
      <c r="N680" s="93"/>
      <c r="O680" s="93"/>
      <c r="P680" s="93"/>
      <c r="Q680" s="100"/>
      <c r="R680" s="100"/>
    </row>
    <row r="681" spans="2:18">
      <c r="B681" s="92"/>
      <c r="C681" s="92"/>
      <c r="D681" s="92"/>
      <c r="E681" s="92"/>
      <c r="F681" s="92"/>
      <c r="G681" s="92"/>
      <c r="H681" s="92"/>
      <c r="I681" s="93"/>
      <c r="J681" s="93"/>
      <c r="K681" s="93"/>
      <c r="L681" s="100"/>
      <c r="M681" s="100"/>
      <c r="N681" s="93"/>
      <c r="O681" s="93"/>
      <c r="P681" s="93"/>
      <c r="Q681" s="100"/>
      <c r="R681" s="100"/>
    </row>
    <row r="682" spans="2:18">
      <c r="B682" s="92"/>
      <c r="C682" s="92"/>
      <c r="D682" s="92"/>
      <c r="E682" s="92"/>
      <c r="F682" s="92"/>
      <c r="G682" s="92"/>
      <c r="H682" s="92"/>
      <c r="I682" s="93"/>
      <c r="J682" s="93"/>
      <c r="K682" s="93"/>
      <c r="L682" s="100"/>
      <c r="M682" s="100"/>
      <c r="N682" s="93"/>
      <c r="O682" s="93"/>
      <c r="P682" s="93"/>
      <c r="Q682" s="100"/>
      <c r="R682" s="100"/>
    </row>
    <row r="683" spans="2:18">
      <c r="B683" s="92"/>
      <c r="C683" s="92"/>
      <c r="D683" s="92"/>
      <c r="E683" s="92"/>
      <c r="F683" s="92"/>
      <c r="G683" s="92"/>
      <c r="H683" s="92"/>
      <c r="I683" s="93"/>
      <c r="J683" s="93"/>
      <c r="K683" s="93"/>
      <c r="L683" s="100"/>
      <c r="M683" s="100"/>
      <c r="N683" s="93"/>
      <c r="O683" s="93"/>
      <c r="P683" s="93"/>
      <c r="Q683" s="100"/>
      <c r="R683" s="100"/>
    </row>
    <row r="684" spans="2:18">
      <c r="B684" s="92"/>
      <c r="C684" s="92"/>
      <c r="D684" s="92"/>
      <c r="E684" s="92"/>
      <c r="F684" s="92"/>
      <c r="G684" s="92"/>
      <c r="H684" s="92"/>
      <c r="I684" s="93"/>
      <c r="J684" s="93"/>
      <c r="K684" s="93"/>
      <c r="L684" s="100"/>
      <c r="M684" s="100"/>
      <c r="N684" s="93"/>
      <c r="O684" s="93"/>
      <c r="P684" s="93"/>
      <c r="Q684" s="100"/>
      <c r="R684" s="100"/>
    </row>
    <row r="685" spans="2:18">
      <c r="B685" s="92"/>
      <c r="C685" s="92"/>
      <c r="D685" s="92"/>
      <c r="E685" s="92"/>
      <c r="F685" s="92"/>
      <c r="G685" s="92"/>
      <c r="H685" s="92"/>
      <c r="I685" s="93"/>
      <c r="J685" s="93"/>
      <c r="K685" s="93"/>
      <c r="L685" s="100"/>
      <c r="M685" s="100"/>
      <c r="N685" s="93"/>
      <c r="O685" s="93"/>
      <c r="P685" s="93"/>
      <c r="Q685" s="100"/>
      <c r="R685" s="100"/>
    </row>
    <row r="686" spans="2:18">
      <c r="B686" s="92"/>
      <c r="C686" s="92"/>
      <c r="D686" s="92"/>
      <c r="E686" s="92"/>
      <c r="F686" s="92"/>
      <c r="G686" s="92"/>
      <c r="H686" s="92"/>
      <c r="I686" s="93"/>
      <c r="J686" s="93"/>
      <c r="K686" s="93"/>
      <c r="L686" s="100"/>
      <c r="M686" s="100"/>
      <c r="N686" s="93"/>
      <c r="O686" s="93"/>
      <c r="P686" s="93"/>
      <c r="Q686" s="100"/>
      <c r="R686" s="100"/>
    </row>
    <row r="687" spans="2:18">
      <c r="B687" s="92"/>
      <c r="C687" s="92"/>
      <c r="D687" s="92"/>
      <c r="E687" s="92"/>
      <c r="F687" s="92"/>
      <c r="G687" s="92"/>
      <c r="H687" s="92"/>
      <c r="I687" s="93"/>
      <c r="J687" s="93"/>
      <c r="K687" s="93"/>
      <c r="L687" s="100"/>
      <c r="M687" s="100"/>
      <c r="N687" s="93"/>
      <c r="O687" s="93"/>
      <c r="P687" s="93"/>
      <c r="Q687" s="100"/>
      <c r="R687" s="100"/>
    </row>
    <row r="688" spans="2:18">
      <c r="B688" s="92"/>
      <c r="C688" s="92"/>
      <c r="D688" s="92"/>
      <c r="E688" s="92"/>
      <c r="F688" s="92"/>
      <c r="G688" s="92"/>
      <c r="H688" s="92"/>
      <c r="I688" s="93"/>
      <c r="J688" s="93"/>
      <c r="K688" s="93"/>
      <c r="L688" s="100"/>
      <c r="M688" s="100"/>
      <c r="N688" s="93"/>
      <c r="O688" s="93"/>
      <c r="P688" s="93"/>
      <c r="Q688" s="100"/>
      <c r="R688" s="100"/>
    </row>
    <row r="689" spans="2:18">
      <c r="B689" s="92"/>
      <c r="C689" s="92"/>
      <c r="D689" s="92"/>
      <c r="E689" s="92"/>
      <c r="F689" s="92"/>
      <c r="G689" s="92"/>
      <c r="H689" s="92"/>
      <c r="I689" s="93"/>
      <c r="J689" s="93"/>
      <c r="K689" s="93"/>
      <c r="L689" s="100"/>
      <c r="M689" s="100"/>
      <c r="N689" s="93"/>
      <c r="O689" s="93"/>
      <c r="P689" s="93"/>
      <c r="Q689" s="100"/>
      <c r="R689" s="100"/>
    </row>
    <row r="690" spans="2:18">
      <c r="B690" s="92"/>
      <c r="C690" s="92"/>
      <c r="D690" s="92"/>
      <c r="E690" s="92"/>
      <c r="F690" s="92"/>
      <c r="G690" s="92"/>
      <c r="H690" s="92"/>
      <c r="I690" s="93"/>
      <c r="J690" s="93"/>
      <c r="K690" s="93"/>
      <c r="L690" s="100"/>
      <c r="M690" s="100"/>
      <c r="N690" s="93"/>
      <c r="O690" s="93"/>
      <c r="P690" s="93"/>
      <c r="Q690" s="100"/>
      <c r="R690" s="100"/>
    </row>
    <row r="691" spans="2:18">
      <c r="B691" s="92"/>
      <c r="C691" s="92"/>
      <c r="D691" s="92"/>
      <c r="E691" s="92"/>
      <c r="F691" s="92"/>
      <c r="G691" s="92"/>
      <c r="H691" s="92"/>
      <c r="I691" s="93"/>
      <c r="J691" s="93"/>
      <c r="K691" s="93"/>
      <c r="L691" s="100"/>
      <c r="M691" s="100"/>
      <c r="N691" s="93"/>
      <c r="O691" s="93"/>
      <c r="P691" s="93"/>
      <c r="Q691" s="100"/>
      <c r="R691" s="100"/>
    </row>
    <row r="692" spans="2:18">
      <c r="B692" s="92"/>
      <c r="C692" s="92"/>
      <c r="D692" s="92"/>
      <c r="E692" s="92"/>
      <c r="F692" s="92"/>
      <c r="G692" s="92"/>
      <c r="H692" s="92"/>
      <c r="I692" s="93"/>
      <c r="J692" s="93"/>
      <c r="K692" s="93"/>
      <c r="L692" s="100"/>
      <c r="M692" s="100"/>
      <c r="N692" s="93"/>
      <c r="O692" s="93"/>
      <c r="P692" s="93"/>
      <c r="Q692" s="100"/>
      <c r="R692" s="100"/>
    </row>
    <row r="693" spans="2:18">
      <c r="B693" s="92"/>
      <c r="C693" s="92"/>
      <c r="D693" s="92"/>
      <c r="E693" s="92"/>
      <c r="F693" s="92"/>
      <c r="G693" s="92"/>
      <c r="H693" s="92"/>
      <c r="I693" s="93"/>
      <c r="J693" s="93"/>
      <c r="K693" s="93"/>
      <c r="L693" s="100"/>
      <c r="M693" s="100"/>
      <c r="N693" s="93"/>
      <c r="O693" s="93"/>
      <c r="P693" s="93"/>
      <c r="Q693" s="100"/>
      <c r="R693" s="100"/>
    </row>
    <row r="694" spans="2:18">
      <c r="B694" s="92"/>
      <c r="C694" s="92"/>
      <c r="D694" s="92"/>
      <c r="E694" s="92"/>
      <c r="F694" s="92"/>
      <c r="G694" s="92"/>
      <c r="H694" s="92"/>
      <c r="I694" s="93"/>
      <c r="J694" s="93"/>
      <c r="K694" s="93"/>
      <c r="L694" s="100"/>
      <c r="M694" s="100"/>
      <c r="N694" s="93"/>
      <c r="O694" s="93"/>
      <c r="P694" s="93"/>
      <c r="Q694" s="100"/>
      <c r="R694" s="100"/>
    </row>
    <row r="695" spans="2:18">
      <c r="B695" s="92"/>
      <c r="C695" s="92"/>
      <c r="D695" s="92"/>
      <c r="E695" s="92"/>
      <c r="F695" s="92"/>
      <c r="G695" s="92"/>
      <c r="H695" s="92"/>
      <c r="I695" s="93"/>
      <c r="J695" s="93"/>
      <c r="K695" s="93"/>
      <c r="L695" s="100"/>
      <c r="M695" s="100"/>
      <c r="N695" s="93"/>
      <c r="O695" s="93"/>
      <c r="P695" s="93"/>
      <c r="Q695" s="100"/>
      <c r="R695" s="100"/>
    </row>
    <row r="696" spans="2:18">
      <c r="B696" s="92"/>
      <c r="C696" s="92"/>
      <c r="D696" s="92"/>
      <c r="E696" s="92"/>
      <c r="F696" s="92"/>
      <c r="G696" s="92"/>
      <c r="H696" s="92"/>
      <c r="I696" s="93"/>
      <c r="J696" s="93"/>
      <c r="K696" s="93"/>
      <c r="L696" s="100"/>
      <c r="M696" s="100"/>
      <c r="N696" s="93"/>
      <c r="O696" s="93"/>
      <c r="P696" s="93"/>
      <c r="Q696" s="100"/>
      <c r="R696" s="100"/>
    </row>
    <row r="697" spans="2:18">
      <c r="B697" s="92"/>
      <c r="C697" s="92"/>
      <c r="D697" s="92"/>
      <c r="E697" s="92"/>
      <c r="F697" s="92"/>
      <c r="G697" s="92"/>
      <c r="H697" s="92"/>
      <c r="I697" s="93"/>
      <c r="J697" s="93"/>
      <c r="K697" s="93"/>
      <c r="L697" s="100"/>
      <c r="M697" s="100"/>
      <c r="N697" s="93"/>
      <c r="O697" s="93"/>
      <c r="P697" s="93"/>
      <c r="Q697" s="100"/>
      <c r="R697" s="100"/>
    </row>
    <row r="698" spans="2:18">
      <c r="B698" s="92"/>
      <c r="C698" s="92"/>
      <c r="D698" s="92"/>
      <c r="E698" s="92"/>
      <c r="F698" s="92"/>
      <c r="G698" s="92"/>
      <c r="H698" s="92"/>
      <c r="I698" s="93"/>
      <c r="J698" s="93"/>
      <c r="K698" s="93"/>
      <c r="L698" s="100"/>
      <c r="M698" s="100"/>
      <c r="N698" s="93"/>
      <c r="O698" s="93"/>
      <c r="P698" s="93"/>
      <c r="Q698" s="100"/>
      <c r="R698" s="100"/>
    </row>
    <row r="699" spans="2:18">
      <c r="B699" s="92"/>
      <c r="C699" s="92"/>
      <c r="D699" s="92"/>
      <c r="E699" s="92"/>
      <c r="F699" s="92"/>
      <c r="G699" s="92"/>
      <c r="H699" s="92"/>
      <c r="I699" s="93"/>
      <c r="J699" s="93"/>
      <c r="K699" s="93"/>
      <c r="L699" s="100"/>
      <c r="M699" s="100"/>
      <c r="N699" s="93"/>
      <c r="O699" s="93"/>
      <c r="P699" s="93"/>
      <c r="Q699" s="100"/>
      <c r="R699" s="100"/>
    </row>
    <row r="700" spans="2:18">
      <c r="B700" s="92"/>
      <c r="C700" s="92"/>
      <c r="D700" s="92"/>
      <c r="E700" s="92"/>
      <c r="F700" s="92"/>
      <c r="G700" s="92"/>
      <c r="H700" s="92"/>
      <c r="I700" s="93"/>
      <c r="J700" s="93"/>
      <c r="K700" s="93"/>
      <c r="L700" s="100"/>
      <c r="M700" s="100"/>
      <c r="N700" s="93"/>
      <c r="O700" s="93"/>
      <c r="P700" s="93"/>
      <c r="Q700" s="100"/>
      <c r="R700" s="100"/>
    </row>
    <row r="701" spans="2:18">
      <c r="B701" s="92"/>
      <c r="C701" s="92"/>
      <c r="D701" s="92"/>
      <c r="E701" s="92"/>
      <c r="F701" s="92"/>
      <c r="G701" s="92"/>
      <c r="H701" s="92"/>
      <c r="I701" s="93"/>
      <c r="J701" s="93"/>
      <c r="K701" s="93"/>
      <c r="L701" s="100"/>
      <c r="M701" s="100"/>
      <c r="N701" s="93"/>
      <c r="O701" s="93"/>
      <c r="P701" s="93"/>
      <c r="Q701" s="100"/>
      <c r="R701" s="100"/>
    </row>
    <row r="702" spans="2:18">
      <c r="B702" s="92"/>
      <c r="C702" s="92"/>
      <c r="D702" s="92"/>
      <c r="E702" s="92"/>
      <c r="F702" s="92"/>
      <c r="G702" s="92"/>
      <c r="H702" s="92"/>
      <c r="I702" s="93"/>
      <c r="J702" s="93"/>
      <c r="K702" s="93"/>
      <c r="L702" s="100"/>
      <c r="M702" s="100"/>
      <c r="N702" s="93"/>
      <c r="O702" s="93"/>
      <c r="P702" s="93"/>
      <c r="Q702" s="100"/>
      <c r="R702" s="100"/>
    </row>
    <row r="703" spans="2:18">
      <c r="B703" s="92"/>
      <c r="C703" s="92"/>
      <c r="D703" s="92"/>
      <c r="E703" s="92"/>
      <c r="F703" s="92"/>
      <c r="G703" s="92"/>
      <c r="H703" s="92"/>
      <c r="I703" s="93"/>
      <c r="J703" s="93"/>
      <c r="K703" s="93"/>
      <c r="L703" s="100"/>
      <c r="M703" s="100"/>
      <c r="N703" s="93"/>
      <c r="O703" s="93"/>
      <c r="P703" s="93"/>
      <c r="Q703" s="100"/>
      <c r="R703" s="100"/>
    </row>
    <row r="704" spans="2:18">
      <c r="B704" s="92"/>
      <c r="C704" s="92"/>
      <c r="D704" s="92"/>
      <c r="E704" s="92"/>
      <c r="F704" s="92"/>
      <c r="G704" s="92"/>
      <c r="H704" s="92"/>
      <c r="I704" s="93"/>
      <c r="J704" s="93"/>
      <c r="K704" s="93"/>
      <c r="L704" s="100"/>
      <c r="M704" s="100"/>
      <c r="N704" s="93"/>
      <c r="O704" s="93"/>
      <c r="P704" s="93"/>
      <c r="Q704" s="100"/>
      <c r="R704" s="100"/>
    </row>
    <row r="705" spans="2:18">
      <c r="B705" s="92"/>
      <c r="C705" s="92"/>
      <c r="D705" s="92"/>
      <c r="E705" s="92"/>
      <c r="F705" s="92"/>
      <c r="G705" s="92"/>
      <c r="H705" s="92"/>
      <c r="I705" s="93"/>
      <c r="J705" s="93"/>
      <c r="K705" s="93"/>
      <c r="L705" s="100"/>
      <c r="M705" s="100"/>
      <c r="N705" s="93"/>
      <c r="O705" s="93"/>
      <c r="P705" s="93"/>
      <c r="Q705" s="100"/>
      <c r="R705" s="100"/>
    </row>
    <row r="706" spans="2:18">
      <c r="B706" s="92"/>
      <c r="C706" s="92"/>
      <c r="D706" s="92"/>
      <c r="E706" s="92"/>
      <c r="F706" s="92"/>
      <c r="G706" s="92"/>
      <c r="H706" s="92"/>
      <c r="I706" s="93"/>
      <c r="J706" s="93"/>
      <c r="K706" s="93"/>
      <c r="L706" s="100"/>
      <c r="M706" s="100"/>
      <c r="N706" s="93"/>
      <c r="O706" s="93"/>
      <c r="P706" s="93"/>
      <c r="Q706" s="100"/>
      <c r="R706" s="100"/>
    </row>
    <row r="707" spans="2:18">
      <c r="B707" s="92"/>
      <c r="C707" s="92"/>
      <c r="D707" s="92"/>
      <c r="E707" s="92"/>
      <c r="F707" s="92"/>
      <c r="G707" s="92"/>
      <c r="H707" s="92"/>
      <c r="I707" s="93"/>
      <c r="J707" s="93"/>
      <c r="K707" s="93"/>
      <c r="L707" s="100"/>
      <c r="M707" s="100"/>
      <c r="N707" s="93"/>
      <c r="O707" s="93"/>
      <c r="P707" s="93"/>
      <c r="Q707" s="100"/>
      <c r="R707" s="100"/>
    </row>
    <row r="708" spans="2:18">
      <c r="B708" s="92"/>
      <c r="C708" s="92"/>
      <c r="D708" s="92"/>
      <c r="E708" s="92"/>
      <c r="F708" s="92"/>
      <c r="G708" s="92"/>
      <c r="H708" s="92"/>
      <c r="I708" s="93"/>
      <c r="J708" s="93"/>
      <c r="K708" s="93"/>
      <c r="L708" s="100"/>
      <c r="M708" s="100"/>
      <c r="N708" s="93"/>
      <c r="O708" s="93"/>
      <c r="P708" s="93"/>
      <c r="Q708" s="100"/>
      <c r="R708" s="100"/>
    </row>
    <row r="709" spans="2:18">
      <c r="B709" s="92"/>
      <c r="C709" s="92"/>
      <c r="D709" s="92"/>
      <c r="E709" s="92"/>
      <c r="F709" s="92"/>
      <c r="G709" s="92"/>
      <c r="H709" s="92"/>
      <c r="I709" s="93"/>
      <c r="J709" s="93"/>
      <c r="K709" s="93"/>
      <c r="L709" s="100"/>
      <c r="M709" s="100"/>
      <c r="N709" s="93"/>
      <c r="O709" s="93"/>
      <c r="P709" s="93"/>
      <c r="Q709" s="100"/>
      <c r="R709" s="100"/>
    </row>
    <row r="710" spans="2:18">
      <c r="B710" s="92"/>
      <c r="C710" s="92"/>
      <c r="D710" s="92"/>
      <c r="E710" s="92"/>
      <c r="F710" s="92"/>
      <c r="G710" s="92"/>
      <c r="H710" s="92"/>
      <c r="I710" s="93"/>
      <c r="J710" s="93"/>
      <c r="K710" s="93"/>
      <c r="L710" s="100"/>
      <c r="M710" s="100"/>
      <c r="N710" s="93"/>
      <c r="O710" s="93"/>
      <c r="P710" s="93"/>
      <c r="Q710" s="100"/>
      <c r="R710" s="100"/>
    </row>
    <row r="711" spans="2:18">
      <c r="B711" s="92"/>
      <c r="C711" s="92"/>
      <c r="D711" s="92"/>
      <c r="E711" s="92"/>
      <c r="F711" s="92"/>
      <c r="G711" s="92"/>
      <c r="H711" s="92"/>
      <c r="I711" s="93"/>
      <c r="J711" s="93"/>
      <c r="K711" s="93"/>
      <c r="L711" s="100"/>
      <c r="M711" s="100"/>
      <c r="N711" s="93"/>
      <c r="O711" s="93"/>
      <c r="P711" s="93"/>
      <c r="Q711" s="100"/>
      <c r="R711" s="100"/>
    </row>
    <row r="712" spans="2:18">
      <c r="B712" s="92"/>
      <c r="C712" s="92"/>
      <c r="D712" s="92"/>
      <c r="E712" s="92"/>
      <c r="F712" s="92"/>
      <c r="G712" s="92"/>
      <c r="H712" s="92"/>
      <c r="I712" s="93"/>
      <c r="J712" s="93"/>
      <c r="K712" s="93"/>
      <c r="L712" s="100"/>
      <c r="M712" s="100"/>
      <c r="N712" s="93"/>
      <c r="O712" s="93"/>
      <c r="P712" s="93"/>
      <c r="Q712" s="100"/>
      <c r="R712" s="100"/>
    </row>
    <row r="713" spans="2:18">
      <c r="B713" s="92"/>
      <c r="C713" s="92"/>
      <c r="D713" s="92"/>
      <c r="E713" s="92"/>
      <c r="F713" s="92"/>
      <c r="G713" s="92"/>
      <c r="H713" s="92"/>
      <c r="I713" s="93"/>
      <c r="J713" s="93"/>
      <c r="K713" s="93"/>
      <c r="L713" s="100"/>
      <c r="M713" s="100"/>
      <c r="N713" s="93"/>
      <c r="O713" s="93"/>
      <c r="P713" s="93"/>
      <c r="Q713" s="100"/>
      <c r="R713" s="100"/>
    </row>
    <row r="714" spans="2:18">
      <c r="B714" s="92"/>
      <c r="C714" s="92"/>
      <c r="D714" s="92"/>
      <c r="E714" s="92"/>
      <c r="F714" s="92"/>
      <c r="G714" s="92"/>
      <c r="H714" s="92"/>
      <c r="I714" s="93"/>
      <c r="J714" s="93"/>
      <c r="K714" s="93"/>
      <c r="L714" s="100"/>
      <c r="M714" s="100"/>
      <c r="N714" s="93"/>
      <c r="O714" s="93"/>
      <c r="P714" s="93"/>
      <c r="Q714" s="100"/>
      <c r="R714" s="100"/>
    </row>
    <row r="715" spans="2:18">
      <c r="B715" s="92"/>
      <c r="C715" s="92"/>
      <c r="D715" s="92"/>
      <c r="E715" s="92"/>
      <c r="F715" s="92"/>
      <c r="G715" s="92"/>
      <c r="H715" s="92"/>
      <c r="I715" s="93"/>
      <c r="J715" s="93"/>
      <c r="K715" s="93"/>
      <c r="L715" s="100"/>
      <c r="M715" s="100"/>
      <c r="N715" s="93"/>
      <c r="O715" s="93"/>
      <c r="P715" s="93"/>
      <c r="Q715" s="100"/>
      <c r="R715" s="100"/>
    </row>
    <row r="716" spans="2:18">
      <c r="B716" s="92"/>
      <c r="C716" s="92"/>
      <c r="D716" s="92"/>
      <c r="E716" s="92"/>
      <c r="F716" s="92"/>
      <c r="G716" s="92"/>
      <c r="H716" s="92"/>
      <c r="I716" s="93"/>
      <c r="J716" s="93"/>
      <c r="K716" s="93"/>
      <c r="L716" s="100"/>
      <c r="M716" s="100"/>
      <c r="N716" s="93"/>
      <c r="O716" s="93"/>
      <c r="P716" s="93"/>
      <c r="Q716" s="100"/>
      <c r="R716" s="100"/>
    </row>
    <row r="717" spans="2:18">
      <c r="B717" s="92"/>
      <c r="C717" s="92"/>
      <c r="D717" s="92"/>
      <c r="E717" s="92"/>
      <c r="F717" s="92"/>
      <c r="G717" s="92"/>
      <c r="H717" s="92"/>
      <c r="I717" s="93"/>
      <c r="J717" s="93"/>
      <c r="K717" s="93"/>
      <c r="L717" s="100"/>
      <c r="M717" s="100"/>
      <c r="N717" s="93"/>
      <c r="O717" s="93"/>
      <c r="P717" s="93"/>
      <c r="Q717" s="100"/>
      <c r="R717" s="100"/>
    </row>
    <row r="718" spans="2:18">
      <c r="B718" s="92"/>
      <c r="C718" s="92"/>
      <c r="D718" s="92"/>
      <c r="E718" s="92"/>
      <c r="F718" s="92"/>
      <c r="G718" s="92"/>
      <c r="H718" s="92"/>
      <c r="I718" s="93"/>
      <c r="J718" s="93"/>
      <c r="K718" s="93"/>
      <c r="L718" s="100"/>
      <c r="M718" s="100"/>
      <c r="N718" s="93"/>
      <c r="O718" s="93"/>
      <c r="P718" s="93"/>
      <c r="Q718" s="100"/>
      <c r="R718" s="100"/>
    </row>
    <row r="719" spans="2:18">
      <c r="B719" s="92"/>
      <c r="C719" s="92"/>
      <c r="D719" s="92"/>
      <c r="E719" s="92"/>
      <c r="F719" s="92"/>
      <c r="G719" s="92"/>
      <c r="H719" s="92"/>
      <c r="I719" s="93"/>
      <c r="J719" s="93"/>
      <c r="K719" s="93"/>
      <c r="L719" s="100"/>
      <c r="M719" s="100"/>
      <c r="N719" s="93"/>
      <c r="O719" s="93"/>
      <c r="P719" s="93"/>
      <c r="Q719" s="100"/>
      <c r="R719" s="100"/>
    </row>
    <row r="720" spans="2:18">
      <c r="B720" s="92"/>
      <c r="C720" s="92"/>
      <c r="D720" s="92"/>
      <c r="E720" s="92"/>
      <c r="F720" s="92"/>
      <c r="G720" s="92"/>
      <c r="H720" s="92"/>
      <c r="I720" s="93"/>
      <c r="J720" s="93"/>
      <c r="K720" s="93"/>
      <c r="L720" s="100"/>
      <c r="M720" s="100"/>
      <c r="N720" s="93"/>
      <c r="O720" s="93"/>
      <c r="P720" s="93"/>
      <c r="Q720" s="100"/>
      <c r="R720" s="100"/>
    </row>
    <row r="721" spans="2:18">
      <c r="B721" s="92"/>
      <c r="C721" s="92"/>
      <c r="D721" s="92"/>
      <c r="E721" s="92"/>
      <c r="F721" s="92"/>
      <c r="G721" s="92"/>
      <c r="H721" s="92"/>
      <c r="I721" s="93"/>
      <c r="J721" s="93"/>
      <c r="K721" s="93"/>
      <c r="L721" s="100"/>
      <c r="M721" s="100"/>
      <c r="N721" s="93"/>
      <c r="O721" s="93"/>
      <c r="P721" s="93"/>
      <c r="Q721" s="100"/>
      <c r="R721" s="100"/>
    </row>
    <row r="722" spans="2:18">
      <c r="B722" s="92"/>
      <c r="C722" s="92"/>
      <c r="D722" s="92"/>
      <c r="E722" s="92"/>
      <c r="F722" s="92"/>
      <c r="G722" s="92"/>
      <c r="H722" s="92"/>
      <c r="I722" s="93"/>
      <c r="J722" s="93"/>
      <c r="K722" s="93"/>
      <c r="L722" s="100"/>
      <c r="M722" s="100"/>
      <c r="N722" s="93"/>
      <c r="O722" s="93"/>
      <c r="P722" s="93"/>
      <c r="Q722" s="100"/>
      <c r="R722" s="100"/>
    </row>
    <row r="723" spans="2:18">
      <c r="B723" s="92"/>
      <c r="C723" s="92"/>
      <c r="D723" s="92"/>
      <c r="E723" s="92"/>
      <c r="F723" s="92"/>
      <c r="G723" s="92"/>
      <c r="H723" s="92"/>
      <c r="I723" s="93"/>
      <c r="J723" s="93"/>
      <c r="K723" s="93"/>
      <c r="L723" s="100"/>
      <c r="M723" s="100"/>
      <c r="N723" s="93"/>
      <c r="O723" s="93"/>
      <c r="P723" s="93"/>
      <c r="Q723" s="100"/>
      <c r="R723" s="100"/>
    </row>
    <row r="724" spans="2:18">
      <c r="B724" s="92"/>
      <c r="C724" s="92"/>
      <c r="D724" s="92"/>
      <c r="E724" s="92"/>
      <c r="F724" s="92"/>
      <c r="G724" s="92"/>
      <c r="H724" s="92"/>
      <c r="I724" s="93"/>
      <c r="J724" s="93"/>
      <c r="K724" s="93"/>
      <c r="L724" s="100"/>
      <c r="M724" s="100"/>
      <c r="N724" s="93"/>
      <c r="O724" s="93"/>
      <c r="P724" s="93"/>
      <c r="Q724" s="100"/>
      <c r="R724" s="100"/>
    </row>
    <row r="725" spans="2:18">
      <c r="B725" s="92"/>
      <c r="C725" s="92"/>
      <c r="D725" s="92"/>
      <c r="E725" s="92"/>
      <c r="F725" s="92"/>
      <c r="G725" s="92"/>
      <c r="H725" s="92"/>
      <c r="I725" s="93"/>
      <c r="J725" s="93"/>
      <c r="K725" s="93"/>
      <c r="L725" s="100"/>
      <c r="M725" s="100"/>
      <c r="N725" s="93"/>
      <c r="O725" s="93"/>
      <c r="P725" s="93"/>
      <c r="Q725" s="100"/>
      <c r="R725" s="100"/>
    </row>
    <row r="726" spans="2:18">
      <c r="B726" s="92"/>
      <c r="C726" s="92"/>
      <c r="D726" s="92"/>
      <c r="E726" s="92"/>
      <c r="F726" s="92"/>
      <c r="G726" s="92"/>
      <c r="H726" s="92"/>
      <c r="I726" s="93"/>
      <c r="J726" s="93"/>
      <c r="K726" s="93"/>
      <c r="L726" s="100"/>
      <c r="M726" s="100"/>
      <c r="N726" s="93"/>
      <c r="O726" s="93"/>
      <c r="P726" s="93"/>
      <c r="Q726" s="100"/>
      <c r="R726" s="100"/>
    </row>
    <row r="727" spans="2:18">
      <c r="B727" s="92"/>
      <c r="C727" s="92"/>
      <c r="D727" s="92"/>
      <c r="E727" s="92"/>
      <c r="F727" s="92"/>
      <c r="G727" s="92"/>
      <c r="H727" s="92"/>
      <c r="I727" s="93"/>
      <c r="J727" s="93"/>
      <c r="K727" s="93"/>
      <c r="L727" s="100"/>
      <c r="M727" s="100"/>
      <c r="N727" s="93"/>
      <c r="O727" s="93"/>
      <c r="P727" s="93"/>
      <c r="Q727" s="100"/>
      <c r="R727" s="100"/>
    </row>
    <row r="728" spans="2:18">
      <c r="B728" s="92"/>
      <c r="C728" s="92"/>
      <c r="D728" s="92"/>
      <c r="E728" s="92"/>
      <c r="F728" s="92"/>
      <c r="G728" s="92"/>
      <c r="H728" s="92"/>
      <c r="I728" s="93"/>
      <c r="J728" s="93"/>
      <c r="K728" s="93"/>
      <c r="L728" s="100"/>
      <c r="M728" s="100"/>
      <c r="N728" s="93"/>
      <c r="O728" s="93"/>
      <c r="P728" s="93"/>
      <c r="Q728" s="100"/>
      <c r="R728" s="100"/>
    </row>
    <row r="729" spans="2:18">
      <c r="B729" s="92"/>
      <c r="C729" s="92"/>
      <c r="D729" s="92"/>
      <c r="E729" s="92"/>
      <c r="F729" s="92"/>
      <c r="G729" s="92"/>
      <c r="H729" s="92"/>
      <c r="I729" s="93"/>
      <c r="J729" s="93"/>
      <c r="K729" s="93"/>
      <c r="L729" s="100"/>
      <c r="M729" s="100"/>
      <c r="N729" s="93"/>
      <c r="O729" s="93"/>
      <c r="P729" s="93"/>
      <c r="Q729" s="100"/>
      <c r="R729" s="100"/>
    </row>
    <row r="730" spans="2:18">
      <c r="B730" s="92"/>
      <c r="C730" s="92"/>
      <c r="D730" s="92"/>
      <c r="E730" s="92"/>
      <c r="F730" s="92"/>
      <c r="G730" s="92"/>
      <c r="H730" s="92"/>
      <c r="I730" s="93"/>
      <c r="J730" s="93"/>
      <c r="K730" s="93"/>
      <c r="L730" s="100"/>
      <c r="M730" s="100"/>
      <c r="N730" s="93"/>
      <c r="O730" s="93"/>
      <c r="P730" s="93"/>
      <c r="Q730" s="100"/>
      <c r="R730" s="100"/>
    </row>
    <row r="731" spans="2:18">
      <c r="B731" s="92"/>
      <c r="C731" s="92"/>
      <c r="D731" s="92"/>
      <c r="E731" s="92"/>
      <c r="F731" s="92"/>
      <c r="G731" s="92"/>
      <c r="H731" s="92"/>
      <c r="I731" s="93"/>
      <c r="J731" s="93"/>
      <c r="K731" s="93"/>
      <c r="L731" s="100"/>
      <c r="M731" s="100"/>
      <c r="N731" s="93"/>
      <c r="O731" s="93"/>
      <c r="P731" s="93"/>
      <c r="Q731" s="100"/>
      <c r="R731" s="100"/>
    </row>
    <row r="732" spans="2:18">
      <c r="B732" s="92"/>
      <c r="C732" s="92"/>
      <c r="D732" s="92"/>
      <c r="E732" s="92"/>
      <c r="F732" s="92"/>
      <c r="G732" s="92"/>
      <c r="H732" s="92"/>
      <c r="I732" s="93"/>
      <c r="J732" s="93"/>
      <c r="K732" s="93"/>
      <c r="L732" s="100"/>
      <c r="M732" s="100"/>
      <c r="N732" s="93"/>
      <c r="O732" s="93"/>
      <c r="P732" s="93"/>
      <c r="Q732" s="100"/>
      <c r="R732" s="100"/>
    </row>
    <row r="733" spans="2:18">
      <c r="B733" s="92"/>
      <c r="C733" s="92"/>
      <c r="D733" s="92"/>
      <c r="E733" s="92"/>
      <c r="F733" s="92"/>
      <c r="G733" s="92"/>
      <c r="H733" s="92"/>
      <c r="I733" s="93"/>
      <c r="J733" s="93"/>
      <c r="K733" s="93"/>
      <c r="L733" s="100"/>
      <c r="M733" s="100"/>
      <c r="N733" s="93"/>
      <c r="O733" s="93"/>
      <c r="P733" s="93"/>
      <c r="Q733" s="100"/>
      <c r="R733" s="100"/>
    </row>
    <row r="734" spans="2:18">
      <c r="B734" s="92"/>
      <c r="C734" s="92"/>
      <c r="D734" s="92"/>
      <c r="E734" s="92"/>
      <c r="F734" s="92"/>
      <c r="G734" s="92"/>
      <c r="H734" s="92"/>
      <c r="I734" s="93"/>
      <c r="J734" s="93"/>
      <c r="K734" s="93"/>
      <c r="L734" s="100"/>
      <c r="M734" s="100"/>
      <c r="N734" s="93"/>
      <c r="O734" s="93"/>
      <c r="P734" s="93"/>
      <c r="Q734" s="100"/>
      <c r="R734" s="100"/>
    </row>
    <row r="735" spans="2:18">
      <c r="B735" s="92"/>
      <c r="C735" s="92"/>
      <c r="D735" s="92"/>
      <c r="E735" s="92"/>
      <c r="F735" s="92"/>
      <c r="G735" s="92"/>
      <c r="H735" s="92"/>
      <c r="I735" s="93"/>
      <c r="J735" s="93"/>
      <c r="K735" s="93"/>
      <c r="L735" s="100"/>
      <c r="M735" s="100"/>
      <c r="N735" s="93"/>
      <c r="O735" s="93"/>
      <c r="P735" s="93"/>
      <c r="Q735" s="100"/>
      <c r="R735" s="100"/>
    </row>
    <row r="736" spans="2:18">
      <c r="B736" s="92"/>
      <c r="C736" s="92"/>
      <c r="D736" s="92"/>
      <c r="E736" s="92"/>
      <c r="F736" s="92"/>
      <c r="G736" s="92"/>
      <c r="H736" s="92"/>
      <c r="I736" s="93"/>
      <c r="J736" s="93"/>
      <c r="K736" s="93"/>
      <c r="L736" s="100"/>
      <c r="M736" s="100"/>
      <c r="N736" s="93"/>
      <c r="O736" s="93"/>
      <c r="P736" s="93"/>
      <c r="Q736" s="100"/>
      <c r="R736" s="100"/>
    </row>
    <row r="737" spans="2:18">
      <c r="B737" s="92"/>
      <c r="C737" s="92"/>
      <c r="D737" s="92"/>
      <c r="E737" s="92"/>
      <c r="F737" s="92"/>
      <c r="G737" s="92"/>
      <c r="H737" s="92"/>
      <c r="I737" s="93"/>
      <c r="J737" s="93"/>
      <c r="K737" s="93"/>
      <c r="L737" s="100"/>
      <c r="M737" s="100"/>
      <c r="N737" s="93"/>
      <c r="O737" s="93"/>
      <c r="P737" s="93"/>
      <c r="Q737" s="100"/>
      <c r="R737" s="100"/>
    </row>
  </sheetData>
  <autoFilter ref="B5:R737" xr:uid="{53871679-05B3-4EC8-96FB-D0F96F400FF4}"/>
  <sortState xmlns:xlrd2="http://schemas.microsoft.com/office/spreadsheetml/2017/richdata2" ref="B6:R35">
    <sortCondition ref="B6:B35"/>
  </sortState>
  <mergeCells count="2">
    <mergeCell ref="I4:M4"/>
    <mergeCell ref="N4:R4"/>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887DD7-67E7-4593-8EAE-F4D4E40D74B0}">
  <sheetPr codeName="Sheet12">
    <tabColor rgb="FFFFC000"/>
  </sheetPr>
  <dimension ref="B1:AD37"/>
  <sheetViews>
    <sheetView zoomScale="90" zoomScaleNormal="100" workbookViewId="0">
      <selection activeCell="C26" sqref="C26"/>
    </sheetView>
  </sheetViews>
  <sheetFormatPr defaultColWidth="8.86328125" defaultRowHeight="14.75"/>
  <cols>
    <col min="1" max="1" width="8.86328125" style="65"/>
    <col min="2" max="2" width="15.76953125" style="84" bestFit="1" customWidth="1"/>
    <col min="3" max="3" width="15.2265625" style="84" bestFit="1" customWidth="1"/>
    <col min="4" max="4" width="12.31640625" style="87" bestFit="1" customWidth="1"/>
    <col min="5" max="8" width="12.54296875" style="87" bestFit="1" customWidth="1"/>
    <col min="9" max="9" width="12.86328125" style="87" bestFit="1" customWidth="1"/>
    <col min="10" max="10" width="6.453125" style="87" bestFit="1" customWidth="1"/>
    <col min="11" max="11" width="14.453125" style="87" bestFit="1" customWidth="1"/>
    <col min="12" max="12" width="11.76953125" style="87" bestFit="1" customWidth="1"/>
    <col min="13" max="13" width="12.86328125" style="87" bestFit="1" customWidth="1"/>
    <col min="14" max="14" width="4" style="87" customWidth="1"/>
    <col min="15" max="15" width="14.453125" style="87" bestFit="1" customWidth="1"/>
    <col min="16" max="16" width="11.76953125" style="87" bestFit="1" customWidth="1"/>
    <col min="17" max="17" width="12.86328125" style="87" bestFit="1" customWidth="1"/>
    <col min="18" max="18" width="6.453125" style="87" bestFit="1" customWidth="1"/>
    <col min="19" max="19" width="13" style="87" bestFit="1" customWidth="1"/>
    <col min="20" max="20" width="14.6796875" style="87" bestFit="1" customWidth="1"/>
    <col min="21" max="22" width="14.453125" style="87" bestFit="1" customWidth="1"/>
    <col min="23" max="23" width="11.76953125" style="87" bestFit="1" customWidth="1"/>
    <col min="24" max="24" width="12.86328125" style="87" bestFit="1" customWidth="1"/>
    <col min="25" max="25" width="6.453125" style="87" bestFit="1" customWidth="1"/>
    <col min="26" max="26" width="13" style="87" bestFit="1" customWidth="1"/>
    <col min="27" max="27" width="14.6796875" style="87" bestFit="1" customWidth="1"/>
    <col min="28" max="29" width="14.453125" style="87" bestFit="1" customWidth="1"/>
    <col min="30" max="30" width="11.76953125" style="87" bestFit="1" customWidth="1"/>
    <col min="31" max="593" width="8.86328125" style="65" customWidth="1"/>
    <col min="594" max="16384" width="8.86328125" style="65"/>
  </cols>
  <sheetData>
    <row r="1" spans="2:30">
      <c r="B1" s="77"/>
      <c r="C1" s="68"/>
      <c r="D1" s="68"/>
      <c r="E1" s="68"/>
      <c r="F1" s="68"/>
      <c r="G1" s="68"/>
      <c r="H1" s="68"/>
      <c r="I1" s="68"/>
      <c r="J1" s="68"/>
      <c r="K1" s="68"/>
      <c r="L1" s="68"/>
      <c r="M1" s="68"/>
      <c r="N1" s="68"/>
    </row>
    <row r="2" spans="2:30" ht="18.5">
      <c r="B2" s="85" t="s">
        <v>0</v>
      </c>
      <c r="D2" s="68"/>
      <c r="E2" s="68"/>
      <c r="F2" s="68"/>
      <c r="G2" s="68"/>
      <c r="H2" s="68"/>
      <c r="I2" s="68"/>
      <c r="J2" s="68"/>
      <c r="K2" s="68"/>
      <c r="L2" s="68"/>
      <c r="M2" s="68"/>
      <c r="N2" s="68"/>
      <c r="O2" s="90" t="s">
        <v>1</v>
      </c>
      <c r="P2" s="90" t="s">
        <v>2</v>
      </c>
      <c r="Q2" s="68"/>
      <c r="R2" s="68"/>
      <c r="S2" s="68"/>
      <c r="T2" s="68"/>
      <c r="U2" s="68"/>
      <c r="V2" s="68"/>
      <c r="W2" s="68"/>
      <c r="X2" s="68"/>
      <c r="Y2" s="68"/>
      <c r="Z2" s="68"/>
      <c r="AA2" s="68"/>
      <c r="AB2" s="68"/>
      <c r="AC2" s="68"/>
      <c r="AD2" s="68"/>
    </row>
    <row r="3" spans="2:30">
      <c r="B3" s="195" t="s">
        <v>509</v>
      </c>
      <c r="F3" s="68"/>
      <c r="G3" s="68"/>
      <c r="H3" s="68"/>
      <c r="I3" s="346" t="s">
        <v>60</v>
      </c>
      <c r="J3" s="346"/>
      <c r="K3" s="346"/>
      <c r="L3" s="346"/>
      <c r="M3" s="346"/>
      <c r="N3" s="346"/>
      <c r="O3" s="346"/>
      <c r="P3" s="346"/>
      <c r="Q3" s="347" t="s">
        <v>61</v>
      </c>
      <c r="R3" s="347"/>
      <c r="S3" s="347"/>
      <c r="T3" s="347"/>
      <c r="U3" s="347"/>
      <c r="V3" s="347"/>
      <c r="W3" s="347"/>
      <c r="X3" s="347"/>
      <c r="Y3" s="347"/>
      <c r="Z3" s="347"/>
      <c r="AA3" s="347"/>
      <c r="AB3" s="347"/>
      <c r="AC3" s="347"/>
      <c r="AD3" s="347"/>
    </row>
    <row r="4" spans="2:30" ht="14.9" customHeight="1">
      <c r="B4" s="92"/>
      <c r="C4" s="92"/>
      <c r="D4" s="93"/>
      <c r="E4" s="93"/>
      <c r="F4" s="93"/>
      <c r="G4" s="93"/>
      <c r="H4" s="93"/>
      <c r="I4" s="348" t="s">
        <v>199</v>
      </c>
      <c r="J4" s="348"/>
      <c r="K4" s="348"/>
      <c r="L4" s="348"/>
      <c r="M4" s="349" t="s">
        <v>184</v>
      </c>
      <c r="N4" s="350"/>
      <c r="O4" s="350"/>
      <c r="P4" s="351"/>
      <c r="Q4" s="344" t="s">
        <v>199</v>
      </c>
      <c r="R4" s="344"/>
      <c r="S4" s="344"/>
      <c r="T4" s="344"/>
      <c r="U4" s="344"/>
      <c r="V4" s="344"/>
      <c r="W4" s="344"/>
      <c r="X4" s="345" t="s">
        <v>184</v>
      </c>
      <c r="Y4" s="345"/>
      <c r="Z4" s="345"/>
      <c r="AA4" s="345"/>
      <c r="AB4" s="345"/>
      <c r="AC4" s="345"/>
      <c r="AD4" s="345"/>
    </row>
    <row r="5" spans="2:30" ht="14.9" customHeight="1">
      <c r="B5" s="16" t="s">
        <v>40</v>
      </c>
      <c r="C5" s="16" t="s">
        <v>9</v>
      </c>
      <c r="D5" s="13" t="s">
        <v>10</v>
      </c>
      <c r="E5" s="13" t="s">
        <v>57</v>
      </c>
      <c r="F5" s="13" t="s">
        <v>58</v>
      </c>
      <c r="G5" s="13" t="s">
        <v>54</v>
      </c>
      <c r="H5" s="13" t="s">
        <v>55</v>
      </c>
      <c r="I5" s="185" t="s">
        <v>3</v>
      </c>
      <c r="J5" s="185" t="s">
        <v>5</v>
      </c>
      <c r="K5" s="185" t="s">
        <v>1</v>
      </c>
      <c r="L5" s="185" t="s">
        <v>2</v>
      </c>
      <c r="M5" s="186" t="s">
        <v>3</v>
      </c>
      <c r="N5" s="186" t="s">
        <v>5</v>
      </c>
      <c r="O5" s="186" t="s">
        <v>1</v>
      </c>
      <c r="P5" s="186" t="s">
        <v>2</v>
      </c>
      <c r="Q5" s="188" t="s">
        <v>3</v>
      </c>
      <c r="R5" s="188" t="s">
        <v>5</v>
      </c>
      <c r="S5" s="188" t="s">
        <v>4</v>
      </c>
      <c r="T5" s="188" t="s">
        <v>7</v>
      </c>
      <c r="U5" s="188" t="s">
        <v>8</v>
      </c>
      <c r="V5" s="188" t="s">
        <v>1</v>
      </c>
      <c r="W5" s="188" t="s">
        <v>2</v>
      </c>
      <c r="X5" s="187" t="s">
        <v>3</v>
      </c>
      <c r="Y5" s="187" t="s">
        <v>5</v>
      </c>
      <c r="Z5" s="187" t="s">
        <v>4</v>
      </c>
      <c r="AA5" s="187" t="s">
        <v>7</v>
      </c>
      <c r="AB5" s="187" t="s">
        <v>8</v>
      </c>
      <c r="AC5" s="187" t="s">
        <v>1</v>
      </c>
      <c r="AD5" s="187" t="s">
        <v>2</v>
      </c>
    </row>
    <row r="6" spans="2:30">
      <c r="B6" s="12" t="s">
        <v>204</v>
      </c>
      <c r="C6" s="12" t="s">
        <v>464</v>
      </c>
      <c r="D6" s="12" t="s">
        <v>28</v>
      </c>
      <c r="E6" s="12">
        <v>3.2864</v>
      </c>
      <c r="F6" s="12">
        <v>0</v>
      </c>
      <c r="G6" s="12">
        <v>4.0434000000000001</v>
      </c>
      <c r="H6" s="12">
        <v>0</v>
      </c>
      <c r="I6" s="18" cm="1">
        <f t="array" ref="I6">INDEX(Factors!$M$24:$M$31,MATCH(1,("D17"=Factors!$J$24:$J$31)*(D6=Factors!$K$24:$K$31)*(3=Factors!$L$24:$L$31),0))</f>
        <v>35.14</v>
      </c>
      <c r="J6" s="19" cm="1">
        <f t="array" ref="J6">INDEX(Factors!$O$24:$O$31,MATCH(1,("D17"=Factors!$J$24:$J$31)*(D6=Factors!$K$24:$K$31)*(3=Factors!$L$24:$L$31),0))</f>
        <v>2.2909999999999999</v>
      </c>
      <c r="K6" s="18">
        <f t="shared" ref="K6:K37" si="0">($I6-J6*(E6+F6))*ECCF*MetroESS</f>
        <v>29.267509056000005</v>
      </c>
      <c r="L6" s="18">
        <f t="shared" ref="L6:L37" si="1">($I6-J6*(E6+F6))*ECCF*RegionalESS</f>
        <v>30.145534327680007</v>
      </c>
      <c r="M6" s="18" cm="1">
        <f t="array" ref="M6">INDEX(Factors!$M$24:$M$31,MATCH(1,("D17"=Factors!$J$24:$J$31)*('ESS NEW'!D6=Factors!$K$24:$K$31)*(5=Factors!$L$24:$L$31),0))</f>
        <v>38.49</v>
      </c>
      <c r="N6" s="19" cm="1">
        <f t="array" ref="N6">INDEX(Factors!$O$24:$O$31,MATCH(1,("D17"=Factors!$J$24:$J$31)*('ESS NEW'!D6=Factors!$K$24:$K$31)*(5=Factors!$L$24:$L$31),0))</f>
        <v>2.31</v>
      </c>
      <c r="O6" s="18">
        <f t="shared" ref="O6:O37" si="2">(M6-N6*(G6+H6))*ECCF*MetroESS</f>
        <v>30.898730760000003</v>
      </c>
      <c r="P6" s="18">
        <f t="shared" ref="P6:P37" si="3">(M6-N6*(G6+H6))*ECCF*RegionalESS</f>
        <v>31.825692682800003</v>
      </c>
      <c r="Q6" s="18" cm="1">
        <f t="array" ref="Q6">INDEX(Factors!$M$24:$M$31,MATCH(1,("D19"=Factors!$J$24:$J$31)*('ESS NEW'!D6=Factors!$K$24:$K$31)*(3=Factors!$L$24:$L$31),0))</f>
        <v>0.57999999999999996</v>
      </c>
      <c r="R6" s="18" cm="1">
        <f t="array" ref="R6">INDEX(Factors!$O$24:$O$31,MATCH(1,("D19"=Factors!$J$24:$J$31)*('ESS NEW'!D6=Factors!$K$24:$K$31)*(3=Factors!$L$24:$L$31),0))</f>
        <v>2.2909999999999999</v>
      </c>
      <c r="S6" s="18" cm="1">
        <f t="array" ref="S6">INDEX(Factors!$N$24:$N$31,MATCH(1,("D19"=Factors!$J$24:$J$31)*('ESS NEW'!D6=Factors!$K$24:$K$31)*(3=Factors!$L$24:$L$31),0))</f>
        <v>47.337000000000003</v>
      </c>
      <c r="T6" s="18">
        <f t="shared" ref="T6" si="4">$Q6-R6*(E6+F6)</f>
        <v>-6.9491423999999995</v>
      </c>
      <c r="U6" s="18">
        <f t="shared" ref="U6:U37" si="5">$S6</f>
        <v>47.337000000000003</v>
      </c>
      <c r="V6" s="18">
        <f t="shared" ref="V6" si="6">T6*MetroESS*ECCF+U6*GCCF</f>
        <v>14.882299056000001</v>
      </c>
      <c r="W6" s="18">
        <f t="shared" ref="W6" si="7">(T6*ECCF*RegionalESS+U6*GCCF)</f>
        <v>14.661316327680002</v>
      </c>
      <c r="X6" s="18" cm="1">
        <f t="array" ref="X6">INDEX(Factors!$M$24:$M$31,MATCH(1,("D19"=Factors!$J$24:$J$31)*('ESS NEW'!D6=Factors!$K$24:$K$31)*(5=Factors!$L$24:$L$31),0))</f>
        <v>0.57999999999999996</v>
      </c>
      <c r="Y6" s="18" cm="1">
        <f t="array" ref="Y6">INDEX(Factors!$O$24:$O$31,MATCH(1,("D19"=Factors!$J$24:$J$31)*('ESS NEW'!D6=Factors!$K$24:$K$31)*(5=Factors!$L$24:$L$31),0))</f>
        <v>2.31</v>
      </c>
      <c r="Z6" s="18" cm="1">
        <f t="array" ref="Z6">INDEX(Factors!$N$24:$N$31,MATCH(1,("D19"=Factors!$J$24:$J$31)*('ESS NEW'!D6=Factors!$K$24:$K$31)*(5=Factors!$L$24:$L$31),0))</f>
        <v>52.75</v>
      </c>
      <c r="AA6" s="18">
        <f t="shared" ref="AA6" si="8">$Q6-Y6*(G6+H6)</f>
        <v>-8.7602539999999998</v>
      </c>
      <c r="AB6" s="18">
        <f t="shared" ref="AB6" si="9">Z6</f>
        <v>52.75</v>
      </c>
      <c r="AC6" s="18">
        <f t="shared" ref="AC6" si="10">AA6*MetroESS*ECCF+AB6*GCCF</f>
        <v>15.506630759999997</v>
      </c>
      <c r="AD6" s="18">
        <f t="shared" ref="AD6" si="11">MAX(AA6*ECCF*RegionalESS+AB6*GCCF,0)</f>
        <v>15.228054682799996</v>
      </c>
    </row>
    <row r="7" spans="2:30">
      <c r="B7" s="12" t="s">
        <v>204</v>
      </c>
      <c r="C7" s="12" t="s">
        <v>449</v>
      </c>
      <c r="D7" s="12" t="s">
        <v>28</v>
      </c>
      <c r="E7" s="12">
        <v>4.117</v>
      </c>
      <c r="F7" s="12">
        <v>0</v>
      </c>
      <c r="G7" s="12">
        <v>5.1029999999999998</v>
      </c>
      <c r="H7" s="12">
        <v>0</v>
      </c>
      <c r="I7" s="18" cm="1">
        <f t="array" ref="I7">INDEX(Factors!$M$24:$M$31,MATCH(1,("D17"=Factors!$J$24:$J$31)*(D7=Factors!$K$24:$K$31)*(3=Factors!$L$24:$L$31),0))</f>
        <v>35.14</v>
      </c>
      <c r="J7" s="19" cm="1">
        <f t="array" ref="J7">INDEX(Factors!$O$24:$O$31,MATCH(1,("D17"=Factors!$J$24:$J$31)*(D7=Factors!$K$24:$K$31)*(3=Factors!$L$24:$L$31),0))</f>
        <v>2.2909999999999999</v>
      </c>
      <c r="K7" s="18">
        <f t="shared" si="0"/>
        <v>27.250430180000006</v>
      </c>
      <c r="L7" s="18">
        <f t="shared" si="1"/>
        <v>28.067943085400007</v>
      </c>
      <c r="M7" s="18" cm="1">
        <f t="array" ref="M7">INDEX(Factors!$M$24:$M$31,MATCH(1,("D17"=Factors!$J$24:$J$31)*('ESS NEW'!D21=Factors!$K$24:$K$31)*(5=Factors!$L$24:$L$31),0))</f>
        <v>38.49</v>
      </c>
      <c r="N7" s="19" cm="1">
        <f t="array" ref="N7">INDEX(Factors!$O$24:$O$31,MATCH(1,("D17"=Factors!$J$24:$J$31)*('ESS NEW'!D21=Factors!$K$24:$K$31)*(5=Factors!$L$24:$L$31),0))</f>
        <v>2.31</v>
      </c>
      <c r="O7" s="18">
        <f t="shared" si="2"/>
        <v>28.304194200000005</v>
      </c>
      <c r="P7" s="18">
        <f t="shared" si="3"/>
        <v>29.153320026000006</v>
      </c>
      <c r="Q7" s="18" cm="1">
        <f t="array" ref="Q7">INDEX(Factors!$M$24:$M$31,MATCH(1,("D19"=Factors!$J$24:$J$31)*('ESS NEW'!D7=Factors!$K$24:$K$31)*(3=Factors!$L$24:$L$31),0))</f>
        <v>0.57999999999999996</v>
      </c>
      <c r="R7" s="18" cm="1">
        <f t="array" ref="R7">INDEX(Factors!$O$24:$O$31,MATCH(1,("D19"=Factors!$J$24:$J$31)*('ESS NEW'!D7=Factors!$K$24:$K$31)*(3=Factors!$L$24:$L$31),0))</f>
        <v>2.2909999999999999</v>
      </c>
      <c r="S7" s="18" cm="1">
        <f t="array" ref="S7">INDEX(Factors!$N$24:$N$31,MATCH(1,("D19"=Factors!$J$24:$J$31)*('ESS NEW'!D7=Factors!$K$24:$K$31)*(3=Factors!$L$24:$L$31),0))</f>
        <v>47.337000000000003</v>
      </c>
      <c r="T7" s="18">
        <f t="shared" ref="T7:T37" si="12">$Q7-R7*(E7+F7)</f>
        <v>-8.8520469999999989</v>
      </c>
      <c r="U7" s="18">
        <f t="shared" si="5"/>
        <v>47.337000000000003</v>
      </c>
      <c r="V7" s="18">
        <f t="shared" ref="V7:V37" si="13">T7*MetroESS*ECCF+U7*GCCF</f>
        <v>12.865220180000001</v>
      </c>
      <c r="W7" s="18">
        <f t="shared" ref="W7:W37" si="14">(T7*ECCF*RegionalESS+U7*GCCF)</f>
        <v>12.583725085400001</v>
      </c>
      <c r="X7" s="18" cm="1">
        <f t="array" ref="X7">INDEX(Factors!$M$24:$M$31,MATCH(1,("D19"=Factors!$J$24:$J$31)*('ESS NEW'!D7=Factors!$K$24:$K$31)*(5=Factors!$L$24:$L$31),0))</f>
        <v>0.57999999999999996</v>
      </c>
      <c r="Y7" s="18" cm="1">
        <f t="array" ref="Y7">INDEX(Factors!$O$24:$O$31,MATCH(1,("D19"=Factors!$J$24:$J$31)*('ESS NEW'!D7=Factors!$K$24:$K$31)*(5=Factors!$L$24:$L$31),0))</f>
        <v>2.31</v>
      </c>
      <c r="Z7" s="18" cm="1">
        <f t="array" ref="Z7">INDEX(Factors!$N$24:$N$31,MATCH(1,("D19"=Factors!$J$24:$J$31)*('ESS NEW'!D7=Factors!$K$24:$K$31)*(5=Factors!$L$24:$L$31),0))</f>
        <v>52.75</v>
      </c>
      <c r="AA7" s="18">
        <f t="shared" ref="AA7:AA37" si="15">$Q7-Y7*(G7+H7)</f>
        <v>-11.207929999999999</v>
      </c>
      <c r="AB7" s="18">
        <f t="shared" ref="AB7:AB37" si="16">Z7</f>
        <v>52.75</v>
      </c>
      <c r="AC7" s="18">
        <f t="shared" ref="AC7:AC37" si="17">AA7*MetroESS*ECCF+AB7*GCCF</f>
        <v>12.912094199999997</v>
      </c>
      <c r="AD7" s="18">
        <f t="shared" ref="AD7:AD37" si="18">MAX(AA7*ECCF*RegionalESS+AB7*GCCF,0)</f>
        <v>12.555682025999996</v>
      </c>
    </row>
    <row r="8" spans="2:30">
      <c r="B8" s="12" t="s">
        <v>204</v>
      </c>
      <c r="C8" s="12" t="s">
        <v>206</v>
      </c>
      <c r="D8" s="12" t="s">
        <v>28</v>
      </c>
      <c r="E8" s="12">
        <v>3.2593999999999999</v>
      </c>
      <c r="F8" s="12">
        <v>0</v>
      </c>
      <c r="G8" s="12">
        <v>3.9660000000000002</v>
      </c>
      <c r="H8" s="12">
        <v>0</v>
      </c>
      <c r="I8" s="18" cm="1">
        <f t="array" ref="I8">INDEX(Factors!$M$24:$M$31,MATCH(1,("D17"=Factors!$J$24:$J$31)*(D8=Factors!$K$24:$K$31)*(3=Factors!$L$24:$L$31),0))</f>
        <v>35.14</v>
      </c>
      <c r="J8" s="19" cm="1">
        <f t="array" ref="J8">INDEX(Factors!$O$24:$O$31,MATCH(1,("D17"=Factors!$J$24:$J$31)*(D8=Factors!$K$24:$K$31)*(3=Factors!$L$24:$L$31),0))</f>
        <v>2.2909999999999999</v>
      </c>
      <c r="K8" s="18">
        <f t="shared" si="0"/>
        <v>29.333077476</v>
      </c>
      <c r="L8" s="18">
        <f t="shared" si="1"/>
        <v>30.21306980028</v>
      </c>
      <c r="M8" s="18" cm="1">
        <f t="array" ref="M8">INDEX(Factors!$M$24:$M$31,MATCH(1,("D17"=Factors!$J$24:$J$31)*('ESS NEW'!D24=Factors!$K$24:$K$31)*(5=Factors!$L$24:$L$31),0))</f>
        <v>38.49</v>
      </c>
      <c r="N8" s="19" cm="1">
        <f t="array" ref="N8">INDEX(Factors!$O$24:$O$31,MATCH(1,("D17"=Factors!$J$24:$J$31)*('ESS NEW'!D24=Factors!$K$24:$K$31)*(5=Factors!$L$24:$L$31),0))</f>
        <v>2.31</v>
      </c>
      <c r="O8" s="18">
        <f t="shared" si="2"/>
        <v>31.088252400000005</v>
      </c>
      <c r="P8" s="18">
        <f t="shared" si="3"/>
        <v>32.020899972000009</v>
      </c>
      <c r="Q8" s="18" cm="1">
        <f t="array" ref="Q8">INDEX(Factors!$M$24:$M$31,MATCH(1,("D19"=Factors!$J$24:$J$31)*('ESS NEW'!D8=Factors!$K$24:$K$31)*(3=Factors!$L$24:$L$31),0))</f>
        <v>0.57999999999999996</v>
      </c>
      <c r="R8" s="18" cm="1">
        <f t="array" ref="R8">INDEX(Factors!$O$24:$O$31,MATCH(1,("D19"=Factors!$J$24:$J$31)*('ESS NEW'!D8=Factors!$K$24:$K$31)*(3=Factors!$L$24:$L$31),0))</f>
        <v>2.2909999999999999</v>
      </c>
      <c r="S8" s="18" cm="1">
        <f t="array" ref="S8">INDEX(Factors!$N$24:$N$31,MATCH(1,("D19"=Factors!$J$24:$J$31)*('ESS NEW'!D8=Factors!$K$24:$K$31)*(3=Factors!$L$24:$L$31),0))</f>
        <v>47.337000000000003</v>
      </c>
      <c r="T8" s="18">
        <f t="shared" si="12"/>
        <v>-6.8872853999999997</v>
      </c>
      <c r="U8" s="18">
        <f t="shared" si="5"/>
        <v>47.337000000000003</v>
      </c>
      <c r="V8" s="18">
        <f t="shared" si="13"/>
        <v>14.947867476000001</v>
      </c>
      <c r="W8" s="18">
        <f t="shared" si="14"/>
        <v>14.728851800280001</v>
      </c>
      <c r="X8" s="18" cm="1">
        <f t="array" ref="X8">INDEX(Factors!$M$24:$M$31,MATCH(1,("D19"=Factors!$J$24:$J$31)*('ESS NEW'!D8=Factors!$K$24:$K$31)*(5=Factors!$L$24:$L$31),0))</f>
        <v>0.57999999999999996</v>
      </c>
      <c r="Y8" s="18" cm="1">
        <f t="array" ref="Y8">INDEX(Factors!$O$24:$O$31,MATCH(1,("D19"=Factors!$J$24:$J$31)*('ESS NEW'!D8=Factors!$K$24:$K$31)*(5=Factors!$L$24:$L$31),0))</f>
        <v>2.31</v>
      </c>
      <c r="Z8" s="18" cm="1">
        <f t="array" ref="Z8">INDEX(Factors!$N$24:$N$31,MATCH(1,("D19"=Factors!$J$24:$J$31)*('ESS NEW'!D8=Factors!$K$24:$K$31)*(5=Factors!$L$24:$L$31),0))</f>
        <v>52.75</v>
      </c>
      <c r="AA8" s="18">
        <f t="shared" si="15"/>
        <v>-8.5814599999999999</v>
      </c>
      <c r="AB8" s="18">
        <f t="shared" si="16"/>
        <v>52.75</v>
      </c>
      <c r="AC8" s="18">
        <f t="shared" si="17"/>
        <v>15.696152399999997</v>
      </c>
      <c r="AD8" s="18">
        <f t="shared" si="18"/>
        <v>15.423261971999997</v>
      </c>
    </row>
    <row r="9" spans="2:30">
      <c r="B9" s="12" t="s">
        <v>204</v>
      </c>
      <c r="C9" s="12" t="s">
        <v>205</v>
      </c>
      <c r="D9" s="12" t="s">
        <v>28</v>
      </c>
      <c r="E9" s="12">
        <v>3.4940000000000002</v>
      </c>
      <c r="F9" s="12">
        <v>0</v>
      </c>
      <c r="G9" s="12">
        <v>4.3470000000000004</v>
      </c>
      <c r="H9" s="12">
        <v>0</v>
      </c>
      <c r="I9" s="18" cm="1">
        <f t="array" ref="I9">INDEX(Factors!$M$24:$M$31,MATCH(1,("D17"=Factors!$J$24:$J$31)*(D9=Factors!$K$24:$K$31)*(3=Factors!$L$24:$L$31),0))</f>
        <v>35.14</v>
      </c>
      <c r="J9" s="19" cm="1">
        <f t="array" ref="J9">INDEX(Factors!$O$24:$O$31,MATCH(1,("D17"=Factors!$J$24:$J$31)*(D9=Factors!$K$24:$K$31)*(3=Factors!$L$24:$L$31),0))</f>
        <v>2.2909999999999999</v>
      </c>
      <c r="K9" s="18">
        <f t="shared" si="0"/>
        <v>28.763360760000005</v>
      </c>
      <c r="L9" s="18">
        <f t="shared" si="1"/>
        <v>29.626261582800005</v>
      </c>
      <c r="M9" s="18" cm="1">
        <f t="array" ref="M9">INDEX(Factors!$M$24:$M$31,MATCH(1,("D17"=Factors!$J$24:$J$31)*('ESS NEW'!D25=Factors!$K$24:$K$31)*(5=Factors!$L$24:$L$31),0))</f>
        <v>38.49</v>
      </c>
      <c r="N9" s="19" cm="1">
        <f t="array" ref="N9">INDEX(Factors!$O$24:$O$31,MATCH(1,("D17"=Factors!$J$24:$J$31)*('ESS NEW'!D25=Factors!$K$24:$K$31)*(5=Factors!$L$24:$L$31),0))</f>
        <v>2.31</v>
      </c>
      <c r="O9" s="18">
        <f t="shared" si="2"/>
        <v>30.155335800000003</v>
      </c>
      <c r="P9" s="18">
        <f t="shared" si="3"/>
        <v>31.059995874000006</v>
      </c>
      <c r="Q9" s="18" cm="1">
        <f t="array" ref="Q9">INDEX(Factors!$M$24:$M$31,MATCH(1,("D19"=Factors!$J$24:$J$31)*('ESS NEW'!D9=Factors!$K$24:$K$31)*(3=Factors!$L$24:$L$31),0))</f>
        <v>0.57999999999999996</v>
      </c>
      <c r="R9" s="18" cm="1">
        <f t="array" ref="R9">INDEX(Factors!$O$24:$O$31,MATCH(1,("D19"=Factors!$J$24:$J$31)*('ESS NEW'!D9=Factors!$K$24:$K$31)*(3=Factors!$L$24:$L$31),0))</f>
        <v>2.2909999999999999</v>
      </c>
      <c r="S9" s="18" cm="1">
        <f t="array" ref="S9">INDEX(Factors!$N$24:$N$31,MATCH(1,("D19"=Factors!$J$24:$J$31)*('ESS NEW'!D9=Factors!$K$24:$K$31)*(3=Factors!$L$24:$L$31),0))</f>
        <v>47.337000000000003</v>
      </c>
      <c r="T9" s="18">
        <f t="shared" si="12"/>
        <v>-7.4247540000000001</v>
      </c>
      <c r="U9" s="18">
        <f t="shared" si="5"/>
        <v>47.337000000000003</v>
      </c>
      <c r="V9" s="18">
        <f t="shared" si="13"/>
        <v>14.37815076</v>
      </c>
      <c r="W9" s="18">
        <f t="shared" si="14"/>
        <v>14.1420435828</v>
      </c>
      <c r="X9" s="18" cm="1">
        <f t="array" ref="X9">INDEX(Factors!$M$24:$M$31,MATCH(1,("D19"=Factors!$J$24:$J$31)*('ESS NEW'!D9=Factors!$K$24:$K$31)*(5=Factors!$L$24:$L$31),0))</f>
        <v>0.57999999999999996</v>
      </c>
      <c r="Y9" s="18" cm="1">
        <f t="array" ref="Y9">INDEX(Factors!$O$24:$O$31,MATCH(1,("D19"=Factors!$J$24:$J$31)*('ESS NEW'!D9=Factors!$K$24:$K$31)*(5=Factors!$L$24:$L$31),0))</f>
        <v>2.31</v>
      </c>
      <c r="Z9" s="18" cm="1">
        <f t="array" ref="Z9">INDEX(Factors!$N$24:$N$31,MATCH(1,("D19"=Factors!$J$24:$J$31)*('ESS NEW'!D9=Factors!$K$24:$K$31)*(5=Factors!$L$24:$L$31),0))</f>
        <v>52.75</v>
      </c>
      <c r="AA9" s="18">
        <f t="shared" si="15"/>
        <v>-9.4615700000000018</v>
      </c>
      <c r="AB9" s="18">
        <f t="shared" si="16"/>
        <v>52.75</v>
      </c>
      <c r="AC9" s="18">
        <f t="shared" si="17"/>
        <v>14.763235799999995</v>
      </c>
      <c r="AD9" s="18">
        <f t="shared" si="18"/>
        <v>14.462357873999995</v>
      </c>
    </row>
    <row r="10" spans="2:30">
      <c r="B10" s="12" t="s">
        <v>204</v>
      </c>
      <c r="C10" s="12" t="s">
        <v>465</v>
      </c>
      <c r="D10" s="12" t="s">
        <v>28</v>
      </c>
      <c r="E10" s="12">
        <v>3.2343000000000002</v>
      </c>
      <c r="F10" s="12">
        <v>0</v>
      </c>
      <c r="G10" s="12">
        <v>3.8873000000000002</v>
      </c>
      <c r="H10" s="12">
        <v>0</v>
      </c>
      <c r="I10" s="18" cm="1">
        <f t="array" ref="I10">INDEX(Factors!$M$24:$M$31,MATCH(1,("D17"=Factors!$J$24:$J$31)*(D10=Factors!$K$24:$K$31)*(3=Factors!$L$24:$L$31),0))</f>
        <v>35.14</v>
      </c>
      <c r="J10" s="19" cm="1">
        <f t="array" ref="J10">INDEX(Factors!$O$24:$O$31,MATCH(1,("D17"=Factors!$J$24:$J$31)*(D10=Factors!$K$24:$K$31)*(3=Factors!$L$24:$L$31),0))</f>
        <v>2.2909999999999999</v>
      </c>
      <c r="K10" s="18">
        <f t="shared" si="0"/>
        <v>29.394031822000002</v>
      </c>
      <c r="L10" s="18">
        <f t="shared" si="1"/>
        <v>30.275852776660003</v>
      </c>
      <c r="M10" s="18" cm="1">
        <f t="array" ref="M10">INDEX(Factors!$M$24:$M$31,MATCH(1,("D17"=Factors!$J$24:$J$31)*('ESS NEW'!D26=Factors!$K$24:$K$31)*(5=Factors!$L$24:$L$31),0))</f>
        <v>38.49</v>
      </c>
      <c r="N10" s="19" cm="1">
        <f t="array" ref="N10">INDEX(Factors!$O$24:$O$31,MATCH(1,("D17"=Factors!$J$24:$J$31)*('ESS NEW'!D26=Factors!$K$24:$K$31)*(5=Factors!$L$24:$L$31),0))</f>
        <v>2.31</v>
      </c>
      <c r="O10" s="18">
        <f t="shared" si="2"/>
        <v>31.280957220000001</v>
      </c>
      <c r="P10" s="18">
        <f t="shared" si="3"/>
        <v>32.219385936600005</v>
      </c>
      <c r="Q10" s="18" cm="1">
        <f t="array" ref="Q10">INDEX(Factors!$M$24:$M$31,MATCH(1,("D19"=Factors!$J$24:$J$31)*('ESS NEW'!D10=Factors!$K$24:$K$31)*(3=Factors!$L$24:$L$31),0))</f>
        <v>0.57999999999999996</v>
      </c>
      <c r="R10" s="18" cm="1">
        <f t="array" ref="R10">INDEX(Factors!$O$24:$O$31,MATCH(1,("D19"=Factors!$J$24:$J$31)*('ESS NEW'!D10=Factors!$K$24:$K$31)*(3=Factors!$L$24:$L$31),0))</f>
        <v>2.2909999999999999</v>
      </c>
      <c r="S10" s="18" cm="1">
        <f t="array" ref="S10">INDEX(Factors!$N$24:$N$31,MATCH(1,("D19"=Factors!$J$24:$J$31)*('ESS NEW'!D10=Factors!$K$24:$K$31)*(3=Factors!$L$24:$L$31),0))</f>
        <v>47.337000000000003</v>
      </c>
      <c r="T10" s="18">
        <f t="shared" si="12"/>
        <v>-6.8297813000000005</v>
      </c>
      <c r="U10" s="18">
        <f t="shared" si="5"/>
        <v>47.337000000000003</v>
      </c>
      <c r="V10" s="18">
        <f t="shared" si="13"/>
        <v>15.008821822</v>
      </c>
      <c r="W10" s="18">
        <f t="shared" si="14"/>
        <v>14.79163477666</v>
      </c>
      <c r="X10" s="18" cm="1">
        <f t="array" ref="X10">INDEX(Factors!$M$24:$M$31,MATCH(1,("D19"=Factors!$J$24:$J$31)*('ESS NEW'!D10=Factors!$K$24:$K$31)*(5=Factors!$L$24:$L$31),0))</f>
        <v>0.57999999999999996</v>
      </c>
      <c r="Y10" s="18" cm="1">
        <f t="array" ref="Y10">INDEX(Factors!$O$24:$O$31,MATCH(1,("D19"=Factors!$J$24:$J$31)*('ESS NEW'!D10=Factors!$K$24:$K$31)*(5=Factors!$L$24:$L$31),0))</f>
        <v>2.31</v>
      </c>
      <c r="Z10" s="18" cm="1">
        <f t="array" ref="Z10">INDEX(Factors!$N$24:$N$31,MATCH(1,("D19"=Factors!$J$24:$J$31)*('ESS NEW'!D10=Factors!$K$24:$K$31)*(5=Factors!$L$24:$L$31),0))</f>
        <v>52.75</v>
      </c>
      <c r="AA10" s="18">
        <f t="shared" si="15"/>
        <v>-8.3996630000000003</v>
      </c>
      <c r="AB10" s="18">
        <f t="shared" si="16"/>
        <v>52.75</v>
      </c>
      <c r="AC10" s="18">
        <f t="shared" si="17"/>
        <v>15.888857219999997</v>
      </c>
      <c r="AD10" s="18">
        <f t="shared" si="18"/>
        <v>15.621747936599997</v>
      </c>
    </row>
    <row r="11" spans="2:30">
      <c r="B11" s="12" t="s">
        <v>204</v>
      </c>
      <c r="C11" s="12" t="s">
        <v>466</v>
      </c>
      <c r="D11" s="12" t="s">
        <v>28</v>
      </c>
      <c r="E11" s="12">
        <v>3.6537000000000002</v>
      </c>
      <c r="F11" s="12">
        <v>0</v>
      </c>
      <c r="G11" s="12">
        <v>4.5834999999999999</v>
      </c>
      <c r="H11" s="12">
        <v>0</v>
      </c>
      <c r="I11" s="18" cm="1">
        <f t="array" ref="I11">INDEX(Factors!$M$24:$M$31,MATCH(1,("D17"=Factors!$J$24:$J$31)*(D11=Factors!$K$24:$K$31)*(3=Factors!$L$24:$L$31),0))</f>
        <v>35.14</v>
      </c>
      <c r="J11" s="19" cm="1">
        <f t="array" ref="J11">INDEX(Factors!$O$24:$O$31,MATCH(1,("D17"=Factors!$J$24:$J$31)*(D11=Factors!$K$24:$K$31)*(3=Factors!$L$24:$L$31),0))</f>
        <v>2.2909999999999999</v>
      </c>
      <c r="K11" s="18">
        <f t="shared" si="0"/>
        <v>28.375535698</v>
      </c>
      <c r="L11" s="18">
        <f t="shared" si="1"/>
        <v>29.22680176894</v>
      </c>
      <c r="M11" s="18" cm="1">
        <f t="array" ref="M11">INDEX(Factors!$M$24:$M$31,MATCH(1,("D17"=Factors!$J$24:$J$31)*('ESS NEW'!D27=Factors!$K$24:$K$31)*(5=Factors!$L$24:$L$31),0))</f>
        <v>38.49</v>
      </c>
      <c r="N11" s="19" cm="1">
        <f t="array" ref="N11">INDEX(Factors!$O$24:$O$31,MATCH(1,("D17"=Factors!$J$24:$J$31)*('ESS NEW'!D27=Factors!$K$24:$K$31)*(5=Factors!$L$24:$L$31),0))</f>
        <v>2.31</v>
      </c>
      <c r="O11" s="18">
        <f t="shared" si="2"/>
        <v>29.576241900000003</v>
      </c>
      <c r="P11" s="18">
        <f t="shared" si="3"/>
        <v>30.463529157000004</v>
      </c>
      <c r="Q11" s="18" cm="1">
        <f t="array" ref="Q11">INDEX(Factors!$M$24:$M$31,MATCH(1,("D19"=Factors!$J$24:$J$31)*('ESS NEW'!D11=Factors!$K$24:$K$31)*(3=Factors!$L$24:$L$31),0))</f>
        <v>0.57999999999999996</v>
      </c>
      <c r="R11" s="18" cm="1">
        <f t="array" ref="R11">INDEX(Factors!$O$24:$O$31,MATCH(1,("D19"=Factors!$J$24:$J$31)*('ESS NEW'!D11=Factors!$K$24:$K$31)*(3=Factors!$L$24:$L$31),0))</f>
        <v>2.2909999999999999</v>
      </c>
      <c r="S11" s="18" cm="1">
        <f t="array" ref="S11">INDEX(Factors!$N$24:$N$31,MATCH(1,("D19"=Factors!$J$24:$J$31)*('ESS NEW'!D11=Factors!$K$24:$K$31)*(3=Factors!$L$24:$L$31),0))</f>
        <v>47.337000000000003</v>
      </c>
      <c r="T11" s="18">
        <f t="shared" si="12"/>
        <v>-7.7906267000000007</v>
      </c>
      <c r="U11" s="18">
        <f t="shared" si="5"/>
        <v>47.337000000000003</v>
      </c>
      <c r="V11" s="18">
        <f t="shared" si="13"/>
        <v>13.990325697999999</v>
      </c>
      <c r="W11" s="18">
        <f t="shared" si="14"/>
        <v>13.742583768939999</v>
      </c>
      <c r="X11" s="18" cm="1">
        <f t="array" ref="X11">INDEX(Factors!$M$24:$M$31,MATCH(1,("D19"=Factors!$J$24:$J$31)*('ESS NEW'!D11=Factors!$K$24:$K$31)*(5=Factors!$L$24:$L$31),0))</f>
        <v>0.57999999999999996</v>
      </c>
      <c r="Y11" s="18" cm="1">
        <f t="array" ref="Y11">INDEX(Factors!$O$24:$O$31,MATCH(1,("D19"=Factors!$J$24:$J$31)*('ESS NEW'!D11=Factors!$K$24:$K$31)*(5=Factors!$L$24:$L$31),0))</f>
        <v>2.31</v>
      </c>
      <c r="Z11" s="18" cm="1">
        <f t="array" ref="Z11">INDEX(Factors!$N$24:$N$31,MATCH(1,("D19"=Factors!$J$24:$J$31)*('ESS NEW'!D11=Factors!$K$24:$K$31)*(5=Factors!$L$24:$L$31),0))</f>
        <v>52.75</v>
      </c>
      <c r="AA11" s="18">
        <f t="shared" si="15"/>
        <v>-10.007885</v>
      </c>
      <c r="AB11" s="18">
        <f t="shared" si="16"/>
        <v>52.75</v>
      </c>
      <c r="AC11" s="18">
        <f t="shared" si="17"/>
        <v>14.184141899999997</v>
      </c>
      <c r="AD11" s="18">
        <f t="shared" si="18"/>
        <v>13.865891156999997</v>
      </c>
    </row>
    <row r="12" spans="2:30">
      <c r="B12" s="12" t="s">
        <v>204</v>
      </c>
      <c r="C12" s="12" t="s">
        <v>462</v>
      </c>
      <c r="D12" s="12" t="s">
        <v>28</v>
      </c>
      <c r="E12" s="12">
        <v>3.7269999999999999</v>
      </c>
      <c r="F12" s="12">
        <v>0</v>
      </c>
      <c r="G12" s="12">
        <v>4.7557999999999998</v>
      </c>
      <c r="H12" s="12">
        <v>0</v>
      </c>
      <c r="I12" s="18" cm="1">
        <f t="array" ref="I12">INDEX(Factors!$M$24:$M$31,MATCH(1,("D17"=Factors!$J$24:$J$31)*(D12=Factors!$K$24:$K$31)*(3=Factors!$L$24:$L$31),0))</f>
        <v>35.14</v>
      </c>
      <c r="J12" s="19" cm="1">
        <f t="array" ref="J12">INDEX(Factors!$O$24:$O$31,MATCH(1,("D17"=Factors!$J$24:$J$31)*(D12=Factors!$K$24:$K$31)*(3=Factors!$L$24:$L$31),0))</f>
        <v>2.2909999999999999</v>
      </c>
      <c r="K12" s="18">
        <f t="shared" si="0"/>
        <v>28.197529580000005</v>
      </c>
      <c r="L12" s="18">
        <f t="shared" si="1"/>
        <v>29.043455467400005</v>
      </c>
      <c r="M12" s="18" cm="1">
        <f t="array" ref="M12">INDEX(Factors!$M$24:$M$31,MATCH(1,("D17"=Factors!$J$24:$J$31)*('ESS NEW'!D28=Factors!$K$24:$K$31)*(5=Factors!$L$24:$L$31),0))</f>
        <v>38.49</v>
      </c>
      <c r="N12" s="19" cm="1">
        <f t="array" ref="N12">INDEX(Factors!$O$24:$O$31,MATCH(1,("D17"=Factors!$J$24:$J$31)*('ESS NEW'!D28=Factors!$K$24:$K$31)*(5=Factors!$L$24:$L$31),0))</f>
        <v>2.31</v>
      </c>
      <c r="O12" s="18">
        <f t="shared" si="2"/>
        <v>29.154348120000005</v>
      </c>
      <c r="P12" s="18">
        <f t="shared" si="3"/>
        <v>30.028978563600006</v>
      </c>
      <c r="Q12" s="18" cm="1">
        <f t="array" ref="Q12">INDEX(Factors!$M$24:$M$31,MATCH(1,("D19"=Factors!$J$24:$J$31)*('ESS NEW'!D12=Factors!$K$24:$K$31)*(3=Factors!$L$24:$L$31),0))</f>
        <v>0.57999999999999996</v>
      </c>
      <c r="R12" s="18" cm="1">
        <f t="array" ref="R12">INDEX(Factors!$O$24:$O$31,MATCH(1,("D19"=Factors!$J$24:$J$31)*('ESS NEW'!D12=Factors!$K$24:$K$31)*(3=Factors!$L$24:$L$31),0))</f>
        <v>2.2909999999999999</v>
      </c>
      <c r="S12" s="18" cm="1">
        <f t="array" ref="S12">INDEX(Factors!$N$24:$N$31,MATCH(1,("D19"=Factors!$J$24:$J$31)*('ESS NEW'!D12=Factors!$K$24:$K$31)*(3=Factors!$L$24:$L$31),0))</f>
        <v>47.337000000000003</v>
      </c>
      <c r="T12" s="18">
        <f t="shared" si="12"/>
        <v>-7.958556999999999</v>
      </c>
      <c r="U12" s="18">
        <f t="shared" si="5"/>
        <v>47.337000000000003</v>
      </c>
      <c r="V12" s="18">
        <f t="shared" si="13"/>
        <v>13.81231958</v>
      </c>
      <c r="W12" s="18">
        <f t="shared" si="14"/>
        <v>13.559237467400001</v>
      </c>
      <c r="X12" s="18" cm="1">
        <f t="array" ref="X12">INDEX(Factors!$M$24:$M$31,MATCH(1,("D19"=Factors!$J$24:$J$31)*('ESS NEW'!D12=Factors!$K$24:$K$31)*(5=Factors!$L$24:$L$31),0))</f>
        <v>0.57999999999999996</v>
      </c>
      <c r="Y12" s="18" cm="1">
        <f t="array" ref="Y12">INDEX(Factors!$O$24:$O$31,MATCH(1,("D19"=Factors!$J$24:$J$31)*('ESS NEW'!D12=Factors!$K$24:$K$31)*(5=Factors!$L$24:$L$31),0))</f>
        <v>2.31</v>
      </c>
      <c r="Z12" s="18" cm="1">
        <f t="array" ref="Z12">INDEX(Factors!$N$24:$N$31,MATCH(1,("D19"=Factors!$J$24:$J$31)*('ESS NEW'!D12=Factors!$K$24:$K$31)*(5=Factors!$L$24:$L$31),0))</f>
        <v>52.75</v>
      </c>
      <c r="AA12" s="18">
        <f t="shared" si="15"/>
        <v>-10.405898000000001</v>
      </c>
      <c r="AB12" s="18">
        <f t="shared" si="16"/>
        <v>52.75</v>
      </c>
      <c r="AC12" s="18">
        <f t="shared" si="17"/>
        <v>13.762248119999995</v>
      </c>
      <c r="AD12" s="18">
        <f t="shared" si="18"/>
        <v>13.431340563599996</v>
      </c>
    </row>
    <row r="13" spans="2:30">
      <c r="B13" s="12" t="s">
        <v>204</v>
      </c>
      <c r="C13" s="12" t="s">
        <v>207</v>
      </c>
      <c r="D13" s="12" t="s">
        <v>28</v>
      </c>
      <c r="E13" s="12">
        <v>2.7795999999999998</v>
      </c>
      <c r="F13" s="12">
        <v>0</v>
      </c>
      <c r="G13" s="12">
        <v>3.4546000000000001</v>
      </c>
      <c r="H13" s="12">
        <v>0</v>
      </c>
      <c r="I13" s="18" cm="1">
        <f t="array" ref="I13">INDEX(Factors!$M$24:$M$31,MATCH(1,("D17"=Factors!$J$24:$J$31)*(D13=Factors!$K$24:$K$31)*(3=Factors!$L$24:$L$31),0))</f>
        <v>35.14</v>
      </c>
      <c r="J13" s="19" cm="1">
        <f t="array" ref="J13">INDEX(Factors!$O$24:$O$31,MATCH(1,("D17"=Factors!$J$24:$J$31)*(D13=Factors!$K$24:$K$31)*(3=Factors!$L$24:$L$31),0))</f>
        <v>2.2909999999999999</v>
      </c>
      <c r="K13" s="18">
        <f t="shared" si="0"/>
        <v>30.498252584000003</v>
      </c>
      <c r="L13" s="18">
        <f t="shared" si="1"/>
        <v>31.413200161520002</v>
      </c>
      <c r="M13" s="18" cm="1">
        <f t="array" ref="M13">INDEX(Factors!$M$24:$M$31,MATCH(1,("D17"=Factors!$J$24:$J$31)*('ESS NEW'!D29=Factors!$K$24:$K$31)*(5=Factors!$L$24:$L$31),0))</f>
        <v>38.49</v>
      </c>
      <c r="N13" s="19" cm="1">
        <f t="array" ref="N13">INDEX(Factors!$O$24:$O$31,MATCH(1,("D17"=Factors!$J$24:$J$31)*('ESS NEW'!D29=Factors!$K$24:$K$31)*(5=Factors!$L$24:$L$31),0))</f>
        <v>2.31</v>
      </c>
      <c r="O13" s="18">
        <f t="shared" si="2"/>
        <v>32.340466440000007</v>
      </c>
      <c r="P13" s="18">
        <f t="shared" si="3"/>
        <v>33.310680433200005</v>
      </c>
      <c r="Q13" s="18" cm="1">
        <f t="array" ref="Q13">INDEX(Factors!$M$24:$M$31,MATCH(1,("D19"=Factors!$J$24:$J$31)*('ESS NEW'!D13=Factors!$K$24:$K$31)*(3=Factors!$L$24:$L$31),0))</f>
        <v>0.57999999999999996</v>
      </c>
      <c r="R13" s="18" cm="1">
        <f t="array" ref="R13">INDEX(Factors!$O$24:$O$31,MATCH(1,("D19"=Factors!$J$24:$J$31)*('ESS NEW'!D13=Factors!$K$24:$K$31)*(3=Factors!$L$24:$L$31),0))</f>
        <v>2.2909999999999999</v>
      </c>
      <c r="S13" s="18" cm="1">
        <f t="array" ref="S13">INDEX(Factors!$N$24:$N$31,MATCH(1,("D19"=Factors!$J$24:$J$31)*('ESS NEW'!D13=Factors!$K$24:$K$31)*(3=Factors!$L$24:$L$31),0))</f>
        <v>47.337000000000003</v>
      </c>
      <c r="T13" s="18">
        <f t="shared" si="12"/>
        <v>-5.7880635999999992</v>
      </c>
      <c r="U13" s="18">
        <f t="shared" si="5"/>
        <v>47.337000000000003</v>
      </c>
      <c r="V13" s="18">
        <f t="shared" si="13"/>
        <v>16.113042584000002</v>
      </c>
      <c r="W13" s="18">
        <f t="shared" si="14"/>
        <v>15.92898216152</v>
      </c>
      <c r="X13" s="18" cm="1">
        <f t="array" ref="X13">INDEX(Factors!$M$24:$M$31,MATCH(1,("D19"=Factors!$J$24:$J$31)*('ESS NEW'!D13=Factors!$K$24:$K$31)*(5=Factors!$L$24:$L$31),0))</f>
        <v>0.57999999999999996</v>
      </c>
      <c r="Y13" s="18" cm="1">
        <f t="array" ref="Y13">INDEX(Factors!$O$24:$O$31,MATCH(1,("D19"=Factors!$J$24:$J$31)*('ESS NEW'!D13=Factors!$K$24:$K$31)*(5=Factors!$L$24:$L$31),0))</f>
        <v>2.31</v>
      </c>
      <c r="Z13" s="18" cm="1">
        <f t="array" ref="Z13">INDEX(Factors!$N$24:$N$31,MATCH(1,("D19"=Factors!$J$24:$J$31)*('ESS NEW'!D13=Factors!$K$24:$K$31)*(5=Factors!$L$24:$L$31),0))</f>
        <v>52.75</v>
      </c>
      <c r="AA13" s="18">
        <f t="shared" si="15"/>
        <v>-7.4001260000000002</v>
      </c>
      <c r="AB13" s="18">
        <f t="shared" si="16"/>
        <v>52.75</v>
      </c>
      <c r="AC13" s="18">
        <f t="shared" si="17"/>
        <v>16.948366439999997</v>
      </c>
      <c r="AD13" s="18">
        <f t="shared" si="18"/>
        <v>16.713042433199995</v>
      </c>
    </row>
    <row r="14" spans="2:30">
      <c r="B14" s="12" t="s">
        <v>204</v>
      </c>
      <c r="C14" s="12" t="s">
        <v>461</v>
      </c>
      <c r="D14" s="12" t="s">
        <v>28</v>
      </c>
      <c r="E14" s="12">
        <v>3.65</v>
      </c>
      <c r="F14" s="12">
        <v>0</v>
      </c>
      <c r="G14" s="12">
        <v>4.5140000000000002</v>
      </c>
      <c r="H14" s="12">
        <v>0</v>
      </c>
      <c r="I14" s="18" cm="1">
        <f t="array" ref="I14">INDEX(Factors!$M$24:$M$31,MATCH(1,("D17"=Factors!$J$24:$J$31)*(D14=Factors!$K$24:$K$31)*(3=Factors!$L$24:$L$31),0))</f>
        <v>35.14</v>
      </c>
      <c r="J14" s="19" cm="1">
        <f t="array" ref="J14">INDEX(Factors!$O$24:$O$31,MATCH(1,("D17"=Factors!$J$24:$J$31)*(D14=Factors!$K$24:$K$31)*(3=Factors!$L$24:$L$31),0))</f>
        <v>2.2909999999999999</v>
      </c>
      <c r="K14" s="18">
        <f t="shared" si="0"/>
        <v>28.384521000000003</v>
      </c>
      <c r="L14" s="18">
        <f t="shared" si="1"/>
        <v>29.236056630000004</v>
      </c>
      <c r="M14" s="18" cm="1">
        <f t="array" ref="M14">INDEX(Factors!$M$24:$M$31,MATCH(1,("D17"=Factors!$J$24:$J$31)*('ESS NEW'!D30=Factors!$K$24:$K$31)*(5=Factors!$L$24:$L$31),0))</f>
        <v>38.49</v>
      </c>
      <c r="N14" s="19" cm="1">
        <f t="array" ref="N14">INDEX(Factors!$O$24:$O$31,MATCH(1,("D17"=Factors!$J$24:$J$31)*('ESS NEW'!D30=Factors!$K$24:$K$31)*(5=Factors!$L$24:$L$31),0))</f>
        <v>2.31</v>
      </c>
      <c r="O14" s="18">
        <f t="shared" si="2"/>
        <v>29.746419600000003</v>
      </c>
      <c r="P14" s="18">
        <f t="shared" si="3"/>
        <v>30.638812188000003</v>
      </c>
      <c r="Q14" s="18" cm="1">
        <f t="array" ref="Q14">INDEX(Factors!$M$24:$M$31,MATCH(1,("D19"=Factors!$J$24:$J$31)*('ESS NEW'!D14=Factors!$K$24:$K$31)*(3=Factors!$L$24:$L$31),0))</f>
        <v>0.57999999999999996</v>
      </c>
      <c r="R14" s="18" cm="1">
        <f t="array" ref="R14">INDEX(Factors!$O$24:$O$31,MATCH(1,("D19"=Factors!$J$24:$J$31)*('ESS NEW'!D14=Factors!$K$24:$K$31)*(3=Factors!$L$24:$L$31),0))</f>
        <v>2.2909999999999999</v>
      </c>
      <c r="S14" s="18" cm="1">
        <f t="array" ref="S14">INDEX(Factors!$N$24:$N$31,MATCH(1,("D19"=Factors!$J$24:$J$31)*('ESS NEW'!D14=Factors!$K$24:$K$31)*(3=Factors!$L$24:$L$31),0))</f>
        <v>47.337000000000003</v>
      </c>
      <c r="T14" s="18">
        <f t="shared" si="12"/>
        <v>-7.7821499999999997</v>
      </c>
      <c r="U14" s="18">
        <f t="shared" si="5"/>
        <v>47.337000000000003</v>
      </c>
      <c r="V14" s="18">
        <f t="shared" si="13"/>
        <v>13.999311000000001</v>
      </c>
      <c r="W14" s="18">
        <f t="shared" si="14"/>
        <v>13.75183863</v>
      </c>
      <c r="X14" s="18" cm="1">
        <f t="array" ref="X14">INDEX(Factors!$M$24:$M$31,MATCH(1,("D19"=Factors!$J$24:$J$31)*('ESS NEW'!D14=Factors!$K$24:$K$31)*(5=Factors!$L$24:$L$31),0))</f>
        <v>0.57999999999999996</v>
      </c>
      <c r="Y14" s="18" cm="1">
        <f t="array" ref="Y14">INDEX(Factors!$O$24:$O$31,MATCH(1,("D19"=Factors!$J$24:$J$31)*('ESS NEW'!D14=Factors!$K$24:$K$31)*(5=Factors!$L$24:$L$31),0))</f>
        <v>2.31</v>
      </c>
      <c r="Z14" s="18" cm="1">
        <f t="array" ref="Z14">INDEX(Factors!$N$24:$N$31,MATCH(1,("D19"=Factors!$J$24:$J$31)*('ESS NEW'!D14=Factors!$K$24:$K$31)*(5=Factors!$L$24:$L$31),0))</f>
        <v>52.75</v>
      </c>
      <c r="AA14" s="18">
        <f t="shared" si="15"/>
        <v>-9.8473400000000009</v>
      </c>
      <c r="AB14" s="18">
        <f t="shared" si="16"/>
        <v>52.75</v>
      </c>
      <c r="AC14" s="18">
        <f t="shared" si="17"/>
        <v>14.354319599999995</v>
      </c>
      <c r="AD14" s="18">
        <f t="shared" si="18"/>
        <v>14.041174187999994</v>
      </c>
    </row>
    <row r="15" spans="2:30">
      <c r="B15" s="12" t="s">
        <v>204</v>
      </c>
      <c r="C15" s="12" t="s">
        <v>458</v>
      </c>
      <c r="D15" s="12" t="s">
        <v>28</v>
      </c>
      <c r="E15" s="12">
        <v>4.7149000000000001</v>
      </c>
      <c r="F15" s="12">
        <v>0</v>
      </c>
      <c r="G15" s="12">
        <v>5.7849000000000004</v>
      </c>
      <c r="H15" s="12">
        <v>0</v>
      </c>
      <c r="I15" s="18" cm="1">
        <f t="array" ref="I15">INDEX(Factors!$M$24:$M$31,MATCH(1,("D17"=Factors!$J$24:$J$31)*(D15=Factors!$K$24:$K$31)*(3=Factors!$L$24:$L$31),0))</f>
        <v>35.14</v>
      </c>
      <c r="J15" s="19" cm="1">
        <f t="array" ref="J15">INDEX(Factors!$O$24:$O$31,MATCH(1,("D17"=Factors!$J$24:$J$31)*(D15=Factors!$K$24:$K$31)*(3=Factors!$L$24:$L$31),0))</f>
        <v>2.2909999999999999</v>
      </c>
      <c r="K15" s="18">
        <f t="shared" si="0"/>
        <v>25.798453946000002</v>
      </c>
      <c r="L15" s="18">
        <f t="shared" si="1"/>
        <v>26.572407564380004</v>
      </c>
      <c r="M15" s="18" cm="1">
        <f t="array" ref="M15">INDEX(Factors!$M$24:$M$31,MATCH(1,("D17"=Factors!$J$24:$J$31)*('ESS NEW'!D31=Factors!$K$24:$K$31)*(5=Factors!$L$24:$L$31),0))</f>
        <v>38.49</v>
      </c>
      <c r="N15" s="19" cm="1">
        <f t="array" ref="N15">INDEX(Factors!$O$24:$O$31,MATCH(1,("D17"=Factors!$J$24:$J$31)*('ESS NEW'!D31=Factors!$K$24:$K$31)*(5=Factors!$L$24:$L$31),0))</f>
        <v>2.31</v>
      </c>
      <c r="O15" s="18">
        <f t="shared" si="2"/>
        <v>26.634493860000003</v>
      </c>
      <c r="P15" s="18">
        <f t="shared" si="3"/>
        <v>27.433528675800005</v>
      </c>
      <c r="Q15" s="18" cm="1">
        <f t="array" ref="Q15">INDEX(Factors!$M$24:$M$31,MATCH(1,("D19"=Factors!$J$24:$J$31)*('ESS NEW'!D15=Factors!$K$24:$K$31)*(3=Factors!$L$24:$L$31),0))</f>
        <v>0.57999999999999996</v>
      </c>
      <c r="R15" s="18" cm="1">
        <f t="array" ref="R15">INDEX(Factors!$O$24:$O$31,MATCH(1,("D19"=Factors!$J$24:$J$31)*('ESS NEW'!D15=Factors!$K$24:$K$31)*(3=Factors!$L$24:$L$31),0))</f>
        <v>2.2909999999999999</v>
      </c>
      <c r="S15" s="18" cm="1">
        <f t="array" ref="S15">INDEX(Factors!$N$24:$N$31,MATCH(1,("D19"=Factors!$J$24:$J$31)*('ESS NEW'!D15=Factors!$K$24:$K$31)*(3=Factors!$L$24:$L$31),0))</f>
        <v>47.337000000000003</v>
      </c>
      <c r="T15" s="18">
        <f t="shared" si="12"/>
        <v>-10.2218359</v>
      </c>
      <c r="U15" s="18">
        <f t="shared" si="5"/>
        <v>47.337000000000003</v>
      </c>
      <c r="V15" s="18">
        <f t="shared" si="13"/>
        <v>11.413243946</v>
      </c>
      <c r="W15" s="18">
        <f t="shared" si="14"/>
        <v>11.088189564379999</v>
      </c>
      <c r="X15" s="18" cm="1">
        <f t="array" ref="X15">INDEX(Factors!$M$24:$M$31,MATCH(1,("D19"=Factors!$J$24:$J$31)*('ESS NEW'!D15=Factors!$K$24:$K$31)*(5=Factors!$L$24:$L$31),0))</f>
        <v>0.57999999999999996</v>
      </c>
      <c r="Y15" s="18" cm="1">
        <f t="array" ref="Y15">INDEX(Factors!$O$24:$O$31,MATCH(1,("D19"=Factors!$J$24:$J$31)*('ESS NEW'!D15=Factors!$K$24:$K$31)*(5=Factors!$L$24:$L$31),0))</f>
        <v>2.31</v>
      </c>
      <c r="Z15" s="18" cm="1">
        <f t="array" ref="Z15">INDEX(Factors!$N$24:$N$31,MATCH(1,("D19"=Factors!$J$24:$J$31)*('ESS NEW'!D15=Factors!$K$24:$K$31)*(5=Factors!$L$24:$L$31),0))</f>
        <v>52.75</v>
      </c>
      <c r="AA15" s="18">
        <f t="shared" si="15"/>
        <v>-12.783119000000001</v>
      </c>
      <c r="AB15" s="18">
        <f t="shared" si="16"/>
        <v>52.75</v>
      </c>
      <c r="AC15" s="18">
        <f t="shared" si="17"/>
        <v>11.242393859999995</v>
      </c>
      <c r="AD15" s="18">
        <f t="shared" si="18"/>
        <v>10.835890675799995</v>
      </c>
    </row>
    <row r="16" spans="2:30">
      <c r="B16" s="12" t="s">
        <v>204</v>
      </c>
      <c r="C16" s="12" t="s">
        <v>452</v>
      </c>
      <c r="D16" s="12" t="s">
        <v>28</v>
      </c>
      <c r="E16" s="12">
        <v>4.1337000000000002</v>
      </c>
      <c r="F16" s="12">
        <v>0</v>
      </c>
      <c r="G16" s="12">
        <v>5.0782999999999996</v>
      </c>
      <c r="H16" s="12">
        <v>0</v>
      </c>
      <c r="I16" s="18" cm="1">
        <f t="array" ref="I16">INDEX(Factors!$M$24:$M$31,MATCH(1,("D17"=Factors!$J$24:$J$31)*(D16=Factors!$K$24:$K$31)*(3=Factors!$L$24:$L$31),0))</f>
        <v>35.14</v>
      </c>
      <c r="J16" s="19" cm="1">
        <f t="array" ref="J16">INDEX(Factors!$O$24:$O$31,MATCH(1,("D17"=Factors!$J$24:$J$31)*(D16=Factors!$K$24:$K$31)*(3=Factors!$L$24:$L$31),0))</f>
        <v>2.2909999999999999</v>
      </c>
      <c r="K16" s="18">
        <f t="shared" si="0"/>
        <v>27.209874897999999</v>
      </c>
      <c r="L16" s="18">
        <f t="shared" si="1"/>
        <v>28.026171144940001</v>
      </c>
      <c r="M16" s="18" cm="1">
        <f t="array" ref="M16">INDEX(Factors!$M$24:$M$31,MATCH(1,("D17"=Factors!$J$24:$J$31)*('ESS NEW'!D32=Factors!$K$24:$K$31)*(5=Factors!$L$24:$L$31),0))</f>
        <v>38.49</v>
      </c>
      <c r="N16" s="19" cm="1">
        <f t="array" ref="N16">INDEX(Factors!$O$24:$O$31,MATCH(1,("D17"=Factors!$J$24:$J$31)*('ESS NEW'!D32=Factors!$K$24:$K$31)*(5=Factors!$L$24:$L$31),0))</f>
        <v>2.31</v>
      </c>
      <c r="O16" s="18">
        <f t="shared" si="2"/>
        <v>28.364674620000006</v>
      </c>
      <c r="P16" s="18">
        <f t="shared" si="3"/>
        <v>29.215614858600006</v>
      </c>
      <c r="Q16" s="18" cm="1">
        <f t="array" ref="Q16">INDEX(Factors!$M$24:$M$31,MATCH(1,("D19"=Factors!$J$24:$J$31)*('ESS NEW'!D16=Factors!$K$24:$K$31)*(3=Factors!$L$24:$L$31),0))</f>
        <v>0.57999999999999996</v>
      </c>
      <c r="R16" s="18" cm="1">
        <f t="array" ref="R16">INDEX(Factors!$O$24:$O$31,MATCH(1,("D19"=Factors!$J$24:$J$31)*('ESS NEW'!D16=Factors!$K$24:$K$31)*(3=Factors!$L$24:$L$31),0))</f>
        <v>2.2909999999999999</v>
      </c>
      <c r="S16" s="18" cm="1">
        <f t="array" ref="S16">INDEX(Factors!$N$24:$N$31,MATCH(1,("D19"=Factors!$J$24:$J$31)*('ESS NEW'!D16=Factors!$K$24:$K$31)*(3=Factors!$L$24:$L$31),0))</f>
        <v>47.337000000000003</v>
      </c>
      <c r="T16" s="18">
        <f t="shared" si="12"/>
        <v>-8.8903067</v>
      </c>
      <c r="U16" s="18">
        <f t="shared" si="5"/>
        <v>47.337000000000003</v>
      </c>
      <c r="V16" s="18">
        <f t="shared" si="13"/>
        <v>12.824664898</v>
      </c>
      <c r="W16" s="18">
        <f t="shared" si="14"/>
        <v>12.541953144939999</v>
      </c>
      <c r="X16" s="18" cm="1">
        <f t="array" ref="X16">INDEX(Factors!$M$24:$M$31,MATCH(1,("D19"=Factors!$J$24:$J$31)*('ESS NEW'!D16=Factors!$K$24:$K$31)*(5=Factors!$L$24:$L$31),0))</f>
        <v>0.57999999999999996</v>
      </c>
      <c r="Y16" s="18" cm="1">
        <f t="array" ref="Y16">INDEX(Factors!$O$24:$O$31,MATCH(1,("D19"=Factors!$J$24:$J$31)*('ESS NEW'!D16=Factors!$K$24:$K$31)*(5=Factors!$L$24:$L$31),0))</f>
        <v>2.31</v>
      </c>
      <c r="Z16" s="18" cm="1">
        <f t="array" ref="Z16">INDEX(Factors!$N$24:$N$31,MATCH(1,("D19"=Factors!$J$24:$J$31)*('ESS NEW'!D16=Factors!$K$24:$K$31)*(5=Factors!$L$24:$L$31),0))</f>
        <v>52.75</v>
      </c>
      <c r="AA16" s="18">
        <f t="shared" si="15"/>
        <v>-11.150872999999999</v>
      </c>
      <c r="AB16" s="18">
        <f t="shared" si="16"/>
        <v>52.75</v>
      </c>
      <c r="AC16" s="18">
        <f t="shared" si="17"/>
        <v>12.972574619999998</v>
      </c>
      <c r="AD16" s="18">
        <f t="shared" si="18"/>
        <v>12.617976858599997</v>
      </c>
    </row>
    <row r="17" spans="2:30">
      <c r="B17" s="12" t="s">
        <v>204</v>
      </c>
      <c r="C17" s="12" t="s">
        <v>463</v>
      </c>
      <c r="D17" s="12" t="s">
        <v>28</v>
      </c>
      <c r="E17" s="12">
        <v>2.8028</v>
      </c>
      <c r="F17" s="12">
        <v>0</v>
      </c>
      <c r="G17" s="12">
        <v>3.4550999999999998</v>
      </c>
      <c r="H17" s="12">
        <v>0</v>
      </c>
      <c r="I17" s="18" cm="1">
        <f t="array" ref="I17">INDEX(Factors!$M$24:$M$31,MATCH(1,("D17"=Factors!$J$24:$J$31)*(D17=Factors!$K$24:$K$31)*(3=Factors!$L$24:$L$31),0))</f>
        <v>35.14</v>
      </c>
      <c r="J17" s="19" cm="1">
        <f t="array" ref="J17">INDEX(Factors!$O$24:$O$31,MATCH(1,("D17"=Factors!$J$24:$J$31)*(D17=Factors!$K$24:$K$31)*(3=Factors!$L$24:$L$31),0))</f>
        <v>2.2909999999999999</v>
      </c>
      <c r="K17" s="18">
        <f t="shared" si="0"/>
        <v>30.441912311999999</v>
      </c>
      <c r="L17" s="18">
        <f t="shared" si="1"/>
        <v>31.35516968136</v>
      </c>
      <c r="M17" s="18" cm="1">
        <f t="array" ref="M17">INDEX(Factors!$M$24:$M$31,MATCH(1,("D17"=Factors!$J$24:$J$31)*('ESS NEW'!D33=Factors!$K$24:$K$31)*(5=Factors!$L$24:$L$31),0))</f>
        <v>38.49</v>
      </c>
      <c r="N17" s="19" cm="1">
        <f t="array" ref="N17">INDEX(Factors!$O$24:$O$31,MATCH(1,("D17"=Factors!$J$24:$J$31)*('ESS NEW'!D33=Factors!$K$24:$K$31)*(5=Factors!$L$24:$L$31),0))</f>
        <v>2.31</v>
      </c>
      <c r="O17" s="18">
        <f t="shared" si="2"/>
        <v>32.339242140000003</v>
      </c>
      <c r="P17" s="18">
        <f t="shared" si="3"/>
        <v>33.309419404200007</v>
      </c>
      <c r="Q17" s="18" cm="1">
        <f t="array" ref="Q17">INDEX(Factors!$M$24:$M$31,MATCH(1,("D19"=Factors!$J$24:$J$31)*('ESS NEW'!D17=Factors!$K$24:$K$31)*(3=Factors!$L$24:$L$31),0))</f>
        <v>0.57999999999999996</v>
      </c>
      <c r="R17" s="18" cm="1">
        <f t="array" ref="R17">INDEX(Factors!$O$24:$O$31,MATCH(1,("D19"=Factors!$J$24:$J$31)*('ESS NEW'!D17=Factors!$K$24:$K$31)*(3=Factors!$L$24:$L$31),0))</f>
        <v>2.2909999999999999</v>
      </c>
      <c r="S17" s="18" cm="1">
        <f t="array" ref="S17">INDEX(Factors!$N$24:$N$31,MATCH(1,("D19"=Factors!$J$24:$J$31)*('ESS NEW'!D17=Factors!$K$24:$K$31)*(3=Factors!$L$24:$L$31),0))</f>
        <v>47.337000000000003</v>
      </c>
      <c r="T17" s="18">
        <f t="shared" si="12"/>
        <v>-5.8412147999999995</v>
      </c>
      <c r="U17" s="18">
        <f t="shared" si="5"/>
        <v>47.337000000000003</v>
      </c>
      <c r="V17" s="18">
        <f t="shared" si="13"/>
        <v>16.056702311999999</v>
      </c>
      <c r="W17" s="18">
        <f t="shared" si="14"/>
        <v>15.870951681360001</v>
      </c>
      <c r="X17" s="18" cm="1">
        <f t="array" ref="X17">INDEX(Factors!$M$24:$M$31,MATCH(1,("D19"=Factors!$J$24:$J$31)*('ESS NEW'!D17=Factors!$K$24:$K$31)*(5=Factors!$L$24:$L$31),0))</f>
        <v>0.57999999999999996</v>
      </c>
      <c r="Y17" s="18" cm="1">
        <f t="array" ref="Y17">INDEX(Factors!$O$24:$O$31,MATCH(1,("D19"=Factors!$J$24:$J$31)*('ESS NEW'!D17=Factors!$K$24:$K$31)*(5=Factors!$L$24:$L$31),0))</f>
        <v>2.31</v>
      </c>
      <c r="Z17" s="18" cm="1">
        <f t="array" ref="Z17">INDEX(Factors!$N$24:$N$31,MATCH(1,("D19"=Factors!$J$24:$J$31)*('ESS NEW'!D17=Factors!$K$24:$K$31)*(5=Factors!$L$24:$L$31),0))</f>
        <v>52.75</v>
      </c>
      <c r="AA17" s="18">
        <f t="shared" si="15"/>
        <v>-7.401281</v>
      </c>
      <c r="AB17" s="18">
        <f t="shared" si="16"/>
        <v>52.75</v>
      </c>
      <c r="AC17" s="18">
        <f t="shared" si="17"/>
        <v>16.947142139999997</v>
      </c>
      <c r="AD17" s="18">
        <f t="shared" si="18"/>
        <v>16.711781404199996</v>
      </c>
    </row>
    <row r="18" spans="2:30">
      <c r="B18" s="12" t="s">
        <v>204</v>
      </c>
      <c r="C18" s="12" t="s">
        <v>459</v>
      </c>
      <c r="D18" s="12" t="s">
        <v>28</v>
      </c>
      <c r="E18" s="12">
        <v>3.6063000000000001</v>
      </c>
      <c r="F18" s="12">
        <v>0</v>
      </c>
      <c r="G18" s="12">
        <v>4.3663999999999996</v>
      </c>
      <c r="H18" s="12">
        <v>0</v>
      </c>
      <c r="I18" s="18" cm="1">
        <f t="array" ref="I18">INDEX(Factors!$M$24:$M$31,MATCH(1,("D17"=Factors!$J$24:$J$31)*(D18=Factors!$K$24:$K$31)*(3=Factors!$L$24:$L$31),0))</f>
        <v>35.14</v>
      </c>
      <c r="J18" s="19" cm="1">
        <f t="array" ref="J18">INDEX(Factors!$O$24:$O$31,MATCH(1,("D17"=Factors!$J$24:$J$31)*(D18=Factors!$K$24:$K$31)*(3=Factors!$L$24:$L$31),0))</f>
        <v>2.2909999999999999</v>
      </c>
      <c r="K18" s="18">
        <f t="shared" si="0"/>
        <v>28.490644702000004</v>
      </c>
      <c r="L18" s="18">
        <f t="shared" si="1"/>
        <v>29.345364043060005</v>
      </c>
      <c r="M18" s="18" cm="1">
        <f t="array" ref="M18">INDEX(Factors!$M$24:$M$31,MATCH(1,("D17"=Factors!$J$24:$J$31)*('ESS NEW'!D34=Factors!$K$24:$K$31)*(5=Factors!$L$24:$L$31),0))</f>
        <v>38.49</v>
      </c>
      <c r="N18" s="19" cm="1">
        <f t="array" ref="N18">INDEX(Factors!$O$24:$O$31,MATCH(1,("D17"=Factors!$J$24:$J$31)*('ESS NEW'!D34=Factors!$K$24:$K$31)*(5=Factors!$L$24:$L$31),0))</f>
        <v>2.31</v>
      </c>
      <c r="O18" s="18">
        <f t="shared" si="2"/>
        <v>30.107832960000003</v>
      </c>
      <c r="P18" s="18">
        <f t="shared" si="3"/>
        <v>31.011067948800005</v>
      </c>
      <c r="Q18" s="18" cm="1">
        <f t="array" ref="Q18">INDEX(Factors!$M$24:$M$31,MATCH(1,("D19"=Factors!$J$24:$J$31)*('ESS NEW'!D18=Factors!$K$24:$K$31)*(3=Factors!$L$24:$L$31),0))</f>
        <v>0.57999999999999996</v>
      </c>
      <c r="R18" s="18" cm="1">
        <f t="array" ref="R18">INDEX(Factors!$O$24:$O$31,MATCH(1,("D19"=Factors!$J$24:$J$31)*('ESS NEW'!D18=Factors!$K$24:$K$31)*(3=Factors!$L$24:$L$31),0))</f>
        <v>2.2909999999999999</v>
      </c>
      <c r="S18" s="18" cm="1">
        <f t="array" ref="S18">INDEX(Factors!$N$24:$N$31,MATCH(1,("D19"=Factors!$J$24:$J$31)*('ESS NEW'!D18=Factors!$K$24:$K$31)*(3=Factors!$L$24:$L$31),0))</f>
        <v>47.337000000000003</v>
      </c>
      <c r="T18" s="18">
        <f t="shared" si="12"/>
        <v>-7.6820333000000005</v>
      </c>
      <c r="U18" s="18">
        <f t="shared" si="5"/>
        <v>47.337000000000003</v>
      </c>
      <c r="V18" s="18">
        <f t="shared" si="13"/>
        <v>14.105434702</v>
      </c>
      <c r="W18" s="18">
        <f t="shared" si="14"/>
        <v>13.86114604306</v>
      </c>
      <c r="X18" s="18" cm="1">
        <f t="array" ref="X18">INDEX(Factors!$M$24:$M$31,MATCH(1,("D19"=Factors!$J$24:$J$31)*('ESS NEW'!D18=Factors!$K$24:$K$31)*(5=Factors!$L$24:$L$31),0))</f>
        <v>0.57999999999999996</v>
      </c>
      <c r="Y18" s="18" cm="1">
        <f t="array" ref="Y18">INDEX(Factors!$O$24:$O$31,MATCH(1,("D19"=Factors!$J$24:$J$31)*('ESS NEW'!D18=Factors!$K$24:$K$31)*(5=Factors!$L$24:$L$31),0))</f>
        <v>2.31</v>
      </c>
      <c r="Z18" s="18" cm="1">
        <f t="array" ref="Z18">INDEX(Factors!$N$24:$N$31,MATCH(1,("D19"=Factors!$J$24:$J$31)*('ESS NEW'!D18=Factors!$K$24:$K$31)*(5=Factors!$L$24:$L$31),0))</f>
        <v>52.75</v>
      </c>
      <c r="AA18" s="18">
        <f t="shared" si="15"/>
        <v>-9.5063839999999988</v>
      </c>
      <c r="AB18" s="18">
        <f t="shared" si="16"/>
        <v>52.75</v>
      </c>
      <c r="AC18" s="18">
        <f t="shared" si="17"/>
        <v>14.715732959999997</v>
      </c>
      <c r="AD18" s="18">
        <f t="shared" si="18"/>
        <v>14.413429948799996</v>
      </c>
    </row>
    <row r="19" spans="2:30">
      <c r="B19" s="12" t="s">
        <v>204</v>
      </c>
      <c r="C19" s="12" t="s">
        <v>460</v>
      </c>
      <c r="D19" s="12" t="s">
        <v>28</v>
      </c>
      <c r="E19" s="12">
        <v>3.5594999999999999</v>
      </c>
      <c r="F19" s="12">
        <v>0</v>
      </c>
      <c r="G19" s="12">
        <v>4.3593000000000002</v>
      </c>
      <c r="H19" s="12">
        <v>0</v>
      </c>
      <c r="I19" s="18" cm="1">
        <f t="array" ref="I19">INDEX(Factors!$M$24:$M$31,MATCH(1,("D17"=Factors!$J$24:$J$31)*(D19=Factors!$K$24:$K$31)*(3=Factors!$L$24:$L$31),0))</f>
        <v>35.14</v>
      </c>
      <c r="J19" s="19" cm="1">
        <f t="array" ref="J19">INDEX(Factors!$O$24:$O$31,MATCH(1,("D17"=Factors!$J$24:$J$31)*(D19=Factors!$K$24:$K$31)*(3=Factors!$L$24:$L$31),0))</f>
        <v>2.2909999999999999</v>
      </c>
      <c r="K19" s="18">
        <f t="shared" si="0"/>
        <v>28.60429663</v>
      </c>
      <c r="L19" s="18">
        <f t="shared" si="1"/>
        <v>29.462425528900003</v>
      </c>
      <c r="M19" s="18" cm="1">
        <f t="array" ref="M19">INDEX(Factors!$M$24:$M$31,MATCH(1,("D17"=Factors!$J$24:$J$31)*('ESS NEW'!D35=Factors!$K$24:$K$31)*(5=Factors!$L$24:$L$31),0))</f>
        <v>38.49</v>
      </c>
      <c r="N19" s="19" cm="1">
        <f t="array" ref="N19">INDEX(Factors!$O$24:$O$31,MATCH(1,("D17"=Factors!$J$24:$J$31)*('ESS NEW'!D35=Factors!$K$24:$K$31)*(5=Factors!$L$24:$L$31),0))</f>
        <v>2.31</v>
      </c>
      <c r="O19" s="18">
        <f t="shared" si="2"/>
        <v>30.125218020000002</v>
      </c>
      <c r="P19" s="18">
        <f t="shared" si="3"/>
        <v>31.028974560600002</v>
      </c>
      <c r="Q19" s="18" cm="1">
        <f t="array" ref="Q19">INDEX(Factors!$M$24:$M$31,MATCH(1,("D19"=Factors!$J$24:$J$31)*('ESS NEW'!D19=Factors!$K$24:$K$31)*(3=Factors!$L$24:$L$31),0))</f>
        <v>0.57999999999999996</v>
      </c>
      <c r="R19" s="18" cm="1">
        <f t="array" ref="R19">INDEX(Factors!$O$24:$O$31,MATCH(1,("D19"=Factors!$J$24:$J$31)*('ESS NEW'!D19=Factors!$K$24:$K$31)*(3=Factors!$L$24:$L$31),0))</f>
        <v>2.2909999999999999</v>
      </c>
      <c r="S19" s="18" cm="1">
        <f t="array" ref="S19">INDEX(Factors!$N$24:$N$31,MATCH(1,("D19"=Factors!$J$24:$J$31)*('ESS NEW'!D19=Factors!$K$24:$K$31)*(3=Factors!$L$24:$L$31),0))</f>
        <v>47.337000000000003</v>
      </c>
      <c r="T19" s="18">
        <f t="shared" si="12"/>
        <v>-7.5748144999999987</v>
      </c>
      <c r="U19" s="18">
        <f t="shared" si="5"/>
        <v>47.337000000000003</v>
      </c>
      <c r="V19" s="18">
        <f t="shared" si="13"/>
        <v>14.219086630000001</v>
      </c>
      <c r="W19" s="18">
        <f t="shared" si="14"/>
        <v>13.978207528900001</v>
      </c>
      <c r="X19" s="18" cm="1">
        <f t="array" ref="X19">INDEX(Factors!$M$24:$M$31,MATCH(1,("D19"=Factors!$J$24:$J$31)*('ESS NEW'!D19=Factors!$K$24:$K$31)*(5=Factors!$L$24:$L$31),0))</f>
        <v>0.57999999999999996</v>
      </c>
      <c r="Y19" s="18" cm="1">
        <f t="array" ref="Y19">INDEX(Factors!$O$24:$O$31,MATCH(1,("D19"=Factors!$J$24:$J$31)*('ESS NEW'!D19=Factors!$K$24:$K$31)*(5=Factors!$L$24:$L$31),0))</f>
        <v>2.31</v>
      </c>
      <c r="Z19" s="18" cm="1">
        <f t="array" ref="Z19">INDEX(Factors!$N$24:$N$31,MATCH(1,("D19"=Factors!$J$24:$J$31)*('ESS NEW'!D19=Factors!$K$24:$K$31)*(5=Factors!$L$24:$L$31),0))</f>
        <v>52.75</v>
      </c>
      <c r="AA19" s="18">
        <f t="shared" si="15"/>
        <v>-9.4899830000000005</v>
      </c>
      <c r="AB19" s="18">
        <f t="shared" si="16"/>
        <v>52.75</v>
      </c>
      <c r="AC19" s="18">
        <f t="shared" si="17"/>
        <v>14.733118019999996</v>
      </c>
      <c r="AD19" s="18">
        <f t="shared" si="18"/>
        <v>14.431336560599995</v>
      </c>
    </row>
    <row r="20" spans="2:30">
      <c r="B20" s="12" t="s">
        <v>203</v>
      </c>
      <c r="C20" s="12" t="s">
        <v>201</v>
      </c>
      <c r="D20" s="12" t="s">
        <v>28</v>
      </c>
      <c r="E20" s="12">
        <v>3.722</v>
      </c>
      <c r="F20" s="12">
        <v>0</v>
      </c>
      <c r="G20" s="12">
        <v>4.5880000000000001</v>
      </c>
      <c r="H20" s="12">
        <v>0</v>
      </c>
      <c r="I20" s="18" cm="1">
        <f t="array" ref="I20">INDEX(Factors!$M$24:$M$31,MATCH(1,("D17"=Factors!$J$24:$J$31)*(D20=Factors!$K$24:$K$31)*(3=Factors!$L$24:$L$31),0))</f>
        <v>35.14</v>
      </c>
      <c r="J20" s="19" cm="1">
        <f t="array" ref="J20">INDEX(Factors!$O$24:$O$31,MATCH(1,("D17"=Factors!$J$24:$J$31)*(D20=Factors!$K$24:$K$31)*(3=Factors!$L$24:$L$31),0))</f>
        <v>2.2909999999999999</v>
      </c>
      <c r="K20" s="18">
        <f t="shared" si="0"/>
        <v>28.209671880000002</v>
      </c>
      <c r="L20" s="18">
        <f t="shared" si="1"/>
        <v>29.055962036400004</v>
      </c>
      <c r="M20" s="18" cm="1">
        <f t="array" ref="M20">INDEX(Factors!$M$24:$M$31,MATCH(1,("D17"=Factors!$J$24:$J$31)*('ESS NEW'!D36=Factors!$K$24:$K$31)*(5=Factors!$L$24:$L$31),0))</f>
        <v>38.49</v>
      </c>
      <c r="N20" s="19" cm="1">
        <f t="array" ref="N20">INDEX(Factors!$O$24:$O$31,MATCH(1,("D17"=Factors!$J$24:$J$31)*('ESS NEW'!D36=Factors!$K$24:$K$31)*(5=Factors!$L$24:$L$31),0))</f>
        <v>2.31</v>
      </c>
      <c r="O20" s="18">
        <f t="shared" si="2"/>
        <v>29.565223200000002</v>
      </c>
      <c r="P20" s="18">
        <f t="shared" si="3"/>
        <v>30.452179896000004</v>
      </c>
      <c r="Q20" s="18" cm="1">
        <f t="array" ref="Q20">INDEX(Factors!$M$24:$M$31,MATCH(1,("D19"=Factors!$J$24:$J$31)*('ESS NEW'!D20=Factors!$K$24:$K$31)*(3=Factors!$L$24:$L$31),0))</f>
        <v>0.57999999999999996</v>
      </c>
      <c r="R20" s="18" cm="1">
        <f t="array" ref="R20">INDEX(Factors!$O$24:$O$31,MATCH(1,("D19"=Factors!$J$24:$J$31)*('ESS NEW'!D20=Factors!$K$24:$K$31)*(3=Factors!$L$24:$L$31),0))</f>
        <v>2.2909999999999999</v>
      </c>
      <c r="S20" s="18" cm="1">
        <f t="array" ref="S20">INDEX(Factors!$N$24:$N$31,MATCH(1,("D19"=Factors!$J$24:$J$31)*('ESS NEW'!D20=Factors!$K$24:$K$31)*(3=Factors!$L$24:$L$31),0))</f>
        <v>47.337000000000003</v>
      </c>
      <c r="T20" s="18">
        <f t="shared" si="12"/>
        <v>-7.9471019999999992</v>
      </c>
      <c r="U20" s="18">
        <f t="shared" si="5"/>
        <v>47.337000000000003</v>
      </c>
      <c r="V20" s="18">
        <f t="shared" si="13"/>
        <v>13.824461880000001</v>
      </c>
      <c r="W20" s="18">
        <f t="shared" si="14"/>
        <v>13.5717440364</v>
      </c>
      <c r="X20" s="18" cm="1">
        <f t="array" ref="X20">INDEX(Factors!$M$24:$M$31,MATCH(1,("D19"=Factors!$J$24:$J$31)*('ESS NEW'!D20=Factors!$K$24:$K$31)*(5=Factors!$L$24:$L$31),0))</f>
        <v>0.57999999999999996</v>
      </c>
      <c r="Y20" s="18" cm="1">
        <f t="array" ref="Y20">INDEX(Factors!$O$24:$O$31,MATCH(1,("D19"=Factors!$J$24:$J$31)*('ESS NEW'!D20=Factors!$K$24:$K$31)*(5=Factors!$L$24:$L$31),0))</f>
        <v>2.31</v>
      </c>
      <c r="Z20" s="18" cm="1">
        <f t="array" ref="Z20">INDEX(Factors!$N$24:$N$31,MATCH(1,("D19"=Factors!$J$24:$J$31)*('ESS NEW'!D20=Factors!$K$24:$K$31)*(5=Factors!$L$24:$L$31),0))</f>
        <v>52.75</v>
      </c>
      <c r="AA20" s="18">
        <f t="shared" si="15"/>
        <v>-10.018280000000001</v>
      </c>
      <c r="AB20" s="18">
        <f t="shared" si="16"/>
        <v>52.75</v>
      </c>
      <c r="AC20" s="18">
        <f t="shared" si="17"/>
        <v>14.173123199999996</v>
      </c>
      <c r="AD20" s="18">
        <f t="shared" si="18"/>
        <v>13.854541895999995</v>
      </c>
    </row>
    <row r="21" spans="2:30">
      <c r="B21" s="12" t="s">
        <v>203</v>
      </c>
      <c r="C21" s="12" t="s">
        <v>202</v>
      </c>
      <c r="D21" s="12" t="s">
        <v>28</v>
      </c>
      <c r="E21" s="12">
        <v>3.722</v>
      </c>
      <c r="F21" s="12">
        <v>0</v>
      </c>
      <c r="G21" s="12">
        <v>4.5880000000000001</v>
      </c>
      <c r="H21" s="12">
        <v>0</v>
      </c>
      <c r="I21" s="18" cm="1">
        <f t="array" ref="I21">INDEX(Factors!$M$24:$M$31,MATCH(1,("D17"=Factors!$J$24:$J$31)*(D21=Factors!$K$24:$K$31)*(3=Factors!$L$24:$L$31),0))</f>
        <v>35.14</v>
      </c>
      <c r="J21" s="19" cm="1">
        <f t="array" ref="J21">INDEX(Factors!$O$24:$O$31,MATCH(1,("D17"=Factors!$J$24:$J$31)*(D21=Factors!$K$24:$K$31)*(3=Factors!$L$24:$L$31),0))</f>
        <v>2.2909999999999999</v>
      </c>
      <c r="K21" s="18">
        <f t="shared" si="0"/>
        <v>28.209671880000002</v>
      </c>
      <c r="L21" s="18">
        <f t="shared" si="1"/>
        <v>29.055962036400004</v>
      </c>
      <c r="M21" s="18" cm="1">
        <f t="array" ref="M21">INDEX(Factors!$M$24:$M$31,MATCH(1,("D17"=Factors!$J$24:$J$31)*(D21=Factors!$K$24:$K$31)*(5=Factors!$L$24:$L$31),0))</f>
        <v>38.49</v>
      </c>
      <c r="N21" s="19" cm="1">
        <f t="array" ref="N21">INDEX(Factors!$O$24:$O$31,MATCH(1,("D17"=Factors!$J$24:$J$31)*(D21=Factors!$K$24:$K$31)*(5=Factors!$L$24:$L$31),0))</f>
        <v>2.31</v>
      </c>
      <c r="O21" s="18">
        <f t="shared" si="2"/>
        <v>29.565223200000002</v>
      </c>
      <c r="P21" s="18">
        <f t="shared" si="3"/>
        <v>30.452179896000004</v>
      </c>
      <c r="Q21" s="18" cm="1">
        <f t="array" ref="Q21">INDEX(Factors!$M$24:$M$31,MATCH(1,("D19"=Factors!$J$24:$J$31)*('ESS NEW'!D21=Factors!$K$24:$K$31)*(3=Factors!$L$24:$L$31),0))</f>
        <v>0.57999999999999996</v>
      </c>
      <c r="R21" s="18" cm="1">
        <f t="array" ref="R21">INDEX(Factors!$O$24:$O$31,MATCH(1,("D19"=Factors!$J$24:$J$31)*('ESS NEW'!D21=Factors!$K$24:$K$31)*(3=Factors!$L$24:$L$31),0))</f>
        <v>2.2909999999999999</v>
      </c>
      <c r="S21" s="18" cm="1">
        <f t="array" ref="S21">INDEX(Factors!$N$24:$N$31,MATCH(1,("D19"=Factors!$J$24:$J$31)*('ESS NEW'!D21=Factors!$K$24:$K$31)*(3=Factors!$L$24:$L$31),0))</f>
        <v>47.337000000000003</v>
      </c>
      <c r="T21" s="18">
        <f t="shared" si="12"/>
        <v>-7.9471019999999992</v>
      </c>
      <c r="U21" s="18">
        <f t="shared" si="5"/>
        <v>47.337000000000003</v>
      </c>
      <c r="V21" s="18">
        <f t="shared" si="13"/>
        <v>13.824461880000001</v>
      </c>
      <c r="W21" s="18">
        <f t="shared" si="14"/>
        <v>13.5717440364</v>
      </c>
      <c r="X21" s="18" cm="1">
        <f t="array" ref="X21">INDEX(Factors!$M$24:$M$31,MATCH(1,("D19"=Factors!$J$24:$J$31)*('ESS NEW'!D21=Factors!$K$24:$K$31)*(5=Factors!$L$24:$L$31),0))</f>
        <v>0.57999999999999996</v>
      </c>
      <c r="Y21" s="18" cm="1">
        <f t="array" ref="Y21">INDEX(Factors!$O$24:$O$31,MATCH(1,("D19"=Factors!$J$24:$J$31)*('ESS NEW'!D21=Factors!$K$24:$K$31)*(5=Factors!$L$24:$L$31),0))</f>
        <v>2.31</v>
      </c>
      <c r="Z21" s="18" cm="1">
        <f t="array" ref="Z21">INDEX(Factors!$N$24:$N$31,MATCH(1,("D19"=Factors!$J$24:$J$31)*('ESS NEW'!D21=Factors!$K$24:$K$31)*(5=Factors!$L$24:$L$31),0))</f>
        <v>52.75</v>
      </c>
      <c r="AA21" s="18">
        <f t="shared" si="15"/>
        <v>-10.018280000000001</v>
      </c>
      <c r="AB21" s="18">
        <f t="shared" si="16"/>
        <v>52.75</v>
      </c>
      <c r="AC21" s="18">
        <f t="shared" si="17"/>
        <v>14.173123199999996</v>
      </c>
      <c r="AD21" s="18">
        <f t="shared" si="18"/>
        <v>13.854541895999995</v>
      </c>
    </row>
    <row r="22" spans="2:30">
      <c r="B22" s="12" t="s">
        <v>203</v>
      </c>
      <c r="C22" s="12" t="s">
        <v>552</v>
      </c>
      <c r="D22" s="12" t="s">
        <v>28</v>
      </c>
      <c r="E22" s="12">
        <v>3.6318999999999999</v>
      </c>
      <c r="F22" s="12">
        <v>0</v>
      </c>
      <c r="G22" s="12">
        <v>4.4198000000000004</v>
      </c>
      <c r="H22" s="12">
        <v>0</v>
      </c>
      <c r="I22" s="18" cm="1">
        <f t="array" ref="I22">INDEX(Factors!$M$24:$M$31,MATCH(1,("D17"=Factors!$J$24:$J$31)*(D22=Factors!$K$24:$K$31)*(3=Factors!$L$24:$L$31),0))</f>
        <v>35.14</v>
      </c>
      <c r="J22" s="19" cm="1">
        <f t="array" ref="J22">INDEX(Factors!$O$24:$O$31,MATCH(1,("D17"=Factors!$J$24:$J$31)*(D22=Factors!$K$24:$K$31)*(3=Factors!$L$24:$L$31),0))</f>
        <v>2.2909999999999999</v>
      </c>
      <c r="K22" s="18">
        <f t="shared" ref="K22:K23" si="19">($I22-J22*(E22+F22))*ECCF*MetroESS</f>
        <v>28.428476126</v>
      </c>
      <c r="L22" s="18">
        <f t="shared" ref="L22:L23" si="20">($I22-J22*(E22+F22))*ECCF*RegionalESS</f>
        <v>29.281330409780001</v>
      </c>
      <c r="M22" s="18" cm="1">
        <f t="array" ref="M22">INDEX(Factors!$M$24:$M$31,MATCH(1,("D17"=Factors!$J$24:$J$31)*(D22=Factors!$K$24:$K$31)*(5=Factors!$L$24:$L$31),0))</f>
        <v>38.49</v>
      </c>
      <c r="N22" s="19" cm="1">
        <f t="array" ref="N22">INDEX(Factors!$O$24:$O$31,MATCH(1,("D17"=Factors!$J$24:$J$31)*(D22=Factors!$K$24:$K$31)*(5=Factors!$L$24:$L$31),0))</f>
        <v>2.31</v>
      </c>
      <c r="O22" s="18">
        <f t="shared" ref="O22:O23" si="21">(M22-N22*(G22+H22))*ECCF*MetroESS</f>
        <v>29.97707772</v>
      </c>
      <c r="P22" s="18">
        <f t="shared" ref="P22:P23" si="22">(M22-N22*(G22+H22))*ECCF*RegionalESS</f>
        <v>30.876390051600001</v>
      </c>
      <c r="Q22" s="18" cm="1">
        <f t="array" ref="Q22">INDEX(Factors!$M$24:$M$31,MATCH(1,("D19"=Factors!$J$24:$J$31)*('ESS NEW'!D22=Factors!$K$24:$K$31)*(3=Factors!$L$24:$L$31),0))</f>
        <v>0.57999999999999996</v>
      </c>
      <c r="R22" s="18" cm="1">
        <f t="array" ref="R22">INDEX(Factors!$O$24:$O$31,MATCH(1,("D19"=Factors!$J$24:$J$31)*('ESS NEW'!D22=Factors!$K$24:$K$31)*(3=Factors!$L$24:$L$31),0))</f>
        <v>2.2909999999999999</v>
      </c>
      <c r="S22" s="18" cm="1">
        <f t="array" ref="S22">INDEX(Factors!$N$24:$N$31,MATCH(1,("D19"=Factors!$J$24:$J$31)*('ESS NEW'!D22=Factors!$K$24:$K$31)*(3=Factors!$L$24:$L$31),0))</f>
        <v>47.337000000000003</v>
      </c>
      <c r="T22" s="18">
        <f t="shared" si="12"/>
        <v>-7.7406828999999995</v>
      </c>
      <c r="U22" s="18">
        <f t="shared" si="5"/>
        <v>47.337000000000003</v>
      </c>
      <c r="V22" s="18">
        <f t="shared" si="13"/>
        <v>14.043266126000001</v>
      </c>
      <c r="W22" s="18">
        <f t="shared" si="14"/>
        <v>13.79711240978</v>
      </c>
      <c r="X22" s="18" cm="1">
        <f t="array" ref="X22">INDEX(Factors!$M$24:$M$31,MATCH(1,("D19"=Factors!$J$24:$J$31)*('ESS NEW'!D22=Factors!$K$24:$K$31)*(5=Factors!$L$24:$L$31),0))</f>
        <v>0.57999999999999996</v>
      </c>
      <c r="Y22" s="18" cm="1">
        <f t="array" ref="Y22">INDEX(Factors!$O$24:$O$31,MATCH(1,("D19"=Factors!$J$24:$J$31)*('ESS NEW'!D22=Factors!$K$24:$K$31)*(5=Factors!$L$24:$L$31),0))</f>
        <v>2.31</v>
      </c>
      <c r="Z22" s="18" cm="1">
        <f t="array" ref="Z22">INDEX(Factors!$N$24:$N$31,MATCH(1,("D19"=Factors!$J$24:$J$31)*('ESS NEW'!D22=Factors!$K$24:$K$31)*(5=Factors!$L$24:$L$31),0))</f>
        <v>52.75</v>
      </c>
      <c r="AA22" s="18">
        <f t="shared" si="15"/>
        <v>-9.6297380000000015</v>
      </c>
      <c r="AB22" s="18">
        <f t="shared" si="16"/>
        <v>52.75</v>
      </c>
      <c r="AC22" s="18">
        <f t="shared" si="17"/>
        <v>14.584977719999994</v>
      </c>
      <c r="AD22" s="18">
        <f t="shared" si="18"/>
        <v>14.278752051599994</v>
      </c>
    </row>
    <row r="23" spans="2:30">
      <c r="B23" s="12" t="s">
        <v>203</v>
      </c>
      <c r="C23" s="12" t="s">
        <v>551</v>
      </c>
      <c r="D23" s="12" t="s">
        <v>28</v>
      </c>
      <c r="E23" s="12">
        <v>3.6318999999999999</v>
      </c>
      <c r="F23" s="12">
        <v>0</v>
      </c>
      <c r="G23" s="12">
        <v>4.4198000000000004</v>
      </c>
      <c r="H23" s="12">
        <v>0</v>
      </c>
      <c r="I23" s="18" cm="1">
        <f t="array" ref="I23">INDEX(Factors!$M$24:$M$31,MATCH(1,("D17"=Factors!$J$24:$J$31)*(D23=Factors!$K$24:$K$31)*(3=Factors!$L$24:$L$31),0))</f>
        <v>35.14</v>
      </c>
      <c r="J23" s="19" cm="1">
        <f t="array" ref="J23">INDEX(Factors!$O$24:$O$31,MATCH(1,("D17"=Factors!$J$24:$J$31)*(D23=Factors!$K$24:$K$31)*(3=Factors!$L$24:$L$31),0))</f>
        <v>2.2909999999999999</v>
      </c>
      <c r="K23" s="18">
        <f t="shared" si="19"/>
        <v>28.428476126</v>
      </c>
      <c r="L23" s="18">
        <f t="shared" si="20"/>
        <v>29.281330409780001</v>
      </c>
      <c r="M23" s="18" cm="1">
        <f t="array" ref="M23">INDEX(Factors!$M$24:$M$31,MATCH(1,("D17"=Factors!$J$24:$J$31)*(D23=Factors!$K$24:$K$31)*(5=Factors!$L$24:$L$31),0))</f>
        <v>38.49</v>
      </c>
      <c r="N23" s="19" cm="1">
        <f t="array" ref="N23">INDEX(Factors!$O$24:$O$31,MATCH(1,("D17"=Factors!$J$24:$J$31)*(D23=Factors!$K$24:$K$31)*(5=Factors!$L$24:$L$31),0))</f>
        <v>2.31</v>
      </c>
      <c r="O23" s="18">
        <f t="shared" si="21"/>
        <v>29.97707772</v>
      </c>
      <c r="P23" s="18">
        <f t="shared" si="22"/>
        <v>30.876390051600001</v>
      </c>
      <c r="Q23" s="18" cm="1">
        <f t="array" ref="Q23">INDEX(Factors!$M$24:$M$31,MATCH(1,("D19"=Factors!$J$24:$J$31)*('ESS NEW'!D23=Factors!$K$24:$K$31)*(3=Factors!$L$24:$L$31),0))</f>
        <v>0.57999999999999996</v>
      </c>
      <c r="R23" s="18" cm="1">
        <f t="array" ref="R23">INDEX(Factors!$O$24:$O$31,MATCH(1,("D19"=Factors!$J$24:$J$31)*('ESS NEW'!D23=Factors!$K$24:$K$31)*(3=Factors!$L$24:$L$31),0))</f>
        <v>2.2909999999999999</v>
      </c>
      <c r="S23" s="18" cm="1">
        <f t="array" ref="S23">INDEX(Factors!$N$24:$N$31,MATCH(1,("D19"=Factors!$J$24:$J$31)*('ESS NEW'!D23=Factors!$K$24:$K$31)*(3=Factors!$L$24:$L$31),0))</f>
        <v>47.337000000000003</v>
      </c>
      <c r="T23" s="18">
        <f t="shared" si="12"/>
        <v>-7.7406828999999995</v>
      </c>
      <c r="U23" s="18">
        <f t="shared" si="5"/>
        <v>47.337000000000003</v>
      </c>
      <c r="V23" s="18">
        <f t="shared" si="13"/>
        <v>14.043266126000001</v>
      </c>
      <c r="W23" s="18">
        <f t="shared" si="14"/>
        <v>13.79711240978</v>
      </c>
      <c r="X23" s="18" cm="1">
        <f t="array" ref="X23">INDEX(Factors!$M$24:$M$31,MATCH(1,("D19"=Factors!$J$24:$J$31)*('ESS NEW'!D23=Factors!$K$24:$K$31)*(5=Factors!$L$24:$L$31),0))</f>
        <v>0.57999999999999996</v>
      </c>
      <c r="Y23" s="18" cm="1">
        <f t="array" ref="Y23">INDEX(Factors!$O$24:$O$31,MATCH(1,("D19"=Factors!$J$24:$J$31)*('ESS NEW'!D23=Factors!$K$24:$K$31)*(5=Factors!$L$24:$L$31),0))</f>
        <v>2.31</v>
      </c>
      <c r="Z23" s="18" cm="1">
        <f t="array" ref="Z23">INDEX(Factors!$N$24:$N$31,MATCH(1,("D19"=Factors!$J$24:$J$31)*('ESS NEW'!D23=Factors!$K$24:$K$31)*(5=Factors!$L$24:$L$31),0))</f>
        <v>52.75</v>
      </c>
      <c r="AA23" s="18">
        <f t="shared" si="15"/>
        <v>-9.6297380000000015</v>
      </c>
      <c r="AB23" s="18">
        <f t="shared" si="16"/>
        <v>52.75</v>
      </c>
      <c r="AC23" s="18">
        <f t="shared" si="17"/>
        <v>14.584977719999994</v>
      </c>
      <c r="AD23" s="18">
        <f t="shared" si="18"/>
        <v>14.278752051599994</v>
      </c>
    </row>
    <row r="24" spans="2:30">
      <c r="B24" s="12" t="s">
        <v>492</v>
      </c>
      <c r="C24" s="12" t="s">
        <v>493</v>
      </c>
      <c r="D24" s="12" t="s">
        <v>28</v>
      </c>
      <c r="E24" s="12">
        <v>4.2866</v>
      </c>
      <c r="F24" s="12">
        <v>4.7600000000000003E-2</v>
      </c>
      <c r="G24" s="12">
        <v>6.0236999999999998</v>
      </c>
      <c r="H24" s="12">
        <v>4.36E-2</v>
      </c>
      <c r="I24" s="18" cm="1">
        <f t="array" ref="I24">INDEX(Factors!$M$24:$M$31,MATCH(1,("D17"=Factors!$J$24:$J$31)*(D24=Factors!$K$24:$K$31)*(3=Factors!$L$24:$L$31),0))</f>
        <v>35.14</v>
      </c>
      <c r="J24" s="19" cm="1">
        <f t="array" ref="J24">INDEX(Factors!$O$24:$O$31,MATCH(1,("D17"=Factors!$J$24:$J$31)*(D24=Factors!$K$24:$K$31)*(3=Factors!$L$24:$L$31),0))</f>
        <v>2.2909999999999999</v>
      </c>
      <c r="K24" s="18">
        <f t="shared" si="0"/>
        <v>26.722968668000004</v>
      </c>
      <c r="L24" s="18">
        <f t="shared" si="1"/>
        <v>27.524657728040005</v>
      </c>
      <c r="M24" s="18" cm="1">
        <f t="array" ref="M24">INDEX(Factors!$M$24:$M$31,MATCH(1,("D17"=Factors!$J$24:$J$31)*('ESS NEW'!D7=Factors!$K$24:$K$31)*(5=Factors!$L$24:$L$31),0))</f>
        <v>38.49</v>
      </c>
      <c r="N24" s="19" cm="1">
        <f t="array" ref="N24">INDEX(Factors!$O$24:$O$31,MATCH(1,("D17"=Factors!$J$24:$J$31)*('ESS NEW'!D7=Factors!$K$24:$K$31)*(5=Factors!$L$24:$L$31),0))</f>
        <v>2.31</v>
      </c>
      <c r="O24" s="18">
        <f t="shared" si="2"/>
        <v>25.943009220000008</v>
      </c>
      <c r="P24" s="18">
        <f t="shared" si="3"/>
        <v>26.721299496600007</v>
      </c>
      <c r="Q24" s="18" cm="1">
        <f t="array" ref="Q24">INDEX(Factors!$M$24:$M$31,MATCH(1,("D19"=Factors!$J$24:$J$31)*('ESS NEW'!D24=Factors!$K$24:$K$31)*(3=Factors!$L$24:$L$31),0))</f>
        <v>0.57999999999999996</v>
      </c>
      <c r="R24" s="18" cm="1">
        <f t="array" ref="R24">INDEX(Factors!$O$24:$O$31,MATCH(1,("D19"=Factors!$J$24:$J$31)*('ESS NEW'!D24=Factors!$K$24:$K$31)*(3=Factors!$L$24:$L$31),0))</f>
        <v>2.2909999999999999</v>
      </c>
      <c r="S24" s="18" cm="1">
        <f t="array" ref="S24">INDEX(Factors!$N$24:$N$31,MATCH(1,("D19"=Factors!$J$24:$J$31)*('ESS NEW'!D24=Factors!$K$24:$K$31)*(3=Factors!$L$24:$L$31),0))</f>
        <v>47.337000000000003</v>
      </c>
      <c r="T24" s="18">
        <f t="shared" si="12"/>
        <v>-9.3496521999999995</v>
      </c>
      <c r="U24" s="18">
        <f t="shared" si="5"/>
        <v>47.337000000000003</v>
      </c>
      <c r="V24" s="18">
        <f t="shared" si="13"/>
        <v>12.337758668000001</v>
      </c>
      <c r="W24" s="18">
        <f t="shared" si="14"/>
        <v>12.040439728040001</v>
      </c>
      <c r="X24" s="18" cm="1">
        <f t="array" ref="X24">INDEX(Factors!$M$24:$M$31,MATCH(1,("D19"=Factors!$J$24:$J$31)*('ESS NEW'!D24=Factors!$K$24:$K$31)*(5=Factors!$L$24:$L$31),0))</f>
        <v>0.57999999999999996</v>
      </c>
      <c r="Y24" s="18" cm="1">
        <f t="array" ref="Y24">INDEX(Factors!$O$24:$O$31,MATCH(1,("D19"=Factors!$J$24:$J$31)*('ESS NEW'!D24=Factors!$K$24:$K$31)*(5=Factors!$L$24:$L$31),0))</f>
        <v>2.31</v>
      </c>
      <c r="Z24" s="18" cm="1">
        <f t="array" ref="Z24">INDEX(Factors!$N$24:$N$31,MATCH(1,("D19"=Factors!$J$24:$J$31)*('ESS NEW'!D24=Factors!$K$24:$K$31)*(5=Factors!$L$24:$L$31),0))</f>
        <v>52.75</v>
      </c>
      <c r="AA24" s="18">
        <f t="shared" si="15"/>
        <v>-13.435462999999999</v>
      </c>
      <c r="AB24" s="18">
        <f t="shared" si="16"/>
        <v>52.75</v>
      </c>
      <c r="AC24" s="18">
        <f t="shared" si="17"/>
        <v>10.550909219999998</v>
      </c>
      <c r="AD24" s="18">
        <f t="shared" si="18"/>
        <v>10.123661496599997</v>
      </c>
    </row>
    <row r="25" spans="2:30">
      <c r="B25" s="12" t="s">
        <v>492</v>
      </c>
      <c r="C25" s="12" t="s">
        <v>494</v>
      </c>
      <c r="D25" s="12" t="s">
        <v>28</v>
      </c>
      <c r="E25" s="12">
        <v>4.2866</v>
      </c>
      <c r="F25" s="12">
        <v>4.7600000000000003E-2</v>
      </c>
      <c r="G25" s="12">
        <v>6.0236999999999998</v>
      </c>
      <c r="H25" s="12">
        <v>4.36E-2</v>
      </c>
      <c r="I25" s="18" cm="1">
        <f t="array" ref="I25">INDEX(Factors!$M$24:$M$31,MATCH(1,("D17"=Factors!$J$24:$J$31)*(D25=Factors!$K$24:$K$31)*(3=Factors!$L$24:$L$31),0))</f>
        <v>35.14</v>
      </c>
      <c r="J25" s="19" cm="1">
        <f t="array" ref="J25">INDEX(Factors!$O$24:$O$31,MATCH(1,("D17"=Factors!$J$24:$J$31)*(D25=Factors!$K$24:$K$31)*(3=Factors!$L$24:$L$31),0))</f>
        <v>2.2909999999999999</v>
      </c>
      <c r="K25" s="18">
        <f t="shared" si="0"/>
        <v>26.722968668000004</v>
      </c>
      <c r="L25" s="18">
        <f t="shared" si="1"/>
        <v>27.524657728040005</v>
      </c>
      <c r="M25" s="18" cm="1">
        <f t="array" ref="M25">INDEX(Factors!$M$24:$M$31,MATCH(1,("D17"=Factors!$J$24:$J$31)*('ESS NEW'!D8=Factors!$K$24:$K$31)*(5=Factors!$L$24:$L$31),0))</f>
        <v>38.49</v>
      </c>
      <c r="N25" s="19" cm="1">
        <f t="array" ref="N25">INDEX(Factors!$O$24:$O$31,MATCH(1,("D17"=Factors!$J$24:$J$31)*('ESS NEW'!D8=Factors!$K$24:$K$31)*(5=Factors!$L$24:$L$31),0))</f>
        <v>2.31</v>
      </c>
      <c r="O25" s="18">
        <f t="shared" si="2"/>
        <v>25.943009220000008</v>
      </c>
      <c r="P25" s="18">
        <f t="shared" si="3"/>
        <v>26.721299496600007</v>
      </c>
      <c r="Q25" s="18" cm="1">
        <f t="array" ref="Q25">INDEX(Factors!$M$24:$M$31,MATCH(1,("D19"=Factors!$J$24:$J$31)*('ESS NEW'!D25=Factors!$K$24:$K$31)*(3=Factors!$L$24:$L$31),0))</f>
        <v>0.57999999999999996</v>
      </c>
      <c r="R25" s="18" cm="1">
        <f t="array" ref="R25">INDEX(Factors!$O$24:$O$31,MATCH(1,("D19"=Factors!$J$24:$J$31)*('ESS NEW'!D25=Factors!$K$24:$K$31)*(3=Factors!$L$24:$L$31),0))</f>
        <v>2.2909999999999999</v>
      </c>
      <c r="S25" s="18" cm="1">
        <f t="array" ref="S25">INDEX(Factors!$N$24:$N$31,MATCH(1,("D19"=Factors!$J$24:$J$31)*('ESS NEW'!D25=Factors!$K$24:$K$31)*(3=Factors!$L$24:$L$31),0))</f>
        <v>47.337000000000003</v>
      </c>
      <c r="T25" s="18">
        <f t="shared" si="12"/>
        <v>-9.3496521999999995</v>
      </c>
      <c r="U25" s="18">
        <f t="shared" si="5"/>
        <v>47.337000000000003</v>
      </c>
      <c r="V25" s="18">
        <f t="shared" si="13"/>
        <v>12.337758668000001</v>
      </c>
      <c r="W25" s="18">
        <f t="shared" si="14"/>
        <v>12.040439728040001</v>
      </c>
      <c r="X25" s="18" cm="1">
        <f t="array" ref="X25">INDEX(Factors!$M$24:$M$31,MATCH(1,("D19"=Factors!$J$24:$J$31)*('ESS NEW'!D25=Factors!$K$24:$K$31)*(5=Factors!$L$24:$L$31),0))</f>
        <v>0.57999999999999996</v>
      </c>
      <c r="Y25" s="18" cm="1">
        <f t="array" ref="Y25">INDEX(Factors!$O$24:$O$31,MATCH(1,("D19"=Factors!$J$24:$J$31)*('ESS NEW'!D25=Factors!$K$24:$K$31)*(5=Factors!$L$24:$L$31),0))</f>
        <v>2.31</v>
      </c>
      <c r="Z25" s="18" cm="1">
        <f t="array" ref="Z25">INDEX(Factors!$N$24:$N$31,MATCH(1,("D19"=Factors!$J$24:$J$31)*('ESS NEW'!D25=Factors!$K$24:$K$31)*(5=Factors!$L$24:$L$31),0))</f>
        <v>52.75</v>
      </c>
      <c r="AA25" s="18">
        <f t="shared" si="15"/>
        <v>-13.435462999999999</v>
      </c>
      <c r="AB25" s="18">
        <f t="shared" si="16"/>
        <v>52.75</v>
      </c>
      <c r="AC25" s="18">
        <f t="shared" si="17"/>
        <v>10.550909219999998</v>
      </c>
      <c r="AD25" s="18">
        <f t="shared" si="18"/>
        <v>10.123661496599997</v>
      </c>
    </row>
    <row r="26" spans="2:30">
      <c r="B26" s="12" t="s">
        <v>492</v>
      </c>
      <c r="C26" s="12" t="s">
        <v>495</v>
      </c>
      <c r="D26" s="12" t="s">
        <v>28</v>
      </c>
      <c r="E26" s="12">
        <v>4.2866</v>
      </c>
      <c r="F26" s="12">
        <v>4.7600000000000003E-2</v>
      </c>
      <c r="G26" s="12">
        <v>6.0236999999999998</v>
      </c>
      <c r="H26" s="12">
        <v>4.36E-2</v>
      </c>
      <c r="I26" s="18" cm="1">
        <f t="array" ref="I26">INDEX(Factors!$M$24:$M$31,MATCH(1,("D17"=Factors!$J$24:$J$31)*(D26=Factors!$K$24:$K$31)*(3=Factors!$L$24:$L$31),0))</f>
        <v>35.14</v>
      </c>
      <c r="J26" s="19" cm="1">
        <f t="array" ref="J26">INDEX(Factors!$O$24:$O$31,MATCH(1,("D17"=Factors!$J$24:$J$31)*(D26=Factors!$K$24:$K$31)*(3=Factors!$L$24:$L$31),0))</f>
        <v>2.2909999999999999</v>
      </c>
      <c r="K26" s="18">
        <f t="shared" si="0"/>
        <v>26.722968668000004</v>
      </c>
      <c r="L26" s="18">
        <f t="shared" si="1"/>
        <v>27.524657728040005</v>
      </c>
      <c r="M26" s="18" cm="1">
        <f t="array" ref="M26">INDEX(Factors!$M$24:$M$31,MATCH(1,("D17"=Factors!$J$24:$J$31)*('ESS NEW'!D9=Factors!$K$24:$K$31)*(5=Factors!$L$24:$L$31),0))</f>
        <v>38.49</v>
      </c>
      <c r="N26" s="19" cm="1">
        <f t="array" ref="N26">INDEX(Factors!$O$24:$O$31,MATCH(1,("D17"=Factors!$J$24:$J$31)*('ESS NEW'!D9=Factors!$K$24:$K$31)*(5=Factors!$L$24:$L$31),0))</f>
        <v>2.31</v>
      </c>
      <c r="O26" s="18">
        <f t="shared" si="2"/>
        <v>25.943009220000008</v>
      </c>
      <c r="P26" s="18">
        <f t="shared" si="3"/>
        <v>26.721299496600007</v>
      </c>
      <c r="Q26" s="18" cm="1">
        <f t="array" ref="Q26">INDEX(Factors!$M$24:$M$31,MATCH(1,("D19"=Factors!$J$24:$J$31)*('ESS NEW'!D26=Factors!$K$24:$K$31)*(3=Factors!$L$24:$L$31),0))</f>
        <v>0.57999999999999996</v>
      </c>
      <c r="R26" s="18" cm="1">
        <f t="array" ref="R26">INDEX(Factors!$O$24:$O$31,MATCH(1,("D19"=Factors!$J$24:$J$31)*('ESS NEW'!D26=Factors!$K$24:$K$31)*(3=Factors!$L$24:$L$31),0))</f>
        <v>2.2909999999999999</v>
      </c>
      <c r="S26" s="18" cm="1">
        <f t="array" ref="S26">INDEX(Factors!$N$24:$N$31,MATCH(1,("D19"=Factors!$J$24:$J$31)*('ESS NEW'!D26=Factors!$K$24:$K$31)*(3=Factors!$L$24:$L$31),0))</f>
        <v>47.337000000000003</v>
      </c>
      <c r="T26" s="18">
        <f t="shared" si="12"/>
        <v>-9.3496521999999995</v>
      </c>
      <c r="U26" s="18">
        <f t="shared" si="5"/>
        <v>47.337000000000003</v>
      </c>
      <c r="V26" s="18">
        <f t="shared" si="13"/>
        <v>12.337758668000001</v>
      </c>
      <c r="W26" s="18">
        <f t="shared" si="14"/>
        <v>12.040439728040001</v>
      </c>
      <c r="X26" s="18" cm="1">
        <f t="array" ref="X26">INDEX(Factors!$M$24:$M$31,MATCH(1,("D19"=Factors!$J$24:$J$31)*('ESS NEW'!D26=Factors!$K$24:$K$31)*(5=Factors!$L$24:$L$31),0))</f>
        <v>0.57999999999999996</v>
      </c>
      <c r="Y26" s="18" cm="1">
        <f t="array" ref="Y26">INDEX(Factors!$O$24:$O$31,MATCH(1,("D19"=Factors!$J$24:$J$31)*('ESS NEW'!D26=Factors!$K$24:$K$31)*(5=Factors!$L$24:$L$31),0))</f>
        <v>2.31</v>
      </c>
      <c r="Z26" s="18" cm="1">
        <f t="array" ref="Z26">INDEX(Factors!$N$24:$N$31,MATCH(1,("D19"=Factors!$J$24:$J$31)*('ESS NEW'!D26=Factors!$K$24:$K$31)*(5=Factors!$L$24:$L$31),0))</f>
        <v>52.75</v>
      </c>
      <c r="AA26" s="18">
        <f t="shared" si="15"/>
        <v>-13.435462999999999</v>
      </c>
      <c r="AB26" s="18">
        <f t="shared" si="16"/>
        <v>52.75</v>
      </c>
      <c r="AC26" s="18">
        <f t="shared" si="17"/>
        <v>10.550909219999998</v>
      </c>
      <c r="AD26" s="18">
        <f t="shared" si="18"/>
        <v>10.123661496599997</v>
      </c>
    </row>
    <row r="27" spans="2:30">
      <c r="B27" s="12" t="s">
        <v>492</v>
      </c>
      <c r="C27" s="12" t="s">
        <v>496</v>
      </c>
      <c r="D27" s="12" t="s">
        <v>28</v>
      </c>
      <c r="E27" s="12">
        <v>3.8380000000000001</v>
      </c>
      <c r="F27" s="12">
        <v>0</v>
      </c>
      <c r="G27" s="12">
        <v>4.8220000000000001</v>
      </c>
      <c r="H27" s="12">
        <v>0</v>
      </c>
      <c r="I27" s="18" cm="1">
        <f t="array" ref="I27">INDEX(Factors!$M$24:$M$31,MATCH(1,("D17"=Factors!$J$24:$J$31)*(D27=Factors!$K$24:$K$31)*(3=Factors!$L$24:$L$31),0))</f>
        <v>35.14</v>
      </c>
      <c r="J27" s="19" cm="1">
        <f t="array" ref="J27">INDEX(Factors!$O$24:$O$31,MATCH(1,("D17"=Factors!$J$24:$J$31)*(D27=Factors!$K$24:$K$31)*(3=Factors!$L$24:$L$31),0))</f>
        <v>2.2909999999999999</v>
      </c>
      <c r="K27" s="18">
        <f t="shared" si="0"/>
        <v>27.927970519999999</v>
      </c>
      <c r="L27" s="18">
        <f t="shared" si="1"/>
        <v>28.7658096356</v>
      </c>
      <c r="M27" s="18" cm="1">
        <f t="array" ref="M27">INDEX(Factors!$M$24:$M$31,MATCH(1,("D17"=Factors!$J$24:$J$31)*('ESS NEW'!D10=Factors!$K$24:$K$31)*(5=Factors!$L$24:$L$31),0))</f>
        <v>38.49</v>
      </c>
      <c r="N27" s="19" cm="1">
        <f t="array" ref="N27">INDEX(Factors!$O$24:$O$31,MATCH(1,("D17"=Factors!$J$24:$J$31)*('ESS NEW'!D10=Factors!$K$24:$K$31)*(5=Factors!$L$24:$L$31),0))</f>
        <v>2.31</v>
      </c>
      <c r="O27" s="18">
        <f t="shared" si="2"/>
        <v>28.992250800000001</v>
      </c>
      <c r="P27" s="18">
        <f t="shared" si="3"/>
        <v>29.862018324000001</v>
      </c>
      <c r="Q27" s="18" cm="1">
        <f t="array" ref="Q27">INDEX(Factors!$M$24:$M$31,MATCH(1,("D19"=Factors!$J$24:$J$31)*('ESS NEW'!D27=Factors!$K$24:$K$31)*(3=Factors!$L$24:$L$31),0))</f>
        <v>0.57999999999999996</v>
      </c>
      <c r="R27" s="18" cm="1">
        <f t="array" ref="R27">INDEX(Factors!$O$24:$O$31,MATCH(1,("D19"=Factors!$J$24:$J$31)*('ESS NEW'!D27=Factors!$K$24:$K$31)*(3=Factors!$L$24:$L$31),0))</f>
        <v>2.2909999999999999</v>
      </c>
      <c r="S27" s="18" cm="1">
        <f t="array" ref="S27">INDEX(Factors!$N$24:$N$31,MATCH(1,("D19"=Factors!$J$24:$J$31)*('ESS NEW'!D27=Factors!$K$24:$K$31)*(3=Factors!$L$24:$L$31),0))</f>
        <v>47.337000000000003</v>
      </c>
      <c r="T27" s="18">
        <f t="shared" si="12"/>
        <v>-8.2128580000000007</v>
      </c>
      <c r="U27" s="18">
        <f t="shared" si="5"/>
        <v>47.337000000000003</v>
      </c>
      <c r="V27" s="18">
        <f t="shared" si="13"/>
        <v>13.54276052</v>
      </c>
      <c r="W27" s="18">
        <f t="shared" si="14"/>
        <v>13.2815916356</v>
      </c>
      <c r="X27" s="18" cm="1">
        <f t="array" ref="X27">INDEX(Factors!$M$24:$M$31,MATCH(1,("D19"=Factors!$J$24:$J$31)*('ESS NEW'!D27=Factors!$K$24:$K$31)*(5=Factors!$L$24:$L$31),0))</f>
        <v>0.57999999999999996</v>
      </c>
      <c r="Y27" s="18" cm="1">
        <f t="array" ref="Y27">INDEX(Factors!$O$24:$O$31,MATCH(1,("D19"=Factors!$J$24:$J$31)*('ESS NEW'!D27=Factors!$K$24:$K$31)*(5=Factors!$L$24:$L$31),0))</f>
        <v>2.31</v>
      </c>
      <c r="Z27" s="18" cm="1">
        <f t="array" ref="Z27">INDEX(Factors!$N$24:$N$31,MATCH(1,("D19"=Factors!$J$24:$J$31)*('ESS NEW'!D27=Factors!$K$24:$K$31)*(5=Factors!$L$24:$L$31),0))</f>
        <v>52.75</v>
      </c>
      <c r="AA27" s="18">
        <f t="shared" si="15"/>
        <v>-10.558820000000001</v>
      </c>
      <c r="AB27" s="18">
        <f t="shared" si="16"/>
        <v>52.75</v>
      </c>
      <c r="AC27" s="18">
        <f t="shared" si="17"/>
        <v>13.600150799999996</v>
      </c>
      <c r="AD27" s="18">
        <f t="shared" si="18"/>
        <v>13.264380323999996</v>
      </c>
    </row>
    <row r="28" spans="2:30">
      <c r="B28" s="12" t="s">
        <v>492</v>
      </c>
      <c r="C28" s="12" t="s">
        <v>497</v>
      </c>
      <c r="D28" s="12" t="s">
        <v>28</v>
      </c>
      <c r="E28" s="12">
        <v>4.2866</v>
      </c>
      <c r="F28" s="12">
        <v>4.7600000000000003E-2</v>
      </c>
      <c r="G28" s="12">
        <v>6.0236999999999998</v>
      </c>
      <c r="H28" s="12">
        <v>4.36E-2</v>
      </c>
      <c r="I28" s="18" cm="1">
        <f t="array" ref="I28">INDEX(Factors!$M$24:$M$31,MATCH(1,("D17"=Factors!$J$24:$J$31)*(D28=Factors!$K$24:$K$31)*(3=Factors!$L$24:$L$31),0))</f>
        <v>35.14</v>
      </c>
      <c r="J28" s="19" cm="1">
        <f t="array" ref="J28">INDEX(Factors!$O$24:$O$31,MATCH(1,("D17"=Factors!$J$24:$J$31)*(D28=Factors!$K$24:$K$31)*(3=Factors!$L$24:$L$31),0))</f>
        <v>2.2909999999999999</v>
      </c>
      <c r="K28" s="18">
        <f t="shared" si="0"/>
        <v>26.722968668000004</v>
      </c>
      <c r="L28" s="18">
        <f t="shared" si="1"/>
        <v>27.524657728040005</v>
      </c>
      <c r="M28" s="18" cm="1">
        <f t="array" ref="M28">INDEX(Factors!$M$24:$M$31,MATCH(1,("D17"=Factors!$J$24:$J$31)*('ESS NEW'!D11=Factors!$K$24:$K$31)*(5=Factors!$L$24:$L$31),0))</f>
        <v>38.49</v>
      </c>
      <c r="N28" s="19" cm="1">
        <f t="array" ref="N28">INDEX(Factors!$O$24:$O$31,MATCH(1,("D17"=Factors!$J$24:$J$31)*('ESS NEW'!D11=Factors!$K$24:$K$31)*(5=Factors!$L$24:$L$31),0))</f>
        <v>2.31</v>
      </c>
      <c r="O28" s="18">
        <f t="shared" si="2"/>
        <v>25.943009220000008</v>
      </c>
      <c r="P28" s="18">
        <f t="shared" si="3"/>
        <v>26.721299496600007</v>
      </c>
      <c r="Q28" s="18" cm="1">
        <f t="array" ref="Q28">INDEX(Factors!$M$24:$M$31,MATCH(1,("D19"=Factors!$J$24:$J$31)*('ESS NEW'!D28=Factors!$K$24:$K$31)*(3=Factors!$L$24:$L$31),0))</f>
        <v>0.57999999999999996</v>
      </c>
      <c r="R28" s="18" cm="1">
        <f t="array" ref="R28">INDEX(Factors!$O$24:$O$31,MATCH(1,("D19"=Factors!$J$24:$J$31)*('ESS NEW'!D28=Factors!$K$24:$K$31)*(3=Factors!$L$24:$L$31),0))</f>
        <v>2.2909999999999999</v>
      </c>
      <c r="S28" s="18" cm="1">
        <f t="array" ref="S28">INDEX(Factors!$N$24:$N$31,MATCH(1,("D19"=Factors!$J$24:$J$31)*('ESS NEW'!D28=Factors!$K$24:$K$31)*(3=Factors!$L$24:$L$31),0))</f>
        <v>47.337000000000003</v>
      </c>
      <c r="T28" s="18">
        <f t="shared" si="12"/>
        <v>-9.3496521999999995</v>
      </c>
      <c r="U28" s="18">
        <f t="shared" si="5"/>
        <v>47.337000000000003</v>
      </c>
      <c r="V28" s="18">
        <f t="shared" si="13"/>
        <v>12.337758668000001</v>
      </c>
      <c r="W28" s="18">
        <f t="shared" si="14"/>
        <v>12.040439728040001</v>
      </c>
      <c r="X28" s="18" cm="1">
        <f t="array" ref="X28">INDEX(Factors!$M$24:$M$31,MATCH(1,("D19"=Factors!$J$24:$J$31)*('ESS NEW'!D28=Factors!$K$24:$K$31)*(5=Factors!$L$24:$L$31),0))</f>
        <v>0.57999999999999996</v>
      </c>
      <c r="Y28" s="18" cm="1">
        <f t="array" ref="Y28">INDEX(Factors!$O$24:$O$31,MATCH(1,("D19"=Factors!$J$24:$J$31)*('ESS NEW'!D28=Factors!$K$24:$K$31)*(5=Factors!$L$24:$L$31),0))</f>
        <v>2.31</v>
      </c>
      <c r="Z28" s="18" cm="1">
        <f t="array" ref="Z28">INDEX(Factors!$N$24:$N$31,MATCH(1,("D19"=Factors!$J$24:$J$31)*('ESS NEW'!D28=Factors!$K$24:$K$31)*(5=Factors!$L$24:$L$31),0))</f>
        <v>52.75</v>
      </c>
      <c r="AA28" s="18">
        <f t="shared" si="15"/>
        <v>-13.435462999999999</v>
      </c>
      <c r="AB28" s="18">
        <f t="shared" si="16"/>
        <v>52.75</v>
      </c>
      <c r="AC28" s="18">
        <f t="shared" si="17"/>
        <v>10.550909219999998</v>
      </c>
      <c r="AD28" s="18">
        <f t="shared" si="18"/>
        <v>10.123661496599997</v>
      </c>
    </row>
    <row r="29" spans="2:30">
      <c r="B29" s="12" t="s">
        <v>492</v>
      </c>
      <c r="C29" s="12" t="s">
        <v>500</v>
      </c>
      <c r="D29" s="12" t="s">
        <v>28</v>
      </c>
      <c r="E29" s="12">
        <v>4.5720000000000001</v>
      </c>
      <c r="F29" s="12">
        <v>0</v>
      </c>
      <c r="G29" s="12">
        <v>5.7519999999999998</v>
      </c>
      <c r="H29" s="12">
        <v>0</v>
      </c>
      <c r="I29" s="18" cm="1">
        <f t="array" ref="I29">INDEX(Factors!$M$24:$M$31,MATCH(1,("D17"=Factors!$J$24:$J$31)*(D29=Factors!$K$24:$K$31)*(3=Factors!$L$24:$L$31),0))</f>
        <v>35.14</v>
      </c>
      <c r="J29" s="19" cm="1">
        <f t="array" ref="J29">INDEX(Factors!$O$24:$O$31,MATCH(1,("D17"=Factors!$J$24:$J$31)*(D29=Factors!$K$24:$K$31)*(3=Factors!$L$24:$L$31),0))</f>
        <v>2.2909999999999999</v>
      </c>
      <c r="K29" s="18">
        <f t="shared" si="0"/>
        <v>26.145480880000001</v>
      </c>
      <c r="L29" s="18">
        <f t="shared" si="1"/>
        <v>26.929845306400001</v>
      </c>
      <c r="M29" s="18" cm="1">
        <f t="array" ref="M29">INDEX(Factors!$M$24:$M$31,MATCH(1,("D17"=Factors!$J$24:$J$31)*('ESS NEW'!D13=Factors!$K$24:$K$31)*(5=Factors!$L$24:$L$31),0))</f>
        <v>38.49</v>
      </c>
      <c r="N29" s="19" cm="1">
        <f t="array" ref="N29">INDEX(Factors!$O$24:$O$31,MATCH(1,("D17"=Factors!$J$24:$J$31)*('ESS NEW'!D13=Factors!$K$24:$K$31)*(5=Factors!$L$24:$L$31),0))</f>
        <v>2.31</v>
      </c>
      <c r="O29" s="18">
        <f t="shared" si="2"/>
        <v>26.715052800000002</v>
      </c>
      <c r="P29" s="18">
        <f t="shared" si="3"/>
        <v>27.516504384000005</v>
      </c>
      <c r="Q29" s="18" cm="1">
        <f t="array" ref="Q29">INDEX(Factors!$M$24:$M$31,MATCH(1,("D19"=Factors!$J$24:$J$31)*('ESS NEW'!D29=Factors!$K$24:$K$31)*(3=Factors!$L$24:$L$31),0))</f>
        <v>0.57999999999999996</v>
      </c>
      <c r="R29" s="18" cm="1">
        <f t="array" ref="R29">INDEX(Factors!$O$24:$O$31,MATCH(1,("D19"=Factors!$J$24:$J$31)*('ESS NEW'!D29=Factors!$K$24:$K$31)*(3=Factors!$L$24:$L$31),0))</f>
        <v>2.2909999999999999</v>
      </c>
      <c r="S29" s="18" cm="1">
        <f t="array" ref="S29">INDEX(Factors!$N$24:$N$31,MATCH(1,("D19"=Factors!$J$24:$J$31)*('ESS NEW'!D29=Factors!$K$24:$K$31)*(3=Factors!$L$24:$L$31),0))</f>
        <v>47.337000000000003</v>
      </c>
      <c r="T29" s="18">
        <f t="shared" si="12"/>
        <v>-9.8944519999999994</v>
      </c>
      <c r="U29" s="18">
        <f t="shared" si="5"/>
        <v>47.337000000000003</v>
      </c>
      <c r="V29" s="18">
        <f t="shared" si="13"/>
        <v>11.76027088</v>
      </c>
      <c r="W29" s="18">
        <f t="shared" si="14"/>
        <v>11.4456273064</v>
      </c>
      <c r="X29" s="18" cm="1">
        <f t="array" ref="X29">INDEX(Factors!$M$24:$M$31,MATCH(1,("D19"=Factors!$J$24:$J$31)*('ESS NEW'!D29=Factors!$K$24:$K$31)*(5=Factors!$L$24:$L$31),0))</f>
        <v>0.57999999999999996</v>
      </c>
      <c r="Y29" s="18" cm="1">
        <f t="array" ref="Y29">INDEX(Factors!$O$24:$O$31,MATCH(1,("D19"=Factors!$J$24:$J$31)*('ESS NEW'!D29=Factors!$K$24:$K$31)*(5=Factors!$L$24:$L$31),0))</f>
        <v>2.31</v>
      </c>
      <c r="Z29" s="18" cm="1">
        <f t="array" ref="Z29">INDEX(Factors!$N$24:$N$31,MATCH(1,("D19"=Factors!$J$24:$J$31)*('ESS NEW'!D29=Factors!$K$24:$K$31)*(5=Factors!$L$24:$L$31),0))</f>
        <v>52.75</v>
      </c>
      <c r="AA29" s="18">
        <f t="shared" si="15"/>
        <v>-12.70712</v>
      </c>
      <c r="AB29" s="18">
        <f t="shared" si="16"/>
        <v>52.75</v>
      </c>
      <c r="AC29" s="18">
        <f t="shared" si="17"/>
        <v>11.322952799999996</v>
      </c>
      <c r="AD29" s="18">
        <f t="shared" si="18"/>
        <v>10.918866383999996</v>
      </c>
    </row>
    <row r="30" spans="2:30">
      <c r="B30" s="12" t="s">
        <v>492</v>
      </c>
      <c r="C30" s="12" t="s">
        <v>501</v>
      </c>
      <c r="D30" s="12" t="s">
        <v>28</v>
      </c>
      <c r="E30" s="12">
        <v>4.0609000000000002</v>
      </c>
      <c r="F30" s="12">
        <v>4.7899999999999998E-2</v>
      </c>
      <c r="G30" s="12">
        <v>5.9107000000000003</v>
      </c>
      <c r="H30" s="12">
        <v>4.3799999999999999E-2</v>
      </c>
      <c r="I30" s="18" cm="1">
        <f t="array" ref="I30">INDEX(Factors!$M$24:$M$31,MATCH(1,("D17"=Factors!$J$24:$J$31)*(D30=Factors!$K$24:$K$31)*(3=Factors!$L$24:$L$31),0))</f>
        <v>35.14</v>
      </c>
      <c r="J30" s="19" cm="1">
        <f t="array" ref="J30">INDEX(Factors!$O$24:$O$31,MATCH(1,("D17"=Factors!$J$24:$J$31)*(D30=Factors!$K$24:$K$31)*(3=Factors!$L$24:$L$31),0))</f>
        <v>2.2909999999999999</v>
      </c>
      <c r="K30" s="18">
        <f t="shared" si="0"/>
        <v>27.270343552</v>
      </c>
      <c r="L30" s="18">
        <f t="shared" si="1"/>
        <v>28.088453858560001</v>
      </c>
      <c r="M30" s="18" cm="1">
        <f t="array" ref="M30">INDEX(Factors!$M$24:$M$31,MATCH(1,("D17"=Factors!$J$24:$J$31)*('ESS NEW'!D14=Factors!$K$24:$K$31)*(5=Factors!$L$24:$L$31),0))</f>
        <v>38.49</v>
      </c>
      <c r="N30" s="19" cm="1">
        <f t="array" ref="N30">INDEX(Factors!$O$24:$O$31,MATCH(1,("D17"=Factors!$J$24:$J$31)*('ESS NEW'!D14=Factors!$K$24:$K$31)*(5=Factors!$L$24:$L$31),0))</f>
        <v>2.31</v>
      </c>
      <c r="O30" s="18">
        <f t="shared" si="2"/>
        <v>26.219211300000001</v>
      </c>
      <c r="P30" s="18">
        <f t="shared" si="3"/>
        <v>27.005787639000001</v>
      </c>
      <c r="Q30" s="18" cm="1">
        <f t="array" ref="Q30">INDEX(Factors!$M$24:$M$31,MATCH(1,("D19"=Factors!$J$24:$J$31)*('ESS NEW'!D30=Factors!$K$24:$K$31)*(3=Factors!$L$24:$L$31),0))</f>
        <v>0.57999999999999996</v>
      </c>
      <c r="R30" s="18" cm="1">
        <f t="array" ref="R30">INDEX(Factors!$O$24:$O$31,MATCH(1,("D19"=Factors!$J$24:$J$31)*('ESS NEW'!D30=Factors!$K$24:$K$31)*(3=Factors!$L$24:$L$31),0))</f>
        <v>2.2909999999999999</v>
      </c>
      <c r="S30" s="18" cm="1">
        <f t="array" ref="S30">INDEX(Factors!$N$24:$N$31,MATCH(1,("D19"=Factors!$J$24:$J$31)*('ESS NEW'!D30=Factors!$K$24:$K$31)*(3=Factors!$L$24:$L$31),0))</f>
        <v>47.337000000000003</v>
      </c>
      <c r="T30" s="18">
        <f t="shared" si="12"/>
        <v>-8.8332608000000015</v>
      </c>
      <c r="U30" s="18">
        <f t="shared" si="5"/>
        <v>47.337000000000003</v>
      </c>
      <c r="V30" s="18">
        <f t="shared" si="13"/>
        <v>12.885133551999999</v>
      </c>
      <c r="W30" s="18">
        <f t="shared" si="14"/>
        <v>12.604235858559999</v>
      </c>
      <c r="X30" s="18" cm="1">
        <f t="array" ref="X30">INDEX(Factors!$M$24:$M$31,MATCH(1,("D19"=Factors!$J$24:$J$31)*('ESS NEW'!D30=Factors!$K$24:$K$31)*(5=Factors!$L$24:$L$31),0))</f>
        <v>0.57999999999999996</v>
      </c>
      <c r="Y30" s="18" cm="1">
        <f t="array" ref="Y30">INDEX(Factors!$O$24:$O$31,MATCH(1,("D19"=Factors!$J$24:$J$31)*('ESS NEW'!D30=Factors!$K$24:$K$31)*(5=Factors!$L$24:$L$31),0))</f>
        <v>2.31</v>
      </c>
      <c r="Z30" s="18" cm="1">
        <f t="array" ref="Z30">INDEX(Factors!$N$24:$N$31,MATCH(1,("D19"=Factors!$J$24:$J$31)*('ESS NEW'!D30=Factors!$K$24:$K$31)*(5=Factors!$L$24:$L$31),0))</f>
        <v>52.75</v>
      </c>
      <c r="AA30" s="18">
        <f t="shared" si="15"/>
        <v>-13.174895000000001</v>
      </c>
      <c r="AB30" s="18">
        <f t="shared" si="16"/>
        <v>52.75</v>
      </c>
      <c r="AC30" s="18">
        <f t="shared" si="17"/>
        <v>10.827111299999995</v>
      </c>
      <c r="AD30" s="18">
        <f t="shared" si="18"/>
        <v>10.408149638999994</v>
      </c>
    </row>
    <row r="31" spans="2:30">
      <c r="B31" s="12" t="s">
        <v>492</v>
      </c>
      <c r="C31" s="12" t="s">
        <v>502</v>
      </c>
      <c r="D31" s="12" t="s">
        <v>28</v>
      </c>
      <c r="E31" s="12">
        <v>5.2885999999999997</v>
      </c>
      <c r="F31" s="12">
        <v>4.7899999999999998E-2</v>
      </c>
      <c r="G31" s="12">
        <v>6.5395000000000003</v>
      </c>
      <c r="H31" s="12">
        <v>4.5499999999999999E-2</v>
      </c>
      <c r="I31" s="18" cm="1">
        <f t="array" ref="I31">INDEX(Factors!$M$24:$M$31,MATCH(1,("D17"=Factors!$J$24:$J$31)*(D31=Factors!$K$24:$K$31)*(3=Factors!$L$24:$L$31),0))</f>
        <v>35.14</v>
      </c>
      <c r="J31" s="19" cm="1">
        <f t="array" ref="J31">INDEX(Factors!$O$24:$O$31,MATCH(1,("D17"=Factors!$J$24:$J$31)*(D31=Factors!$K$24:$K$31)*(3=Factors!$L$24:$L$31),0))</f>
        <v>2.2909999999999999</v>
      </c>
      <c r="K31" s="18">
        <f t="shared" si="0"/>
        <v>24.288923210000004</v>
      </c>
      <c r="L31" s="18">
        <f t="shared" si="1"/>
        <v>25.017590906300004</v>
      </c>
      <c r="M31" s="18" cm="1">
        <f t="array" ref="M31">INDEX(Factors!$M$24:$M$31,MATCH(1,("D17"=Factors!$J$24:$J$31)*('ESS NEW'!D15=Factors!$K$24:$K$31)*(5=Factors!$L$24:$L$31),0))</f>
        <v>38.49</v>
      </c>
      <c r="N31" s="19" cm="1">
        <f t="array" ref="N31">INDEX(Factors!$O$24:$O$31,MATCH(1,("D17"=Factors!$J$24:$J$31)*('ESS NEW'!D15=Factors!$K$24:$K$31)*(5=Factors!$L$24:$L$31),0))</f>
        <v>2.31</v>
      </c>
      <c r="O31" s="18">
        <f t="shared" si="2"/>
        <v>24.675369000000003</v>
      </c>
      <c r="P31" s="18">
        <f t="shared" si="3"/>
        <v>25.415630070000006</v>
      </c>
      <c r="Q31" s="18" cm="1">
        <f t="array" ref="Q31">INDEX(Factors!$M$24:$M$31,MATCH(1,("D19"=Factors!$J$24:$J$31)*('ESS NEW'!D31=Factors!$K$24:$K$31)*(3=Factors!$L$24:$L$31),0))</f>
        <v>0.57999999999999996</v>
      </c>
      <c r="R31" s="18" cm="1">
        <f t="array" ref="R31">INDEX(Factors!$O$24:$O$31,MATCH(1,("D19"=Factors!$J$24:$J$31)*('ESS NEW'!D31=Factors!$K$24:$K$31)*(3=Factors!$L$24:$L$31),0))</f>
        <v>2.2909999999999999</v>
      </c>
      <c r="S31" s="18" cm="1">
        <f t="array" ref="S31">INDEX(Factors!$N$24:$N$31,MATCH(1,("D19"=Factors!$J$24:$J$31)*('ESS NEW'!D31=Factors!$K$24:$K$31)*(3=Factors!$L$24:$L$31),0))</f>
        <v>47.337000000000003</v>
      </c>
      <c r="T31" s="18">
        <f t="shared" si="12"/>
        <v>-11.6459215</v>
      </c>
      <c r="U31" s="18">
        <f t="shared" si="5"/>
        <v>47.337000000000003</v>
      </c>
      <c r="V31" s="18">
        <f t="shared" si="13"/>
        <v>9.9037132099999994</v>
      </c>
      <c r="W31" s="18">
        <f t="shared" si="14"/>
        <v>9.5333729062999986</v>
      </c>
      <c r="X31" s="18" cm="1">
        <f t="array" ref="X31">INDEX(Factors!$M$24:$M$31,MATCH(1,("D19"=Factors!$J$24:$J$31)*('ESS NEW'!D31=Factors!$K$24:$K$31)*(5=Factors!$L$24:$L$31),0))</f>
        <v>0.57999999999999996</v>
      </c>
      <c r="Y31" s="18" cm="1">
        <f t="array" ref="Y31">INDEX(Factors!$O$24:$O$31,MATCH(1,("D19"=Factors!$J$24:$J$31)*('ESS NEW'!D31=Factors!$K$24:$K$31)*(5=Factors!$L$24:$L$31),0))</f>
        <v>2.31</v>
      </c>
      <c r="Z31" s="18" cm="1">
        <f t="array" ref="Z31">INDEX(Factors!$N$24:$N$31,MATCH(1,("D19"=Factors!$J$24:$J$31)*('ESS NEW'!D31=Factors!$K$24:$K$31)*(5=Factors!$L$24:$L$31),0))</f>
        <v>52.75</v>
      </c>
      <c r="AA31" s="18">
        <f t="shared" si="15"/>
        <v>-14.631349999999999</v>
      </c>
      <c r="AB31" s="18">
        <f t="shared" si="16"/>
        <v>52.75</v>
      </c>
      <c r="AC31" s="18">
        <f t="shared" si="17"/>
        <v>9.2832689999999971</v>
      </c>
      <c r="AD31" s="18">
        <f t="shared" si="18"/>
        <v>8.8179920699999972</v>
      </c>
    </row>
    <row r="32" spans="2:30">
      <c r="B32" s="12" t="s">
        <v>492</v>
      </c>
      <c r="C32" s="12" t="s">
        <v>503</v>
      </c>
      <c r="D32" s="12" t="s">
        <v>28</v>
      </c>
      <c r="E32" s="12">
        <v>4.0609000000000002</v>
      </c>
      <c r="F32" s="12">
        <v>4.7899999999999998E-2</v>
      </c>
      <c r="G32" s="12">
        <v>5.9107000000000003</v>
      </c>
      <c r="H32" s="12">
        <v>4.3799999999999999E-2</v>
      </c>
      <c r="I32" s="18" cm="1">
        <f t="array" ref="I32">INDEX(Factors!$M$24:$M$31,MATCH(1,("D17"=Factors!$J$24:$J$31)*(D32=Factors!$K$24:$K$31)*(3=Factors!$L$24:$L$31),0))</f>
        <v>35.14</v>
      </c>
      <c r="J32" s="19" cm="1">
        <f t="array" ref="J32">INDEX(Factors!$O$24:$O$31,MATCH(1,("D17"=Factors!$J$24:$J$31)*(D32=Factors!$K$24:$K$31)*(3=Factors!$L$24:$L$31),0))</f>
        <v>2.2909999999999999</v>
      </c>
      <c r="K32" s="18">
        <f t="shared" si="0"/>
        <v>27.270343552</v>
      </c>
      <c r="L32" s="18">
        <f t="shared" si="1"/>
        <v>28.088453858560001</v>
      </c>
      <c r="M32" s="18" cm="1">
        <f t="array" ref="M32">INDEX(Factors!$M$24:$M$31,MATCH(1,("D17"=Factors!$J$24:$J$31)*('ESS NEW'!D16=Factors!$K$24:$K$31)*(5=Factors!$L$24:$L$31),0))</f>
        <v>38.49</v>
      </c>
      <c r="N32" s="19" cm="1">
        <f t="array" ref="N32">INDEX(Factors!$O$24:$O$31,MATCH(1,("D17"=Factors!$J$24:$J$31)*('ESS NEW'!D16=Factors!$K$24:$K$31)*(5=Factors!$L$24:$L$31),0))</f>
        <v>2.31</v>
      </c>
      <c r="O32" s="18">
        <f t="shared" si="2"/>
        <v>26.219211300000001</v>
      </c>
      <c r="P32" s="18">
        <f t="shared" si="3"/>
        <v>27.005787639000001</v>
      </c>
      <c r="Q32" s="18" cm="1">
        <f t="array" ref="Q32">INDEX(Factors!$M$24:$M$31,MATCH(1,("D19"=Factors!$J$24:$J$31)*('ESS NEW'!D32=Factors!$K$24:$K$31)*(3=Factors!$L$24:$L$31),0))</f>
        <v>0.57999999999999996</v>
      </c>
      <c r="R32" s="18" cm="1">
        <f t="array" ref="R32">INDEX(Factors!$O$24:$O$31,MATCH(1,("D19"=Factors!$J$24:$J$31)*('ESS NEW'!D32=Factors!$K$24:$K$31)*(3=Factors!$L$24:$L$31),0))</f>
        <v>2.2909999999999999</v>
      </c>
      <c r="S32" s="18" cm="1">
        <f t="array" ref="S32">INDEX(Factors!$N$24:$N$31,MATCH(1,("D19"=Factors!$J$24:$J$31)*('ESS NEW'!D32=Factors!$K$24:$K$31)*(3=Factors!$L$24:$L$31),0))</f>
        <v>47.337000000000003</v>
      </c>
      <c r="T32" s="18">
        <f t="shared" si="12"/>
        <v>-8.8332608000000015</v>
      </c>
      <c r="U32" s="18">
        <f t="shared" si="5"/>
        <v>47.337000000000003</v>
      </c>
      <c r="V32" s="18">
        <f t="shared" si="13"/>
        <v>12.885133551999999</v>
      </c>
      <c r="W32" s="18">
        <f t="shared" si="14"/>
        <v>12.604235858559999</v>
      </c>
      <c r="X32" s="18" cm="1">
        <f t="array" ref="X32">INDEX(Factors!$M$24:$M$31,MATCH(1,("D19"=Factors!$J$24:$J$31)*('ESS NEW'!D32=Factors!$K$24:$K$31)*(5=Factors!$L$24:$L$31),0))</f>
        <v>0.57999999999999996</v>
      </c>
      <c r="Y32" s="18" cm="1">
        <f t="array" ref="Y32">INDEX(Factors!$O$24:$O$31,MATCH(1,("D19"=Factors!$J$24:$J$31)*('ESS NEW'!D32=Factors!$K$24:$K$31)*(5=Factors!$L$24:$L$31),0))</f>
        <v>2.31</v>
      </c>
      <c r="Z32" s="18" cm="1">
        <f t="array" ref="Z32">INDEX(Factors!$N$24:$N$31,MATCH(1,("D19"=Factors!$J$24:$J$31)*('ESS NEW'!D32=Factors!$K$24:$K$31)*(5=Factors!$L$24:$L$31),0))</f>
        <v>52.75</v>
      </c>
      <c r="AA32" s="18">
        <f t="shared" si="15"/>
        <v>-13.174895000000001</v>
      </c>
      <c r="AB32" s="18">
        <f t="shared" si="16"/>
        <v>52.75</v>
      </c>
      <c r="AC32" s="18">
        <f t="shared" si="17"/>
        <v>10.827111299999995</v>
      </c>
      <c r="AD32" s="18">
        <f t="shared" si="18"/>
        <v>10.408149638999994</v>
      </c>
    </row>
    <row r="33" spans="2:30">
      <c r="B33" s="12" t="s">
        <v>492</v>
      </c>
      <c r="C33" s="12" t="s">
        <v>504</v>
      </c>
      <c r="D33" s="12" t="s">
        <v>28</v>
      </c>
      <c r="E33" s="12">
        <v>4.0609000000000002</v>
      </c>
      <c r="F33" s="12">
        <v>4.7899999999999998E-2</v>
      </c>
      <c r="G33" s="12">
        <v>5.9107000000000003</v>
      </c>
      <c r="H33" s="12">
        <v>4.3799999999999999E-2</v>
      </c>
      <c r="I33" s="18" cm="1">
        <f t="array" ref="I33">INDEX(Factors!$M$24:$M$31,MATCH(1,("D17"=Factors!$J$24:$J$31)*(D33=Factors!$K$24:$K$31)*(3=Factors!$L$24:$L$31),0))</f>
        <v>35.14</v>
      </c>
      <c r="J33" s="19" cm="1">
        <f t="array" ref="J33">INDEX(Factors!$O$24:$O$31,MATCH(1,("D17"=Factors!$J$24:$J$31)*(D33=Factors!$K$24:$K$31)*(3=Factors!$L$24:$L$31),0))</f>
        <v>2.2909999999999999</v>
      </c>
      <c r="K33" s="18">
        <f t="shared" si="0"/>
        <v>27.270343552</v>
      </c>
      <c r="L33" s="18">
        <f t="shared" si="1"/>
        <v>28.088453858560001</v>
      </c>
      <c r="M33" s="18" cm="1">
        <f t="array" ref="M33">INDEX(Factors!$M$24:$M$31,MATCH(1,("D17"=Factors!$J$24:$J$31)*('ESS NEW'!D17=Factors!$K$24:$K$31)*(5=Factors!$L$24:$L$31),0))</f>
        <v>38.49</v>
      </c>
      <c r="N33" s="19" cm="1">
        <f t="array" ref="N33">INDEX(Factors!$O$24:$O$31,MATCH(1,("D17"=Factors!$J$24:$J$31)*('ESS NEW'!D17=Factors!$K$24:$K$31)*(5=Factors!$L$24:$L$31),0))</f>
        <v>2.31</v>
      </c>
      <c r="O33" s="18">
        <f t="shared" si="2"/>
        <v>26.219211300000001</v>
      </c>
      <c r="P33" s="18">
        <f t="shared" si="3"/>
        <v>27.005787639000001</v>
      </c>
      <c r="Q33" s="18" cm="1">
        <f t="array" ref="Q33">INDEX(Factors!$M$24:$M$31,MATCH(1,("D19"=Factors!$J$24:$J$31)*('ESS NEW'!D33=Factors!$K$24:$K$31)*(3=Factors!$L$24:$L$31),0))</f>
        <v>0.57999999999999996</v>
      </c>
      <c r="R33" s="18" cm="1">
        <f t="array" ref="R33">INDEX(Factors!$O$24:$O$31,MATCH(1,("D19"=Factors!$J$24:$J$31)*('ESS NEW'!D33=Factors!$K$24:$K$31)*(3=Factors!$L$24:$L$31),0))</f>
        <v>2.2909999999999999</v>
      </c>
      <c r="S33" s="18" cm="1">
        <f t="array" ref="S33">INDEX(Factors!$N$24:$N$31,MATCH(1,("D19"=Factors!$J$24:$J$31)*('ESS NEW'!D33=Factors!$K$24:$K$31)*(3=Factors!$L$24:$L$31),0))</f>
        <v>47.337000000000003</v>
      </c>
      <c r="T33" s="18">
        <f t="shared" si="12"/>
        <v>-8.8332608000000015</v>
      </c>
      <c r="U33" s="18">
        <f t="shared" si="5"/>
        <v>47.337000000000003</v>
      </c>
      <c r="V33" s="18">
        <f t="shared" si="13"/>
        <v>12.885133551999999</v>
      </c>
      <c r="W33" s="18">
        <f t="shared" si="14"/>
        <v>12.604235858559999</v>
      </c>
      <c r="X33" s="18" cm="1">
        <f t="array" ref="X33">INDEX(Factors!$M$24:$M$31,MATCH(1,("D19"=Factors!$J$24:$J$31)*('ESS NEW'!D33=Factors!$K$24:$K$31)*(5=Factors!$L$24:$L$31),0))</f>
        <v>0.57999999999999996</v>
      </c>
      <c r="Y33" s="18" cm="1">
        <f t="array" ref="Y33">INDEX(Factors!$O$24:$O$31,MATCH(1,("D19"=Factors!$J$24:$J$31)*('ESS NEW'!D33=Factors!$K$24:$K$31)*(5=Factors!$L$24:$L$31),0))</f>
        <v>2.31</v>
      </c>
      <c r="Z33" s="18" cm="1">
        <f t="array" ref="Z33">INDEX(Factors!$N$24:$N$31,MATCH(1,("D19"=Factors!$J$24:$J$31)*('ESS NEW'!D33=Factors!$K$24:$K$31)*(5=Factors!$L$24:$L$31),0))</f>
        <v>52.75</v>
      </c>
      <c r="AA33" s="18">
        <f t="shared" si="15"/>
        <v>-13.174895000000001</v>
      </c>
      <c r="AB33" s="18">
        <f t="shared" si="16"/>
        <v>52.75</v>
      </c>
      <c r="AC33" s="18">
        <f t="shared" si="17"/>
        <v>10.827111299999995</v>
      </c>
      <c r="AD33" s="18">
        <f t="shared" si="18"/>
        <v>10.408149638999994</v>
      </c>
    </row>
    <row r="34" spans="2:30">
      <c r="B34" s="12" t="s">
        <v>492</v>
      </c>
      <c r="C34" s="12" t="s">
        <v>505</v>
      </c>
      <c r="D34" s="12" t="s">
        <v>28</v>
      </c>
      <c r="E34" s="12">
        <v>5.1525999999999996</v>
      </c>
      <c r="F34" s="12">
        <v>4.8099999999999997E-2</v>
      </c>
      <c r="G34" s="12">
        <v>6.3289999999999997</v>
      </c>
      <c r="H34" s="12">
        <v>4.5600000000000002E-2</v>
      </c>
      <c r="I34" s="18" cm="1">
        <f t="array" ref="I34">INDEX(Factors!$M$24:$M$31,MATCH(1,("D17"=Factors!$J$24:$J$31)*(D34=Factors!$K$24:$K$31)*(3=Factors!$L$24:$L$31),0))</f>
        <v>35.14</v>
      </c>
      <c r="J34" s="19" cm="1">
        <f t="array" ref="J34">INDEX(Factors!$O$24:$O$31,MATCH(1,("D17"=Factors!$J$24:$J$31)*(D34=Factors!$K$24:$K$31)*(3=Factors!$L$24:$L$31),0))</f>
        <v>2.2909999999999999</v>
      </c>
      <c r="K34" s="18">
        <f t="shared" si="0"/>
        <v>24.618708078000001</v>
      </c>
      <c r="L34" s="18">
        <f t="shared" si="1"/>
        <v>25.357269320340002</v>
      </c>
      <c r="M34" s="18" cm="1">
        <f t="array" ref="M34">INDEX(Factors!$M$24:$M$31,MATCH(1,("D17"=Factors!$J$24:$J$31)*('ESS NEW'!D18=Factors!$K$24:$K$31)*(5=Factors!$L$24:$L$31),0))</f>
        <v>38.49</v>
      </c>
      <c r="N34" s="19" cm="1">
        <f t="array" ref="N34">INDEX(Factors!$O$24:$O$31,MATCH(1,("D17"=Factors!$J$24:$J$31)*('ESS NEW'!D18=Factors!$K$24:$K$31)*(5=Factors!$L$24:$L$31),0))</f>
        <v>2.31</v>
      </c>
      <c r="O34" s="18">
        <f t="shared" si="2"/>
        <v>25.19055444</v>
      </c>
      <c r="P34" s="18">
        <f t="shared" si="3"/>
        <v>25.946271073200002</v>
      </c>
      <c r="Q34" s="18" cm="1">
        <f t="array" ref="Q34">INDEX(Factors!$M$24:$M$31,MATCH(1,("D19"=Factors!$J$24:$J$31)*('ESS NEW'!D34=Factors!$K$24:$K$31)*(3=Factors!$L$24:$L$31),0))</f>
        <v>0.57999999999999996</v>
      </c>
      <c r="R34" s="18" cm="1">
        <f t="array" ref="R34">INDEX(Factors!$O$24:$O$31,MATCH(1,("D19"=Factors!$J$24:$J$31)*('ESS NEW'!D34=Factors!$K$24:$K$31)*(3=Factors!$L$24:$L$31),0))</f>
        <v>2.2909999999999999</v>
      </c>
      <c r="S34" s="18" cm="1">
        <f t="array" ref="S34">INDEX(Factors!$N$24:$N$31,MATCH(1,("D19"=Factors!$J$24:$J$31)*('ESS NEW'!D34=Factors!$K$24:$K$31)*(3=Factors!$L$24:$L$31),0))</f>
        <v>47.337000000000003</v>
      </c>
      <c r="T34" s="18">
        <f t="shared" si="12"/>
        <v>-11.334803699999998</v>
      </c>
      <c r="U34" s="18">
        <f t="shared" si="5"/>
        <v>47.337000000000003</v>
      </c>
      <c r="V34" s="18">
        <f t="shared" si="13"/>
        <v>10.233498078000002</v>
      </c>
      <c r="W34" s="18">
        <f t="shared" si="14"/>
        <v>9.8730513203400019</v>
      </c>
      <c r="X34" s="18" cm="1">
        <f t="array" ref="X34">INDEX(Factors!$M$24:$M$31,MATCH(1,("D19"=Factors!$J$24:$J$31)*('ESS NEW'!D34=Factors!$K$24:$K$31)*(5=Factors!$L$24:$L$31),0))</f>
        <v>0.57999999999999996</v>
      </c>
      <c r="Y34" s="18" cm="1">
        <f t="array" ref="Y34">INDEX(Factors!$O$24:$O$31,MATCH(1,("D19"=Factors!$J$24:$J$31)*('ESS NEW'!D34=Factors!$K$24:$K$31)*(5=Factors!$L$24:$L$31),0))</f>
        <v>2.31</v>
      </c>
      <c r="Z34" s="18" cm="1">
        <f t="array" ref="Z34">INDEX(Factors!$N$24:$N$31,MATCH(1,("D19"=Factors!$J$24:$J$31)*('ESS NEW'!D34=Factors!$K$24:$K$31)*(5=Factors!$L$24:$L$31),0))</f>
        <v>52.75</v>
      </c>
      <c r="AA34" s="18">
        <f t="shared" si="15"/>
        <v>-14.145326000000001</v>
      </c>
      <c r="AB34" s="18">
        <f t="shared" si="16"/>
        <v>52.75</v>
      </c>
      <c r="AC34" s="18">
        <f t="shared" si="17"/>
        <v>9.7984544399999951</v>
      </c>
      <c r="AD34" s="18">
        <f t="shared" si="18"/>
        <v>9.3486330731999949</v>
      </c>
    </row>
    <row r="35" spans="2:30">
      <c r="B35" s="12" t="s">
        <v>492</v>
      </c>
      <c r="C35" s="12" t="s">
        <v>506</v>
      </c>
      <c r="D35" s="12" t="s">
        <v>28</v>
      </c>
      <c r="E35" s="12">
        <v>4.0609000000000002</v>
      </c>
      <c r="F35" s="12">
        <v>4.7899999999999998E-2</v>
      </c>
      <c r="G35" s="12">
        <v>5.9107000000000003</v>
      </c>
      <c r="H35" s="12">
        <v>4.3799999999999999E-2</v>
      </c>
      <c r="I35" s="18" cm="1">
        <f t="array" ref="I35">INDEX(Factors!$M$24:$M$31,MATCH(1,("D17"=Factors!$J$24:$J$31)*(D35=Factors!$K$24:$K$31)*(3=Factors!$L$24:$L$31),0))</f>
        <v>35.14</v>
      </c>
      <c r="J35" s="19" cm="1">
        <f t="array" ref="J35">INDEX(Factors!$O$24:$O$31,MATCH(1,("D17"=Factors!$J$24:$J$31)*(D35=Factors!$K$24:$K$31)*(3=Factors!$L$24:$L$31),0))</f>
        <v>2.2909999999999999</v>
      </c>
      <c r="K35" s="18">
        <f t="shared" si="0"/>
        <v>27.270343552</v>
      </c>
      <c r="L35" s="18">
        <f t="shared" si="1"/>
        <v>28.088453858560001</v>
      </c>
      <c r="M35" s="18" cm="1">
        <f t="array" ref="M35">INDEX(Factors!$M$24:$M$31,MATCH(1,("D17"=Factors!$J$24:$J$31)*('ESS NEW'!D19=Factors!$K$24:$K$31)*(5=Factors!$L$24:$L$31),0))</f>
        <v>38.49</v>
      </c>
      <c r="N35" s="19" cm="1">
        <f t="array" ref="N35">INDEX(Factors!$O$24:$O$31,MATCH(1,("D17"=Factors!$J$24:$J$31)*('ESS NEW'!D19=Factors!$K$24:$K$31)*(5=Factors!$L$24:$L$31),0))</f>
        <v>2.31</v>
      </c>
      <c r="O35" s="18">
        <f t="shared" si="2"/>
        <v>26.219211300000001</v>
      </c>
      <c r="P35" s="18">
        <f t="shared" si="3"/>
        <v>27.005787639000001</v>
      </c>
      <c r="Q35" s="18" cm="1">
        <f t="array" ref="Q35">INDEX(Factors!$M$24:$M$31,MATCH(1,("D19"=Factors!$J$24:$J$31)*('ESS NEW'!D35=Factors!$K$24:$K$31)*(3=Factors!$L$24:$L$31),0))</f>
        <v>0.57999999999999996</v>
      </c>
      <c r="R35" s="18" cm="1">
        <f t="array" ref="R35">INDEX(Factors!$O$24:$O$31,MATCH(1,("D19"=Factors!$J$24:$J$31)*('ESS NEW'!D35=Factors!$K$24:$K$31)*(3=Factors!$L$24:$L$31),0))</f>
        <v>2.2909999999999999</v>
      </c>
      <c r="S35" s="18" cm="1">
        <f t="array" ref="S35">INDEX(Factors!$N$24:$N$31,MATCH(1,("D19"=Factors!$J$24:$J$31)*('ESS NEW'!D35=Factors!$K$24:$K$31)*(3=Factors!$L$24:$L$31),0))</f>
        <v>47.337000000000003</v>
      </c>
      <c r="T35" s="18">
        <f t="shared" si="12"/>
        <v>-8.8332608000000015</v>
      </c>
      <c r="U35" s="18">
        <f t="shared" si="5"/>
        <v>47.337000000000003</v>
      </c>
      <c r="V35" s="18">
        <f t="shared" si="13"/>
        <v>12.885133551999999</v>
      </c>
      <c r="W35" s="18">
        <f t="shared" si="14"/>
        <v>12.604235858559999</v>
      </c>
      <c r="X35" s="18" cm="1">
        <f t="array" ref="X35">INDEX(Factors!$M$24:$M$31,MATCH(1,("D19"=Factors!$J$24:$J$31)*('ESS NEW'!D35=Factors!$K$24:$K$31)*(5=Factors!$L$24:$L$31),0))</f>
        <v>0.57999999999999996</v>
      </c>
      <c r="Y35" s="18" cm="1">
        <f t="array" ref="Y35">INDEX(Factors!$O$24:$O$31,MATCH(1,("D19"=Factors!$J$24:$J$31)*('ESS NEW'!D35=Factors!$K$24:$K$31)*(5=Factors!$L$24:$L$31),0))</f>
        <v>2.31</v>
      </c>
      <c r="Z35" s="18" cm="1">
        <f t="array" ref="Z35">INDEX(Factors!$N$24:$N$31,MATCH(1,("D19"=Factors!$J$24:$J$31)*('ESS NEW'!D35=Factors!$K$24:$K$31)*(5=Factors!$L$24:$L$31),0))</f>
        <v>52.75</v>
      </c>
      <c r="AA35" s="18">
        <f t="shared" si="15"/>
        <v>-13.174895000000001</v>
      </c>
      <c r="AB35" s="18">
        <f t="shared" si="16"/>
        <v>52.75</v>
      </c>
      <c r="AC35" s="18">
        <f t="shared" si="17"/>
        <v>10.827111299999995</v>
      </c>
      <c r="AD35" s="18">
        <f t="shared" si="18"/>
        <v>10.408149638999994</v>
      </c>
    </row>
    <row r="36" spans="2:30">
      <c r="B36" s="12" t="s">
        <v>492</v>
      </c>
      <c r="C36" s="12" t="s">
        <v>507</v>
      </c>
      <c r="D36" s="12" t="s">
        <v>28</v>
      </c>
      <c r="E36" s="12">
        <v>4.617</v>
      </c>
      <c r="F36" s="12">
        <v>0</v>
      </c>
      <c r="G36" s="12">
        <v>5.73</v>
      </c>
      <c r="H36" s="12">
        <v>0</v>
      </c>
      <c r="I36" s="18" cm="1">
        <f t="array" ref="I36">INDEX(Factors!$M$24:$M$31,MATCH(1,("D17"=Factors!$J$24:$J$31)*(D36=Factors!$K$24:$K$31)*(3=Factors!$L$24:$L$31),0))</f>
        <v>35.14</v>
      </c>
      <c r="J36" s="19" cm="1">
        <f t="array" ref="J36">INDEX(Factors!$O$24:$O$31,MATCH(1,("D17"=Factors!$J$24:$J$31)*(D36=Factors!$K$24:$K$31)*(3=Factors!$L$24:$L$31),0))</f>
        <v>2.2909999999999999</v>
      </c>
      <c r="K36" s="18">
        <f t="shared" si="0"/>
        <v>26.036200180000002</v>
      </c>
      <c r="L36" s="18">
        <f t="shared" si="1"/>
        <v>26.817286185400004</v>
      </c>
      <c r="M36" s="18" cm="1">
        <f t="array" ref="M36">INDEX(Factors!$M$24:$M$31,MATCH(1,("D17"=Factors!$J$24:$J$31)*('ESS NEW'!D20=Factors!$K$24:$K$31)*(5=Factors!$L$24:$L$31),0))</f>
        <v>38.49</v>
      </c>
      <c r="N36" s="19" cm="1">
        <f t="array" ref="N36">INDEX(Factors!$O$24:$O$31,MATCH(1,("D17"=Factors!$J$24:$J$31)*('ESS NEW'!D20=Factors!$K$24:$K$31)*(5=Factors!$L$24:$L$31),0))</f>
        <v>2.31</v>
      </c>
      <c r="O36" s="18">
        <f t="shared" si="2"/>
        <v>26.768922000000003</v>
      </c>
      <c r="P36" s="18">
        <f t="shared" si="3"/>
        <v>27.571989660000003</v>
      </c>
      <c r="Q36" s="18" cm="1">
        <f t="array" ref="Q36">INDEX(Factors!$M$24:$M$31,MATCH(1,("D19"=Factors!$J$24:$J$31)*('ESS NEW'!D36=Factors!$K$24:$K$31)*(3=Factors!$L$24:$L$31),0))</f>
        <v>0.57999999999999996</v>
      </c>
      <c r="R36" s="18" cm="1">
        <f t="array" ref="R36">INDEX(Factors!$O$24:$O$31,MATCH(1,("D19"=Factors!$J$24:$J$31)*('ESS NEW'!D36=Factors!$K$24:$K$31)*(3=Factors!$L$24:$L$31),0))</f>
        <v>2.2909999999999999</v>
      </c>
      <c r="S36" s="18" cm="1">
        <f t="array" ref="S36">INDEX(Factors!$N$24:$N$31,MATCH(1,("D19"=Factors!$J$24:$J$31)*('ESS NEW'!D36=Factors!$K$24:$K$31)*(3=Factors!$L$24:$L$31),0))</f>
        <v>47.337000000000003</v>
      </c>
      <c r="T36" s="18">
        <f t="shared" si="12"/>
        <v>-9.9975469999999991</v>
      </c>
      <c r="U36" s="18">
        <f t="shared" si="5"/>
        <v>47.337000000000003</v>
      </c>
      <c r="V36" s="18">
        <f t="shared" si="13"/>
        <v>11.650990180000001</v>
      </c>
      <c r="W36" s="18">
        <f t="shared" si="14"/>
        <v>11.3330681854</v>
      </c>
      <c r="X36" s="18" cm="1">
        <f t="array" ref="X36">INDEX(Factors!$M$24:$M$31,MATCH(1,("D19"=Factors!$J$24:$J$31)*('ESS NEW'!D36=Factors!$K$24:$K$31)*(5=Factors!$L$24:$L$31),0))</f>
        <v>0.57999999999999996</v>
      </c>
      <c r="Y36" s="18" cm="1">
        <f t="array" ref="Y36">INDEX(Factors!$O$24:$O$31,MATCH(1,("D19"=Factors!$J$24:$J$31)*('ESS NEW'!D36=Factors!$K$24:$K$31)*(5=Factors!$L$24:$L$31),0))</f>
        <v>2.31</v>
      </c>
      <c r="Z36" s="18" cm="1">
        <f t="array" ref="Z36">INDEX(Factors!$N$24:$N$31,MATCH(1,("D19"=Factors!$J$24:$J$31)*('ESS NEW'!D36=Factors!$K$24:$K$31)*(5=Factors!$L$24:$L$31),0))</f>
        <v>52.75</v>
      </c>
      <c r="AA36" s="18">
        <f t="shared" si="15"/>
        <v>-12.656300000000002</v>
      </c>
      <c r="AB36" s="18">
        <f t="shared" si="16"/>
        <v>52.75</v>
      </c>
      <c r="AC36" s="18">
        <f t="shared" si="17"/>
        <v>11.376821999999995</v>
      </c>
      <c r="AD36" s="18">
        <f t="shared" si="18"/>
        <v>10.974351659999995</v>
      </c>
    </row>
    <row r="37" spans="2:30">
      <c r="B37" s="12" t="s">
        <v>498</v>
      </c>
      <c r="C37" s="12" t="s">
        <v>499</v>
      </c>
      <c r="D37" s="12" t="s">
        <v>28</v>
      </c>
      <c r="E37" s="12">
        <v>4.7140000000000004</v>
      </c>
      <c r="F37" s="12">
        <v>0</v>
      </c>
      <c r="G37" s="12">
        <v>6.0229999999999997</v>
      </c>
      <c r="H37" s="12">
        <v>0</v>
      </c>
      <c r="I37" s="18" cm="1">
        <f t="array" ref="I37">INDEX(Factors!$M$24:$M$31,MATCH(1,("D17"=Factors!$J$24:$J$31)*(D37=Factors!$K$24:$K$31)*(3=Factors!$L$24:$L$31),0))</f>
        <v>35.14</v>
      </c>
      <c r="J37" s="19" cm="1">
        <f t="array" ref="J37">INDEX(Factors!$O$24:$O$31,MATCH(1,("D17"=Factors!$J$24:$J$31)*(D37=Factors!$K$24:$K$31)*(3=Factors!$L$24:$L$31),0))</f>
        <v>2.2909999999999999</v>
      </c>
      <c r="K37" s="18">
        <f t="shared" si="0"/>
        <v>25.800639560000004</v>
      </c>
      <c r="L37" s="18">
        <f t="shared" si="1"/>
        <v>26.574658746800004</v>
      </c>
      <c r="M37" s="18" cm="1">
        <f t="array" ref="M37">INDEX(Factors!$M$24:$M$31,MATCH(1,("D17"=Factors!$J$24:$J$31)*('ESS NEW'!D12=Factors!$K$24:$K$31)*(5=Factors!$L$24:$L$31),0))</f>
        <v>38.49</v>
      </c>
      <c r="N37" s="19" cm="1">
        <f t="array" ref="N37">INDEX(Factors!$O$24:$O$31,MATCH(1,("D17"=Factors!$J$24:$J$31)*('ESS NEW'!D12=Factors!$K$24:$K$31)*(5=Factors!$L$24:$L$31),0))</f>
        <v>2.31</v>
      </c>
      <c r="O37" s="18">
        <f t="shared" si="2"/>
        <v>26.051482200000006</v>
      </c>
      <c r="P37" s="18">
        <f t="shared" si="3"/>
        <v>26.833026666000006</v>
      </c>
      <c r="Q37" s="18" cm="1">
        <f t="array" ref="Q37">INDEX(Factors!$M$24:$M$31,MATCH(1,("D19"=Factors!$J$24:$J$31)*('ESS NEW'!D37=Factors!$K$24:$K$31)*(3=Factors!$L$24:$L$31),0))</f>
        <v>0.57999999999999996</v>
      </c>
      <c r="R37" s="18" cm="1">
        <f t="array" ref="R37">INDEX(Factors!$O$24:$O$31,MATCH(1,("D19"=Factors!$J$24:$J$31)*('ESS NEW'!D37=Factors!$K$24:$K$31)*(3=Factors!$L$24:$L$31),0))</f>
        <v>2.2909999999999999</v>
      </c>
      <c r="S37" s="18" cm="1">
        <f t="array" ref="S37">INDEX(Factors!$N$24:$N$31,MATCH(1,("D19"=Factors!$J$24:$J$31)*('ESS NEW'!D37=Factors!$K$24:$K$31)*(3=Factors!$L$24:$L$31),0))</f>
        <v>47.337000000000003</v>
      </c>
      <c r="T37" s="18">
        <f t="shared" si="12"/>
        <v>-10.219774000000001</v>
      </c>
      <c r="U37" s="18">
        <f t="shared" si="5"/>
        <v>47.337000000000003</v>
      </c>
      <c r="V37" s="18">
        <f t="shared" si="13"/>
        <v>11.41542956</v>
      </c>
      <c r="W37" s="18">
        <f t="shared" si="14"/>
        <v>11.090440746799999</v>
      </c>
      <c r="X37" s="18" cm="1">
        <f t="array" ref="X37">INDEX(Factors!$M$24:$M$31,MATCH(1,("D19"=Factors!$J$24:$J$31)*('ESS NEW'!D37=Factors!$K$24:$K$31)*(5=Factors!$L$24:$L$31),0))</f>
        <v>0.57999999999999996</v>
      </c>
      <c r="Y37" s="18" cm="1">
        <f t="array" ref="Y37">INDEX(Factors!$O$24:$O$31,MATCH(1,("D19"=Factors!$J$24:$J$31)*('ESS NEW'!D37=Factors!$K$24:$K$31)*(5=Factors!$L$24:$L$31),0))</f>
        <v>2.31</v>
      </c>
      <c r="Z37" s="18" cm="1">
        <f t="array" ref="Z37">INDEX(Factors!$N$24:$N$31,MATCH(1,("D19"=Factors!$J$24:$J$31)*('ESS NEW'!D37=Factors!$K$24:$K$31)*(5=Factors!$L$24:$L$31),0))</f>
        <v>52.75</v>
      </c>
      <c r="AA37" s="18">
        <f t="shared" si="15"/>
        <v>-13.333129999999999</v>
      </c>
      <c r="AB37" s="18">
        <f t="shared" si="16"/>
        <v>52.75</v>
      </c>
      <c r="AC37" s="18">
        <f t="shared" si="17"/>
        <v>10.659382199999998</v>
      </c>
      <c r="AD37" s="18">
        <f t="shared" si="18"/>
        <v>10.235388665999997</v>
      </c>
    </row>
  </sheetData>
  <sortState xmlns:xlrd2="http://schemas.microsoft.com/office/spreadsheetml/2017/richdata2" ref="B6:AD37">
    <sortCondition ref="B6:B37"/>
  </sortState>
  <mergeCells count="6">
    <mergeCell ref="Q4:W4"/>
    <mergeCell ref="X4:AD4"/>
    <mergeCell ref="I3:P3"/>
    <mergeCell ref="Q3:AD3"/>
    <mergeCell ref="I4:L4"/>
    <mergeCell ref="M4:P4"/>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4D865D-D753-4A45-8B59-D8BF7CC22988}">
  <sheetPr codeName="Sheet46">
    <tabColor rgb="FFFFC000"/>
  </sheetPr>
  <dimension ref="B1:X37"/>
  <sheetViews>
    <sheetView topLeftCell="A2" zoomScale="90" zoomScaleNormal="100" workbookViewId="0">
      <selection activeCell="C26" sqref="C26"/>
    </sheetView>
  </sheetViews>
  <sheetFormatPr defaultColWidth="8.86328125" defaultRowHeight="14.75"/>
  <cols>
    <col min="1" max="1" width="8.86328125" style="65"/>
    <col min="2" max="2" width="15.76953125" style="84" bestFit="1" customWidth="1"/>
    <col min="3" max="3" width="14.54296875" style="84" bestFit="1" customWidth="1"/>
    <col min="4" max="4" width="11.76953125" style="87" bestFit="1" customWidth="1"/>
    <col min="5" max="8" width="12" style="87" customWidth="1"/>
    <col min="9" max="9" width="12.86328125" style="87" bestFit="1" customWidth="1"/>
    <col min="10" max="10" width="13" style="87" bestFit="1" customWidth="1"/>
    <col min="11" max="14" width="10.31640625" style="87" bestFit="1" customWidth="1"/>
    <col min="15" max="15" width="12.86328125" style="87" bestFit="1" customWidth="1"/>
    <col min="16" max="16" width="13" style="87" bestFit="1" customWidth="1"/>
    <col min="17" max="24" width="10.31640625" style="87" bestFit="1" customWidth="1"/>
    <col min="25" max="587" width="8.86328125" style="65" customWidth="1"/>
    <col min="588" max="16384" width="8.86328125" style="65"/>
  </cols>
  <sheetData>
    <row r="1" spans="2:24">
      <c r="B1" s="77"/>
      <c r="C1" s="68"/>
      <c r="D1" s="68"/>
      <c r="E1" s="68"/>
      <c r="F1" s="68"/>
      <c r="G1" s="68"/>
      <c r="H1" s="68"/>
      <c r="I1" s="68"/>
      <c r="J1" s="68"/>
    </row>
    <row r="2" spans="2:24" ht="18.5">
      <c r="B2" s="85" t="s">
        <v>0</v>
      </c>
      <c r="D2" s="68"/>
      <c r="E2" s="68"/>
      <c r="F2" s="68"/>
      <c r="G2" s="68"/>
      <c r="H2" s="68"/>
      <c r="I2" s="68"/>
      <c r="J2" s="68"/>
      <c r="K2" s="90" t="s">
        <v>1</v>
      </c>
      <c r="L2" s="90" t="s">
        <v>1</v>
      </c>
      <c r="M2" s="90" t="s">
        <v>2</v>
      </c>
      <c r="N2" s="90" t="s">
        <v>2</v>
      </c>
      <c r="O2" s="68"/>
      <c r="P2" s="68"/>
      <c r="Q2" s="68"/>
      <c r="R2" s="68"/>
      <c r="S2" s="68"/>
      <c r="T2" s="68"/>
      <c r="U2" s="90" t="s">
        <v>1</v>
      </c>
      <c r="V2" s="90" t="s">
        <v>1</v>
      </c>
      <c r="W2" s="90" t="s">
        <v>2</v>
      </c>
      <c r="X2" s="90" t="s">
        <v>2</v>
      </c>
    </row>
    <row r="3" spans="2:24">
      <c r="B3" s="195" t="s">
        <v>510</v>
      </c>
      <c r="C3" s="77"/>
      <c r="F3" s="68"/>
      <c r="G3" s="68"/>
      <c r="H3" s="68"/>
      <c r="I3" s="352" t="s">
        <v>60</v>
      </c>
      <c r="J3" s="352"/>
      <c r="K3" s="352"/>
      <c r="L3" s="352"/>
      <c r="M3" s="352"/>
      <c r="N3" s="352"/>
      <c r="O3" s="353" t="s">
        <v>61</v>
      </c>
      <c r="P3" s="353"/>
      <c r="Q3" s="353"/>
      <c r="R3" s="353"/>
      <c r="S3" s="353"/>
      <c r="T3" s="353"/>
      <c r="U3" s="353"/>
      <c r="V3" s="353"/>
      <c r="W3" s="353"/>
      <c r="X3" s="353"/>
    </row>
    <row r="4" spans="2:24">
      <c r="B4" s="92"/>
      <c r="C4" s="92"/>
      <c r="D4" s="93"/>
      <c r="E4" s="93"/>
      <c r="F4" s="93"/>
      <c r="G4" s="93"/>
      <c r="H4" s="93"/>
      <c r="I4" s="142"/>
      <c r="J4" s="143"/>
      <c r="K4" s="358" t="s">
        <v>56</v>
      </c>
      <c r="L4" s="359"/>
      <c r="M4" s="352" t="s">
        <v>2</v>
      </c>
      <c r="N4" s="352"/>
      <c r="O4" s="145"/>
      <c r="P4" s="145"/>
      <c r="Q4" s="354" t="s">
        <v>7</v>
      </c>
      <c r="R4" s="355"/>
      <c r="S4" s="354" t="s">
        <v>8</v>
      </c>
      <c r="T4" s="355"/>
      <c r="U4" s="356" t="s">
        <v>56</v>
      </c>
      <c r="V4" s="357"/>
      <c r="W4" s="353" t="s">
        <v>2</v>
      </c>
      <c r="X4" s="353"/>
    </row>
    <row r="5" spans="2:24">
      <c r="B5" s="16" t="s">
        <v>40</v>
      </c>
      <c r="C5" s="16" t="s">
        <v>9</v>
      </c>
      <c r="D5" s="13" t="s">
        <v>10</v>
      </c>
      <c r="E5" s="13" t="s">
        <v>57</v>
      </c>
      <c r="F5" s="13" t="s">
        <v>58</v>
      </c>
      <c r="G5" s="13" t="s">
        <v>54</v>
      </c>
      <c r="H5" s="13" t="s">
        <v>55</v>
      </c>
      <c r="I5" s="143" t="s">
        <v>3</v>
      </c>
      <c r="J5" s="143" t="s">
        <v>4</v>
      </c>
      <c r="K5" s="144" t="s">
        <v>199</v>
      </c>
      <c r="L5" s="144" t="s">
        <v>184</v>
      </c>
      <c r="M5" s="144" t="s">
        <v>199</v>
      </c>
      <c r="N5" s="144" t="s">
        <v>184</v>
      </c>
      <c r="O5" s="145" t="s">
        <v>3</v>
      </c>
      <c r="P5" s="145" t="s">
        <v>4</v>
      </c>
      <c r="Q5" s="146" t="s">
        <v>199</v>
      </c>
      <c r="R5" s="146" t="s">
        <v>184</v>
      </c>
      <c r="S5" s="146" t="s">
        <v>199</v>
      </c>
      <c r="T5" s="146" t="s">
        <v>184</v>
      </c>
      <c r="U5" s="146" t="s">
        <v>199</v>
      </c>
      <c r="V5" s="146" t="s">
        <v>184</v>
      </c>
      <c r="W5" s="146" t="s">
        <v>199</v>
      </c>
      <c r="X5" s="146" t="s">
        <v>184</v>
      </c>
    </row>
    <row r="6" spans="2:24">
      <c r="B6" s="12" t="s">
        <v>204</v>
      </c>
      <c r="C6" s="12" t="s">
        <v>464</v>
      </c>
      <c r="D6" s="12" t="s">
        <v>28</v>
      </c>
      <c r="E6" s="12">
        <v>3.2864</v>
      </c>
      <c r="F6" s="12">
        <v>0</v>
      </c>
      <c r="G6" s="12">
        <v>4.0434000000000001</v>
      </c>
      <c r="H6" s="12">
        <v>0</v>
      </c>
      <c r="I6" s="18">
        <f>IF($D6="Small",Factors!$J$4,Factors!$K$4)</f>
        <v>50.76</v>
      </c>
      <c r="J6" s="19">
        <f>IF(D6="Small",Factors!$L$4,Factors!$M$4)</f>
        <v>0</v>
      </c>
      <c r="K6" s="18">
        <f t="shared" ref="K6:K37" si="0">($I6-a_D17*(E6+F6))*ECCF*MetroESS</f>
        <v>45.723685119999999</v>
      </c>
      <c r="L6" s="18">
        <f t="shared" ref="L6:L37" si="1">($I6-a_D17*(G6+H6))*ECCF*MetroESS</f>
        <v>43.862070719999998</v>
      </c>
      <c r="M6" s="18">
        <f t="shared" ref="M6:M37" si="2">($I6-a_D17*(E6+F6))*ECCF*RegionalESS</f>
        <v>47.095395673600002</v>
      </c>
      <c r="N6" s="18">
        <f t="shared" ref="N6:N37" si="3">($I6-a_D17*(G6+H6))*ECCF*RegionalESS</f>
        <v>45.177932841599997</v>
      </c>
      <c r="O6" s="18">
        <f>IF($D6="Small",Factors!$J$6,Factors!$K$6)</f>
        <v>0.57999999999999996</v>
      </c>
      <c r="P6" s="18">
        <f>IF($D6="Small",Factors!$L$6,Factors!$M$6)</f>
        <v>69.05</v>
      </c>
      <c r="Q6" s="18">
        <f t="shared" ref="Q6:Q37" si="4">$O6-a_D19*(E6+F6)</f>
        <v>-7.0444479999999992</v>
      </c>
      <c r="R6" s="18">
        <f t="shared" ref="R6:R37" si="5">$O6-a_D19*(G6+H6)</f>
        <v>-8.8006879999999992</v>
      </c>
      <c r="S6" s="18">
        <f t="shared" ref="S6:T37" si="6">$P6</f>
        <v>69.05</v>
      </c>
      <c r="T6" s="18">
        <f t="shared" si="6"/>
        <v>69.05</v>
      </c>
      <c r="U6" s="18">
        <f t="shared" ref="U6:U37" si="7">Q6*MetroESS*ECCF+S6*GCCF</f>
        <v>24.986385119999998</v>
      </c>
      <c r="V6" s="18">
        <f t="shared" ref="V6:V37" si="8">R6*MetroESS*ECCF+T6*GCCF</f>
        <v>23.124770720000001</v>
      </c>
      <c r="W6" s="18">
        <f t="shared" ref="W6:W37" si="9">(Q6*ECCF*RegionalESS+S6*GCCF)</f>
        <v>24.762371673600001</v>
      </c>
      <c r="X6" s="18">
        <f t="shared" ref="X6:X37" si="10">MAX(R6*ECCF*RegionalESS+T6*GCCF,0)</f>
        <v>22.844908841599999</v>
      </c>
    </row>
    <row r="7" spans="2:24">
      <c r="B7" s="12" t="s">
        <v>204</v>
      </c>
      <c r="C7" s="12" t="s">
        <v>449</v>
      </c>
      <c r="D7" s="12" t="s">
        <v>28</v>
      </c>
      <c r="E7" s="12">
        <v>4.117</v>
      </c>
      <c r="F7" s="12">
        <v>0</v>
      </c>
      <c r="G7" s="12">
        <v>5.1029999999999998</v>
      </c>
      <c r="H7" s="12">
        <v>0</v>
      </c>
      <c r="I7" s="18">
        <f>IF($D7="Small",Factors!$J$4,Factors!$K$4)</f>
        <v>50.76</v>
      </c>
      <c r="J7" s="19">
        <f>IF(D7="Small",Factors!$L$4,Factors!$M$4)</f>
        <v>0</v>
      </c>
      <c r="K7" s="18">
        <f t="shared" ref="K7:K23" si="11">($I7-a_D17*(E7+F7))*ECCF*MetroESS</f>
        <v>43.681073599999998</v>
      </c>
      <c r="L7" s="18">
        <f t="shared" ref="L7:L23" si="12">($I7-a_D17*(G7+H7))*ECCF*MetroESS</f>
        <v>41.256302400000003</v>
      </c>
      <c r="M7" s="18">
        <f t="shared" ref="M7:M23" si="13">($I7-a_D17*(E7+F7))*ECCF*RegionalESS</f>
        <v>44.991505807999999</v>
      </c>
      <c r="N7" s="18">
        <f t="shared" ref="N7:N23" si="14">($I7-a_D17*(G7+H7))*ECCF*RegionalESS</f>
        <v>42.493991472000005</v>
      </c>
      <c r="O7" s="18">
        <f>IF($D7="Small",Factors!$J$6,Factors!$K$6)</f>
        <v>0.57999999999999996</v>
      </c>
      <c r="P7" s="18">
        <f>IF($D7="Small",Factors!$L$6,Factors!$M$6)</f>
        <v>69.05</v>
      </c>
      <c r="Q7" s="18">
        <f t="shared" ref="Q7:Q23" si="15">$O7-a_D19*(E7+F7)</f>
        <v>-8.9714399999999994</v>
      </c>
      <c r="R7" s="18">
        <f t="shared" ref="R7:R23" si="16">$O7-a_D19*(G7+H7)</f>
        <v>-11.258959999999998</v>
      </c>
      <c r="S7" s="18">
        <f t="shared" si="6"/>
        <v>69.05</v>
      </c>
      <c r="T7" s="18">
        <f t="shared" si="6"/>
        <v>69.05</v>
      </c>
      <c r="U7" s="18">
        <f t="shared" ref="U7:U23" si="17">Q7*MetroESS*ECCF+S7*GCCF</f>
        <v>22.9437736</v>
      </c>
      <c r="V7" s="18">
        <f t="shared" ref="V7:V23" si="18">R7*MetroESS*ECCF+T7*GCCF</f>
        <v>20.519002399999998</v>
      </c>
      <c r="W7" s="18">
        <f t="shared" ref="W7:W23" si="19">(Q7*ECCF*RegionalESS+S7*GCCF)</f>
        <v>22.658481807999998</v>
      </c>
      <c r="X7" s="18">
        <f t="shared" ref="X7:X23" si="20">MAX(R7*ECCF*RegionalESS+T7*GCCF,0)</f>
        <v>20.160967471999999</v>
      </c>
    </row>
    <row r="8" spans="2:24">
      <c r="B8" s="12" t="s">
        <v>204</v>
      </c>
      <c r="C8" s="12" t="s">
        <v>206</v>
      </c>
      <c r="D8" s="12" t="s">
        <v>28</v>
      </c>
      <c r="E8" s="12">
        <v>3.2593999999999999</v>
      </c>
      <c r="F8" s="12">
        <v>0</v>
      </c>
      <c r="G8" s="12">
        <v>3.9660000000000002</v>
      </c>
      <c r="H8" s="12">
        <v>0</v>
      </c>
      <c r="I8" s="18">
        <f>IF($D8="Small",Factors!$J$4,Factors!$K$4)</f>
        <v>50.76</v>
      </c>
      <c r="J8" s="19">
        <f>IF(D8="Small",Factors!$L$4,Factors!$M$4)</f>
        <v>0</v>
      </c>
      <c r="K8" s="18">
        <f t="shared" si="11"/>
        <v>45.790083520000003</v>
      </c>
      <c r="L8" s="18">
        <f t="shared" si="12"/>
        <v>44.052412800000006</v>
      </c>
      <c r="M8" s="18">
        <f t="shared" si="13"/>
        <v>47.163786025600004</v>
      </c>
      <c r="N8" s="18">
        <f t="shared" si="14"/>
        <v>45.373985184000006</v>
      </c>
      <c r="O8" s="18">
        <f>IF($D8="Small",Factors!$J$6,Factors!$K$6)</f>
        <v>0.57999999999999996</v>
      </c>
      <c r="P8" s="18">
        <f>IF($D8="Small",Factors!$L$6,Factors!$M$6)</f>
        <v>69.05</v>
      </c>
      <c r="Q8" s="18">
        <f t="shared" si="15"/>
        <v>-6.9818079999999991</v>
      </c>
      <c r="R8" s="18">
        <f t="shared" si="16"/>
        <v>-8.6211199999999995</v>
      </c>
      <c r="S8" s="18">
        <f t="shared" si="6"/>
        <v>69.05</v>
      </c>
      <c r="T8" s="18">
        <f t="shared" si="6"/>
        <v>69.05</v>
      </c>
      <c r="U8" s="18">
        <f t="shared" si="17"/>
        <v>25.052783519999998</v>
      </c>
      <c r="V8" s="18">
        <f t="shared" si="18"/>
        <v>23.315112799999998</v>
      </c>
      <c r="W8" s="18">
        <f t="shared" si="19"/>
        <v>24.830762025599999</v>
      </c>
      <c r="X8" s="18">
        <f t="shared" si="20"/>
        <v>23.040961183999997</v>
      </c>
    </row>
    <row r="9" spans="2:24">
      <c r="B9" s="12" t="s">
        <v>204</v>
      </c>
      <c r="C9" s="12" t="s">
        <v>205</v>
      </c>
      <c r="D9" s="12" t="s">
        <v>28</v>
      </c>
      <c r="E9" s="12">
        <v>3.4940000000000002</v>
      </c>
      <c r="F9" s="12">
        <v>0</v>
      </c>
      <c r="G9" s="12">
        <v>4.3470000000000004</v>
      </c>
      <c r="H9" s="12">
        <v>0</v>
      </c>
      <c r="I9" s="18">
        <f>IF($D9="Small",Factors!$J$4,Factors!$K$4)</f>
        <v>50.76</v>
      </c>
      <c r="J9" s="19">
        <f>IF(D9="Small",Factors!$L$4,Factors!$M$4)</f>
        <v>0</v>
      </c>
      <c r="K9" s="18">
        <f t="shared" si="11"/>
        <v>45.213155200000003</v>
      </c>
      <c r="L9" s="18">
        <f t="shared" si="12"/>
        <v>43.115457599999999</v>
      </c>
      <c r="M9" s="18">
        <f t="shared" si="13"/>
        <v>46.569549856000002</v>
      </c>
      <c r="N9" s="18">
        <f t="shared" si="14"/>
        <v>44.408921327999998</v>
      </c>
      <c r="O9" s="18">
        <f>IF($D9="Small",Factors!$J$6,Factors!$K$6)</f>
        <v>0.57999999999999996</v>
      </c>
      <c r="P9" s="18">
        <f>IF($D9="Small",Factors!$L$6,Factors!$M$6)</f>
        <v>69.05</v>
      </c>
      <c r="Q9" s="18">
        <f t="shared" si="15"/>
        <v>-7.5260800000000003</v>
      </c>
      <c r="R9" s="18">
        <f t="shared" si="16"/>
        <v>-9.505040000000001</v>
      </c>
      <c r="S9" s="18">
        <f t="shared" si="6"/>
        <v>69.05</v>
      </c>
      <c r="T9" s="18">
        <f t="shared" si="6"/>
        <v>69.05</v>
      </c>
      <c r="U9" s="18">
        <f t="shared" si="17"/>
        <v>24.475855199999998</v>
      </c>
      <c r="V9" s="18">
        <f t="shared" si="18"/>
        <v>22.378157599999994</v>
      </c>
      <c r="W9" s="18">
        <f t="shared" si="19"/>
        <v>24.236525855999997</v>
      </c>
      <c r="X9" s="18">
        <f t="shared" si="20"/>
        <v>22.075897327999996</v>
      </c>
    </row>
    <row r="10" spans="2:24">
      <c r="B10" s="12" t="s">
        <v>204</v>
      </c>
      <c r="C10" s="12" t="s">
        <v>465</v>
      </c>
      <c r="D10" s="12" t="s">
        <v>28</v>
      </c>
      <c r="E10" s="12">
        <v>3.2343000000000002</v>
      </c>
      <c r="F10" s="12">
        <v>0</v>
      </c>
      <c r="G10" s="12">
        <v>3.8873000000000002</v>
      </c>
      <c r="H10" s="12">
        <v>0</v>
      </c>
      <c r="I10" s="18">
        <f>IF($D10="Small",Factors!$J$4,Factors!$K$4)</f>
        <v>50.76</v>
      </c>
      <c r="J10" s="19">
        <f>IF(D10="Small",Factors!$L$4,Factors!$M$4)</f>
        <v>0</v>
      </c>
      <c r="K10" s="18">
        <f t="shared" si="11"/>
        <v>45.851809439999997</v>
      </c>
      <c r="L10" s="18">
        <f t="shared" si="12"/>
        <v>44.245951840000004</v>
      </c>
      <c r="M10" s="18">
        <f t="shared" si="13"/>
        <v>47.2273637232</v>
      </c>
      <c r="N10" s="18">
        <f t="shared" si="14"/>
        <v>45.573330395200003</v>
      </c>
      <c r="O10" s="18">
        <f>IF($D10="Small",Factors!$J$6,Factors!$K$6)</f>
        <v>0.57999999999999996</v>
      </c>
      <c r="P10" s="18">
        <f>IF($D10="Small",Factors!$L$6,Factors!$M$6)</f>
        <v>69.05</v>
      </c>
      <c r="Q10" s="18">
        <f t="shared" si="15"/>
        <v>-6.9235759999999997</v>
      </c>
      <c r="R10" s="18">
        <f t="shared" si="16"/>
        <v>-8.4385359999999991</v>
      </c>
      <c r="S10" s="18">
        <f t="shared" si="6"/>
        <v>69.05</v>
      </c>
      <c r="T10" s="18">
        <f t="shared" si="6"/>
        <v>69.05</v>
      </c>
      <c r="U10" s="18">
        <f t="shared" si="17"/>
        <v>25.114509439999999</v>
      </c>
      <c r="V10" s="18">
        <f t="shared" si="18"/>
        <v>23.508651839999999</v>
      </c>
      <c r="W10" s="18">
        <f t="shared" si="19"/>
        <v>24.894339723199998</v>
      </c>
      <c r="X10" s="18">
        <f t="shared" si="20"/>
        <v>23.240306395200001</v>
      </c>
    </row>
    <row r="11" spans="2:24">
      <c r="B11" s="12" t="s">
        <v>204</v>
      </c>
      <c r="C11" s="12" t="s">
        <v>466</v>
      </c>
      <c r="D11" s="12" t="s">
        <v>28</v>
      </c>
      <c r="E11" s="12">
        <v>3.6537000000000002</v>
      </c>
      <c r="F11" s="12">
        <v>0</v>
      </c>
      <c r="G11" s="12">
        <v>4.5834999999999999</v>
      </c>
      <c r="H11" s="12">
        <v>0</v>
      </c>
      <c r="I11" s="18">
        <f>IF($D11="Small",Factors!$J$4,Factors!$K$4)</f>
        <v>50.76</v>
      </c>
      <c r="J11" s="19">
        <f>IF(D11="Small",Factors!$L$4,Factors!$M$4)</f>
        <v>0</v>
      </c>
      <c r="K11" s="18">
        <f t="shared" si="11"/>
        <v>44.820420960000007</v>
      </c>
      <c r="L11" s="18">
        <f t="shared" si="12"/>
        <v>42.533856800000002</v>
      </c>
      <c r="M11" s="18">
        <f t="shared" si="13"/>
        <v>46.165033588800007</v>
      </c>
      <c r="N11" s="18">
        <f t="shared" si="14"/>
        <v>43.809872504000005</v>
      </c>
      <c r="O11" s="18">
        <f>IF($D11="Small",Factors!$J$6,Factors!$K$6)</f>
        <v>0.57999999999999996</v>
      </c>
      <c r="P11" s="18">
        <f>IF($D11="Small",Factors!$L$6,Factors!$M$6)</f>
        <v>69.05</v>
      </c>
      <c r="Q11" s="18">
        <f t="shared" si="15"/>
        <v>-7.8965839999999989</v>
      </c>
      <c r="R11" s="18">
        <f t="shared" si="16"/>
        <v>-10.053719999999998</v>
      </c>
      <c r="S11" s="18">
        <f t="shared" si="6"/>
        <v>69.05</v>
      </c>
      <c r="T11" s="18">
        <f t="shared" si="6"/>
        <v>69.05</v>
      </c>
      <c r="U11" s="18">
        <f t="shared" si="17"/>
        <v>24.083120959999999</v>
      </c>
      <c r="V11" s="18">
        <f t="shared" si="18"/>
        <v>21.796556799999998</v>
      </c>
      <c r="W11" s="18">
        <f t="shared" si="19"/>
        <v>23.832009588799998</v>
      </c>
      <c r="X11" s="18">
        <f t="shared" si="20"/>
        <v>21.476848503999999</v>
      </c>
    </row>
    <row r="12" spans="2:24">
      <c r="B12" s="12" t="s">
        <v>204</v>
      </c>
      <c r="C12" s="12" t="s">
        <v>462</v>
      </c>
      <c r="D12" s="12" t="s">
        <v>28</v>
      </c>
      <c r="E12" s="12">
        <v>3.7269999999999999</v>
      </c>
      <c r="F12" s="12">
        <v>0</v>
      </c>
      <c r="G12" s="12">
        <v>4.7557999999999998</v>
      </c>
      <c r="H12" s="12">
        <v>0</v>
      </c>
      <c r="I12" s="18">
        <f>IF($D12="Small",Factors!$J$4,Factors!$K$4)</f>
        <v>50.76</v>
      </c>
      <c r="J12" s="19">
        <f>IF(D12="Small",Factors!$L$4,Factors!$M$4)</f>
        <v>0</v>
      </c>
      <c r="K12" s="18">
        <f t="shared" si="11"/>
        <v>44.640161599999999</v>
      </c>
      <c r="L12" s="18">
        <f t="shared" si="12"/>
        <v>42.11013664</v>
      </c>
      <c r="M12" s="18">
        <f t="shared" si="13"/>
        <v>45.979366448</v>
      </c>
      <c r="N12" s="18">
        <f t="shared" si="14"/>
        <v>43.373440739199999</v>
      </c>
      <c r="O12" s="18">
        <f>IF($D12="Small",Factors!$J$6,Factors!$K$6)</f>
        <v>0.57999999999999996</v>
      </c>
      <c r="P12" s="18">
        <f>IF($D12="Small",Factors!$L$6,Factors!$M$6)</f>
        <v>69.05</v>
      </c>
      <c r="Q12" s="18">
        <f t="shared" si="15"/>
        <v>-8.0666399999999996</v>
      </c>
      <c r="R12" s="18">
        <f t="shared" si="16"/>
        <v>-10.453455999999999</v>
      </c>
      <c r="S12" s="18">
        <f t="shared" si="6"/>
        <v>69.05</v>
      </c>
      <c r="T12" s="18">
        <f t="shared" si="6"/>
        <v>69.05</v>
      </c>
      <c r="U12" s="18">
        <f t="shared" si="17"/>
        <v>23.902861599999998</v>
      </c>
      <c r="V12" s="18">
        <f t="shared" si="18"/>
        <v>21.372836639999999</v>
      </c>
      <c r="W12" s="18">
        <f t="shared" si="19"/>
        <v>23.646342447999999</v>
      </c>
      <c r="X12" s="18">
        <f t="shared" si="20"/>
        <v>21.040416739199998</v>
      </c>
    </row>
    <row r="13" spans="2:24">
      <c r="B13" s="12" t="s">
        <v>204</v>
      </c>
      <c r="C13" s="12" t="s">
        <v>207</v>
      </c>
      <c r="D13" s="12" t="s">
        <v>28</v>
      </c>
      <c r="E13" s="12">
        <v>2.7795999999999998</v>
      </c>
      <c r="F13" s="12">
        <v>0</v>
      </c>
      <c r="G13" s="12">
        <v>3.4546000000000001</v>
      </c>
      <c r="H13" s="12">
        <v>0</v>
      </c>
      <c r="I13" s="18">
        <f>IF($D13="Small",Factors!$J$4,Factors!$K$4)</f>
        <v>50.76</v>
      </c>
      <c r="J13" s="19">
        <f>IF(D13="Small",Factors!$L$4,Factors!$M$4)</f>
        <v>0</v>
      </c>
      <c r="K13" s="18">
        <f t="shared" si="11"/>
        <v>46.970007679999995</v>
      </c>
      <c r="L13" s="18">
        <f t="shared" si="12"/>
        <v>45.310047680000004</v>
      </c>
      <c r="M13" s="18">
        <f t="shared" si="13"/>
        <v>48.379107910399995</v>
      </c>
      <c r="N13" s="18">
        <f t="shared" si="14"/>
        <v>46.669349110400006</v>
      </c>
      <c r="O13" s="18">
        <f>IF($D13="Small",Factors!$J$6,Factors!$K$6)</f>
        <v>0.57999999999999996</v>
      </c>
      <c r="P13" s="18">
        <f>IF($D13="Small",Factors!$L$6,Factors!$M$6)</f>
        <v>69.05</v>
      </c>
      <c r="Q13" s="18">
        <f t="shared" si="15"/>
        <v>-5.8686719999999992</v>
      </c>
      <c r="R13" s="18">
        <f t="shared" si="16"/>
        <v>-7.4346719999999991</v>
      </c>
      <c r="S13" s="18">
        <f t="shared" si="6"/>
        <v>69.05</v>
      </c>
      <c r="T13" s="18">
        <f t="shared" si="6"/>
        <v>69.05</v>
      </c>
      <c r="U13" s="18">
        <f t="shared" si="17"/>
        <v>26.232707679999997</v>
      </c>
      <c r="V13" s="18">
        <f t="shared" si="18"/>
        <v>24.572747679999999</v>
      </c>
      <c r="W13" s="18">
        <f t="shared" si="19"/>
        <v>26.0460839104</v>
      </c>
      <c r="X13" s="18">
        <f t="shared" si="20"/>
        <v>24.336325110399997</v>
      </c>
    </row>
    <row r="14" spans="2:24">
      <c r="B14" s="12" t="s">
        <v>204</v>
      </c>
      <c r="C14" s="12" t="s">
        <v>461</v>
      </c>
      <c r="D14" s="12" t="s">
        <v>28</v>
      </c>
      <c r="E14" s="12">
        <v>3.65</v>
      </c>
      <c r="F14" s="12">
        <v>0</v>
      </c>
      <c r="G14" s="12">
        <v>4.5140000000000002</v>
      </c>
      <c r="H14" s="12">
        <v>0</v>
      </c>
      <c r="I14" s="18">
        <f>IF($D14="Small",Factors!$J$4,Factors!$K$4)</f>
        <v>50.76</v>
      </c>
      <c r="J14" s="19">
        <f>IF(D14="Small",Factors!$L$4,Factors!$M$4)</f>
        <v>0</v>
      </c>
      <c r="K14" s="18">
        <f t="shared" si="11"/>
        <v>44.829520000000002</v>
      </c>
      <c r="L14" s="18">
        <f t="shared" si="12"/>
        <v>42.704771200000003</v>
      </c>
      <c r="M14" s="18">
        <f t="shared" si="13"/>
        <v>46.1744056</v>
      </c>
      <c r="N14" s="18">
        <f t="shared" si="14"/>
        <v>43.985914336000008</v>
      </c>
      <c r="O14" s="18">
        <f>IF($D14="Small",Factors!$J$6,Factors!$K$6)</f>
        <v>0.57999999999999996</v>
      </c>
      <c r="P14" s="18">
        <f>IF($D14="Small",Factors!$L$6,Factors!$M$6)</f>
        <v>69.05</v>
      </c>
      <c r="Q14" s="18">
        <f t="shared" si="15"/>
        <v>-7.8879999999999999</v>
      </c>
      <c r="R14" s="18">
        <f t="shared" si="16"/>
        <v>-9.8924799999999991</v>
      </c>
      <c r="S14" s="18">
        <f t="shared" si="6"/>
        <v>69.05</v>
      </c>
      <c r="T14" s="18">
        <f t="shared" si="6"/>
        <v>69.05</v>
      </c>
      <c r="U14" s="18">
        <f t="shared" si="17"/>
        <v>24.092219999999998</v>
      </c>
      <c r="V14" s="18">
        <f t="shared" si="18"/>
        <v>21.967471199999999</v>
      </c>
      <c r="W14" s="18">
        <f t="shared" si="19"/>
        <v>23.841381599999998</v>
      </c>
      <c r="X14" s="18">
        <f t="shared" si="20"/>
        <v>21.652890335999999</v>
      </c>
    </row>
    <row r="15" spans="2:24">
      <c r="B15" s="12" t="s">
        <v>204</v>
      </c>
      <c r="C15" s="12" t="s">
        <v>458</v>
      </c>
      <c r="D15" s="12" t="s">
        <v>28</v>
      </c>
      <c r="E15" s="12">
        <v>4.7149000000000001</v>
      </c>
      <c r="F15" s="12">
        <v>0</v>
      </c>
      <c r="G15" s="12">
        <v>5.7849000000000004</v>
      </c>
      <c r="H15" s="12">
        <v>0</v>
      </c>
      <c r="I15" s="18">
        <f>IF($D15="Small",Factors!$J$4,Factors!$K$4)</f>
        <v>50.76</v>
      </c>
      <c r="J15" s="19">
        <f>IF(D15="Small",Factors!$L$4,Factors!$M$4)</f>
        <v>0</v>
      </c>
      <c r="K15" s="18">
        <f t="shared" si="11"/>
        <v>42.21071792</v>
      </c>
      <c r="L15" s="18">
        <f t="shared" si="12"/>
        <v>39.579373919999995</v>
      </c>
      <c r="M15" s="18">
        <f t="shared" si="13"/>
        <v>43.4770394576</v>
      </c>
      <c r="N15" s="18">
        <f t="shared" si="14"/>
        <v>40.766755137599993</v>
      </c>
      <c r="O15" s="18">
        <f>IF($D15="Small",Factors!$J$6,Factors!$K$6)</f>
        <v>0.57999999999999996</v>
      </c>
      <c r="P15" s="18">
        <f>IF($D15="Small",Factors!$L$6,Factors!$M$6)</f>
        <v>69.05</v>
      </c>
      <c r="Q15" s="18">
        <f t="shared" si="15"/>
        <v>-10.358568</v>
      </c>
      <c r="R15" s="18">
        <f t="shared" si="16"/>
        <v>-12.840968</v>
      </c>
      <c r="S15" s="18">
        <f t="shared" si="6"/>
        <v>69.05</v>
      </c>
      <c r="T15" s="18">
        <f t="shared" si="6"/>
        <v>69.05</v>
      </c>
      <c r="U15" s="18">
        <f t="shared" si="17"/>
        <v>21.473417919999996</v>
      </c>
      <c r="V15" s="18">
        <f t="shared" si="18"/>
        <v>18.842073919999997</v>
      </c>
      <c r="W15" s="18">
        <f t="shared" si="19"/>
        <v>21.144015457599998</v>
      </c>
      <c r="X15" s="18">
        <f t="shared" si="20"/>
        <v>18.433731137599999</v>
      </c>
    </row>
    <row r="16" spans="2:24">
      <c r="B16" s="12" t="s">
        <v>204</v>
      </c>
      <c r="C16" s="12" t="s">
        <v>452</v>
      </c>
      <c r="D16" s="12" t="s">
        <v>28</v>
      </c>
      <c r="E16" s="12">
        <v>4.1337000000000002</v>
      </c>
      <c r="F16" s="12">
        <v>0</v>
      </c>
      <c r="G16" s="12">
        <v>5.0782999999999996</v>
      </c>
      <c r="H16" s="12">
        <v>0</v>
      </c>
      <c r="I16" s="18">
        <f>IF($D16="Small",Factors!$J$4,Factors!$K$4)</f>
        <v>50.76</v>
      </c>
      <c r="J16" s="19">
        <f>IF(D16="Small",Factors!$L$4,Factors!$M$4)</f>
        <v>0</v>
      </c>
      <c r="K16" s="18">
        <f t="shared" si="11"/>
        <v>43.640004959999999</v>
      </c>
      <c r="L16" s="18">
        <f t="shared" si="12"/>
        <v>41.317044639999999</v>
      </c>
      <c r="M16" s="18">
        <f t="shared" si="13"/>
        <v>44.949205108800001</v>
      </c>
      <c r="N16" s="18">
        <f t="shared" si="14"/>
        <v>42.556555979199999</v>
      </c>
      <c r="O16" s="18">
        <f>IF($D16="Small",Factors!$J$6,Factors!$K$6)</f>
        <v>0.57999999999999996</v>
      </c>
      <c r="P16" s="18">
        <f>IF($D16="Small",Factors!$L$6,Factors!$M$6)</f>
        <v>69.05</v>
      </c>
      <c r="Q16" s="18">
        <f t="shared" si="15"/>
        <v>-9.0101839999999989</v>
      </c>
      <c r="R16" s="18">
        <f t="shared" si="16"/>
        <v>-11.201655999999998</v>
      </c>
      <c r="S16" s="18">
        <f t="shared" si="6"/>
        <v>69.05</v>
      </c>
      <c r="T16" s="18">
        <f t="shared" si="6"/>
        <v>69.05</v>
      </c>
      <c r="U16" s="18">
        <f t="shared" si="17"/>
        <v>22.902704960000001</v>
      </c>
      <c r="V16" s="18">
        <f t="shared" si="18"/>
        <v>20.579744640000001</v>
      </c>
      <c r="W16" s="18">
        <f t="shared" si="19"/>
        <v>22.616181108799999</v>
      </c>
      <c r="X16" s="18">
        <f t="shared" si="20"/>
        <v>20.223531979199997</v>
      </c>
    </row>
    <row r="17" spans="2:24">
      <c r="B17" s="12" t="s">
        <v>204</v>
      </c>
      <c r="C17" s="12" t="s">
        <v>463</v>
      </c>
      <c r="D17" s="12" t="s">
        <v>28</v>
      </c>
      <c r="E17" s="12">
        <v>2.8028</v>
      </c>
      <c r="F17" s="12">
        <v>0</v>
      </c>
      <c r="G17" s="12">
        <v>3.4550999999999998</v>
      </c>
      <c r="H17" s="12">
        <v>0</v>
      </c>
      <c r="I17" s="18">
        <f>IF($D17="Small",Factors!$J$4,Factors!$K$4)</f>
        <v>50.76</v>
      </c>
      <c r="J17" s="19">
        <f>IF(D17="Small",Factors!$L$4,Factors!$M$4)</f>
        <v>0</v>
      </c>
      <c r="K17" s="18">
        <f t="shared" si="11"/>
        <v>46.912954239999998</v>
      </c>
      <c r="L17" s="18">
        <f t="shared" si="12"/>
        <v>45.308818080000002</v>
      </c>
      <c r="M17" s="18">
        <f t="shared" si="13"/>
        <v>48.320342867199997</v>
      </c>
      <c r="N17" s="18">
        <f t="shared" si="14"/>
        <v>46.6680826224</v>
      </c>
      <c r="O17" s="18">
        <f>IF($D17="Small",Factors!$J$6,Factors!$K$6)</f>
        <v>0.57999999999999996</v>
      </c>
      <c r="P17" s="18">
        <f>IF($D17="Small",Factors!$L$6,Factors!$M$6)</f>
        <v>69.05</v>
      </c>
      <c r="Q17" s="18">
        <f t="shared" si="15"/>
        <v>-5.9224959999999998</v>
      </c>
      <c r="R17" s="18">
        <f t="shared" si="16"/>
        <v>-7.4358319999999996</v>
      </c>
      <c r="S17" s="18">
        <f t="shared" si="6"/>
        <v>69.05</v>
      </c>
      <c r="T17" s="18">
        <f t="shared" si="6"/>
        <v>69.05</v>
      </c>
      <c r="U17" s="18">
        <f t="shared" si="17"/>
        <v>26.17565424</v>
      </c>
      <c r="V17" s="18">
        <f t="shared" si="18"/>
        <v>24.571518079999997</v>
      </c>
      <c r="W17" s="18">
        <f t="shared" si="19"/>
        <v>25.987318867199999</v>
      </c>
      <c r="X17" s="18">
        <f t="shared" si="20"/>
        <v>24.335058622399998</v>
      </c>
    </row>
    <row r="18" spans="2:24">
      <c r="B18" s="12" t="s">
        <v>204</v>
      </c>
      <c r="C18" s="12" t="s">
        <v>459</v>
      </c>
      <c r="D18" s="12" t="s">
        <v>28</v>
      </c>
      <c r="E18" s="12">
        <v>3.6063000000000001</v>
      </c>
      <c r="F18" s="12">
        <v>0</v>
      </c>
      <c r="G18" s="12">
        <v>4.3663999999999996</v>
      </c>
      <c r="H18" s="12">
        <v>0</v>
      </c>
      <c r="I18" s="18">
        <f>IF($D18="Small",Factors!$J$4,Factors!$K$4)</f>
        <v>50.76</v>
      </c>
      <c r="J18" s="19">
        <f>IF(D18="Small",Factors!$L$4,Factors!$M$4)</f>
        <v>0</v>
      </c>
      <c r="K18" s="18">
        <f t="shared" si="11"/>
        <v>44.936987039999998</v>
      </c>
      <c r="L18" s="18">
        <f t="shared" si="12"/>
        <v>43.067749120000002</v>
      </c>
      <c r="M18" s="18">
        <f t="shared" si="13"/>
        <v>46.2850966512</v>
      </c>
      <c r="N18" s="18">
        <f t="shared" si="14"/>
        <v>44.359781593600005</v>
      </c>
      <c r="O18" s="18">
        <f>IF($D18="Small",Factors!$J$6,Factors!$K$6)</f>
        <v>0.57999999999999996</v>
      </c>
      <c r="P18" s="18">
        <f>IF($D18="Small",Factors!$L$6,Factors!$M$6)</f>
        <v>69.05</v>
      </c>
      <c r="Q18" s="18">
        <f t="shared" si="15"/>
        <v>-7.7866159999999986</v>
      </c>
      <c r="R18" s="18">
        <f t="shared" si="16"/>
        <v>-9.5500479999999985</v>
      </c>
      <c r="S18" s="18">
        <f t="shared" si="6"/>
        <v>69.05</v>
      </c>
      <c r="T18" s="18">
        <f t="shared" si="6"/>
        <v>69.05</v>
      </c>
      <c r="U18" s="18">
        <f t="shared" si="17"/>
        <v>24.199687040000001</v>
      </c>
      <c r="V18" s="18">
        <f t="shared" si="18"/>
        <v>22.330449119999997</v>
      </c>
      <c r="W18" s="18">
        <f t="shared" si="19"/>
        <v>23.952072651199998</v>
      </c>
      <c r="X18" s="18">
        <f t="shared" si="20"/>
        <v>22.026757593599999</v>
      </c>
    </row>
    <row r="19" spans="2:24">
      <c r="B19" s="12" t="s">
        <v>204</v>
      </c>
      <c r="C19" s="12" t="s">
        <v>460</v>
      </c>
      <c r="D19" s="12" t="s">
        <v>28</v>
      </c>
      <c r="E19" s="12">
        <v>3.5594999999999999</v>
      </c>
      <c r="F19" s="12">
        <v>0</v>
      </c>
      <c r="G19" s="12">
        <v>4.3593000000000002</v>
      </c>
      <c r="H19" s="12">
        <v>0</v>
      </c>
      <c r="I19" s="18">
        <f>IF($D19="Small",Factors!$J$4,Factors!$K$4)</f>
        <v>50.76</v>
      </c>
      <c r="J19" s="19">
        <f>IF(D19="Small",Factors!$L$4,Factors!$M$4)</f>
        <v>0</v>
      </c>
      <c r="K19" s="18">
        <f t="shared" si="11"/>
        <v>45.052077599999997</v>
      </c>
      <c r="L19" s="18">
        <f t="shared" si="12"/>
        <v>43.08520944</v>
      </c>
      <c r="M19" s="18">
        <f t="shared" si="13"/>
        <v>46.403639927999997</v>
      </c>
      <c r="N19" s="18">
        <f t="shared" si="14"/>
        <v>44.3777657232</v>
      </c>
      <c r="O19" s="18">
        <f>IF($D19="Small",Factors!$J$6,Factors!$K$6)</f>
        <v>0.57999999999999996</v>
      </c>
      <c r="P19" s="18">
        <f>IF($D19="Small",Factors!$L$6,Factors!$M$6)</f>
        <v>69.05</v>
      </c>
      <c r="Q19" s="18">
        <f t="shared" si="15"/>
        <v>-7.6780399999999993</v>
      </c>
      <c r="R19" s="18">
        <f t="shared" si="16"/>
        <v>-9.5335760000000001</v>
      </c>
      <c r="S19" s="18">
        <f t="shared" si="6"/>
        <v>69.05</v>
      </c>
      <c r="T19" s="18">
        <f t="shared" si="6"/>
        <v>69.05</v>
      </c>
      <c r="U19" s="18">
        <f t="shared" si="17"/>
        <v>24.314777599999999</v>
      </c>
      <c r="V19" s="18">
        <f t="shared" si="18"/>
        <v>22.347909439999995</v>
      </c>
      <c r="W19" s="18">
        <f t="shared" si="19"/>
        <v>24.070615927999999</v>
      </c>
      <c r="X19" s="18">
        <f t="shared" si="20"/>
        <v>22.044741723199998</v>
      </c>
    </row>
    <row r="20" spans="2:24">
      <c r="B20" s="12" t="s">
        <v>203</v>
      </c>
      <c r="C20" s="12" t="s">
        <v>201</v>
      </c>
      <c r="D20" s="12" t="s">
        <v>28</v>
      </c>
      <c r="E20" s="12">
        <v>3.722</v>
      </c>
      <c r="F20" s="12">
        <v>0</v>
      </c>
      <c r="G20" s="12">
        <v>4.5880000000000001</v>
      </c>
      <c r="H20" s="12">
        <v>0</v>
      </c>
      <c r="I20" s="18">
        <f>IF($D20="Small",Factors!$J$4,Factors!$K$4)</f>
        <v>50.76</v>
      </c>
      <c r="J20" s="19">
        <f>IF(D20="Small",Factors!$L$4,Factors!$M$4)</f>
        <v>0</v>
      </c>
      <c r="K20" s="18">
        <f t="shared" si="11"/>
        <v>44.652457600000005</v>
      </c>
      <c r="L20" s="18">
        <f t="shared" si="12"/>
        <v>42.522790399999998</v>
      </c>
      <c r="M20" s="18">
        <f t="shared" si="13"/>
        <v>45.99203132800001</v>
      </c>
      <c r="N20" s="18">
        <f t="shared" si="14"/>
        <v>43.798474112000001</v>
      </c>
      <c r="O20" s="18">
        <f>IF($D20="Small",Factors!$J$6,Factors!$K$6)</f>
        <v>0.57999999999999996</v>
      </c>
      <c r="P20" s="18">
        <f>IF($D20="Small",Factors!$L$6,Factors!$M$6)</f>
        <v>69.05</v>
      </c>
      <c r="Q20" s="18">
        <f t="shared" si="15"/>
        <v>-8.05504</v>
      </c>
      <c r="R20" s="18">
        <f t="shared" si="16"/>
        <v>-10.064159999999999</v>
      </c>
      <c r="S20" s="18">
        <f t="shared" si="6"/>
        <v>69.05</v>
      </c>
      <c r="T20" s="18">
        <f t="shared" si="6"/>
        <v>69.05</v>
      </c>
      <c r="U20" s="18">
        <f t="shared" si="17"/>
        <v>23.915157599999997</v>
      </c>
      <c r="V20" s="18">
        <f t="shared" si="18"/>
        <v>21.7854904</v>
      </c>
      <c r="W20" s="18">
        <f t="shared" si="19"/>
        <v>23.659007327999994</v>
      </c>
      <c r="X20" s="18">
        <f t="shared" si="20"/>
        <v>21.465450111999999</v>
      </c>
    </row>
    <row r="21" spans="2:24">
      <c r="B21" s="12" t="s">
        <v>203</v>
      </c>
      <c r="C21" s="12" t="s">
        <v>202</v>
      </c>
      <c r="D21" s="12" t="s">
        <v>28</v>
      </c>
      <c r="E21" s="12">
        <v>3.722</v>
      </c>
      <c r="F21" s="12">
        <v>0</v>
      </c>
      <c r="G21" s="12">
        <v>4.5880000000000001</v>
      </c>
      <c r="H21" s="12">
        <v>0</v>
      </c>
      <c r="I21" s="18">
        <f>IF($D21="Small",Factors!$J$4,Factors!$K$4)</f>
        <v>50.76</v>
      </c>
      <c r="J21" s="19">
        <f>IF(D21="Small",Factors!$L$4,Factors!$M$4)</f>
        <v>0</v>
      </c>
      <c r="K21" s="18">
        <f t="shared" si="11"/>
        <v>44.652457600000005</v>
      </c>
      <c r="L21" s="18">
        <f t="shared" si="12"/>
        <v>42.522790399999998</v>
      </c>
      <c r="M21" s="18">
        <f t="shared" si="13"/>
        <v>45.99203132800001</v>
      </c>
      <c r="N21" s="18">
        <f t="shared" si="14"/>
        <v>43.798474112000001</v>
      </c>
      <c r="O21" s="18">
        <f>IF($D21="Small",Factors!$J$6,Factors!$K$6)</f>
        <v>0.57999999999999996</v>
      </c>
      <c r="P21" s="18">
        <f>IF($D21="Small",Factors!$L$6,Factors!$M$6)</f>
        <v>69.05</v>
      </c>
      <c r="Q21" s="18">
        <f t="shared" si="15"/>
        <v>-8.05504</v>
      </c>
      <c r="R21" s="18">
        <f t="shared" si="16"/>
        <v>-10.064159999999999</v>
      </c>
      <c r="S21" s="18">
        <f t="shared" si="6"/>
        <v>69.05</v>
      </c>
      <c r="T21" s="18">
        <f t="shared" si="6"/>
        <v>69.05</v>
      </c>
      <c r="U21" s="18">
        <f t="shared" si="17"/>
        <v>23.915157599999997</v>
      </c>
      <c r="V21" s="18">
        <f t="shared" si="18"/>
        <v>21.7854904</v>
      </c>
      <c r="W21" s="18">
        <f t="shared" si="19"/>
        <v>23.659007327999994</v>
      </c>
      <c r="X21" s="18">
        <f t="shared" si="20"/>
        <v>21.465450111999999</v>
      </c>
    </row>
    <row r="22" spans="2:24">
      <c r="B22" s="12" t="s">
        <v>203</v>
      </c>
      <c r="C22" s="12" t="s">
        <v>552</v>
      </c>
      <c r="D22" s="12" t="s">
        <v>28</v>
      </c>
      <c r="E22" s="12">
        <v>3.6318999999999999</v>
      </c>
      <c r="F22" s="12">
        <v>0</v>
      </c>
      <c r="G22" s="12">
        <v>4.4198000000000004</v>
      </c>
      <c r="H22" s="12">
        <v>0</v>
      </c>
      <c r="I22" s="18">
        <f>IF($D22="Small",Factors!$J$4,Factors!$K$4)</f>
        <v>50.76</v>
      </c>
      <c r="J22" s="19">
        <f>IF(D22="Small",Factors!$L$4,Factors!$M$4)</f>
        <v>0</v>
      </c>
      <c r="K22" s="18">
        <f t="shared" si="11"/>
        <v>44.874031519999996</v>
      </c>
      <c r="L22" s="18">
        <f t="shared" si="12"/>
        <v>42.93642784</v>
      </c>
      <c r="M22" s="18">
        <f t="shared" si="13"/>
        <v>46.220252465599998</v>
      </c>
      <c r="N22" s="18">
        <f t="shared" si="14"/>
        <v>44.224520675200004</v>
      </c>
      <c r="O22" s="18">
        <f>IF($D22="Small",Factors!$J$6,Factors!$K$6)</f>
        <v>0.57999999999999996</v>
      </c>
      <c r="P22" s="18">
        <f>IF($D22="Small",Factors!$L$6,Factors!$M$6)</f>
        <v>69.05</v>
      </c>
      <c r="Q22" s="18">
        <f t="shared" si="15"/>
        <v>-7.8460079999999994</v>
      </c>
      <c r="R22" s="18">
        <f t="shared" si="16"/>
        <v>-9.6739359999999994</v>
      </c>
      <c r="S22" s="18">
        <f t="shared" si="6"/>
        <v>69.05</v>
      </c>
      <c r="T22" s="18">
        <f t="shared" si="6"/>
        <v>69.05</v>
      </c>
      <c r="U22" s="18">
        <f t="shared" si="17"/>
        <v>24.136731519999998</v>
      </c>
      <c r="V22" s="18">
        <f t="shared" si="18"/>
        <v>22.199127839999999</v>
      </c>
      <c r="W22" s="18">
        <f t="shared" si="19"/>
        <v>23.887228465599996</v>
      </c>
      <c r="X22" s="18">
        <f t="shared" si="20"/>
        <v>21.891496675199999</v>
      </c>
    </row>
    <row r="23" spans="2:24">
      <c r="B23" s="12" t="s">
        <v>203</v>
      </c>
      <c r="C23" s="12" t="s">
        <v>551</v>
      </c>
      <c r="D23" s="12" t="s">
        <v>28</v>
      </c>
      <c r="E23" s="12">
        <v>3.6318999999999999</v>
      </c>
      <c r="F23" s="12">
        <v>0</v>
      </c>
      <c r="G23" s="12">
        <v>4.4198000000000004</v>
      </c>
      <c r="H23" s="12">
        <v>0</v>
      </c>
      <c r="I23" s="18">
        <f>IF($D23="Small",Factors!$J$4,Factors!$K$4)</f>
        <v>50.76</v>
      </c>
      <c r="J23" s="19">
        <f>IF(D23="Small",Factors!$L$4,Factors!$M$4)</f>
        <v>0</v>
      </c>
      <c r="K23" s="18">
        <f t="shared" si="11"/>
        <v>44.874031519999996</v>
      </c>
      <c r="L23" s="18">
        <f t="shared" si="12"/>
        <v>42.93642784</v>
      </c>
      <c r="M23" s="18">
        <f t="shared" si="13"/>
        <v>46.220252465599998</v>
      </c>
      <c r="N23" s="18">
        <f t="shared" si="14"/>
        <v>44.224520675200004</v>
      </c>
      <c r="O23" s="18">
        <f>IF($D23="Small",Factors!$J$6,Factors!$K$6)</f>
        <v>0.57999999999999996</v>
      </c>
      <c r="P23" s="18">
        <f>IF($D23="Small",Factors!$L$6,Factors!$M$6)</f>
        <v>69.05</v>
      </c>
      <c r="Q23" s="18">
        <f t="shared" si="15"/>
        <v>-7.8460079999999994</v>
      </c>
      <c r="R23" s="18">
        <f t="shared" si="16"/>
        <v>-9.6739359999999994</v>
      </c>
      <c r="S23" s="18">
        <f t="shared" si="6"/>
        <v>69.05</v>
      </c>
      <c r="T23" s="18">
        <f t="shared" si="6"/>
        <v>69.05</v>
      </c>
      <c r="U23" s="18">
        <f t="shared" si="17"/>
        <v>24.136731519999998</v>
      </c>
      <c r="V23" s="18">
        <f t="shared" si="18"/>
        <v>22.199127839999999</v>
      </c>
      <c r="W23" s="18">
        <f t="shared" si="19"/>
        <v>23.887228465599996</v>
      </c>
      <c r="X23" s="18">
        <f t="shared" si="20"/>
        <v>21.891496675199999</v>
      </c>
    </row>
    <row r="24" spans="2:24">
      <c r="B24" s="12" t="s">
        <v>492</v>
      </c>
      <c r="C24" s="12" t="s">
        <v>493</v>
      </c>
      <c r="D24" s="12" t="s">
        <v>28</v>
      </c>
      <c r="E24" s="12">
        <v>4.2866</v>
      </c>
      <c r="F24" s="12">
        <v>4.7600000000000003E-2</v>
      </c>
      <c r="G24" s="12">
        <v>6.0236999999999998</v>
      </c>
      <c r="H24" s="12">
        <v>4.36E-2</v>
      </c>
      <c r="I24" s="18">
        <f>IF($D24="Small",Factors!$J$4,Factors!$K$4)</f>
        <v>50.76</v>
      </c>
      <c r="J24" s="19">
        <f>IF(D24="Small",Factors!$L$4,Factors!$M$4)</f>
        <v>0</v>
      </c>
      <c r="K24" s="18">
        <f t="shared" si="0"/>
        <v>43.146935360000001</v>
      </c>
      <c r="L24" s="18">
        <f t="shared" si="1"/>
        <v>38.884895839999999</v>
      </c>
      <c r="M24" s="18">
        <f t="shared" si="2"/>
        <v>44.441343420800003</v>
      </c>
      <c r="N24" s="18">
        <f t="shared" si="3"/>
        <v>40.051442715199997</v>
      </c>
      <c r="O24" s="18">
        <f>IF($D24="Small",Factors!$J$6,Factors!$K$6)</f>
        <v>0.57999999999999996</v>
      </c>
      <c r="P24" s="18">
        <f>IF($D24="Small",Factors!$L$6,Factors!$M$6)</f>
        <v>69.05</v>
      </c>
      <c r="Q24" s="18">
        <f t="shared" si="4"/>
        <v>-9.4753439999999998</v>
      </c>
      <c r="R24" s="18">
        <f t="shared" si="5"/>
        <v>-13.496135999999998</v>
      </c>
      <c r="S24" s="18">
        <f t="shared" si="6"/>
        <v>69.05</v>
      </c>
      <c r="T24" s="18">
        <f t="shared" si="6"/>
        <v>69.05</v>
      </c>
      <c r="U24" s="18">
        <f t="shared" si="7"/>
        <v>22.409635359999996</v>
      </c>
      <c r="V24" s="18">
        <f t="shared" si="8"/>
        <v>18.147595840000001</v>
      </c>
      <c r="W24" s="18">
        <f t="shared" si="9"/>
        <v>22.108319420799997</v>
      </c>
      <c r="X24" s="18">
        <f t="shared" si="10"/>
        <v>17.718418715199999</v>
      </c>
    </row>
    <row r="25" spans="2:24">
      <c r="B25" s="12" t="s">
        <v>492</v>
      </c>
      <c r="C25" s="12" t="s">
        <v>494</v>
      </c>
      <c r="D25" s="12" t="s">
        <v>28</v>
      </c>
      <c r="E25" s="12">
        <v>4.2866</v>
      </c>
      <c r="F25" s="12">
        <v>4.7600000000000003E-2</v>
      </c>
      <c r="G25" s="12">
        <v>6.0236999999999998</v>
      </c>
      <c r="H25" s="12">
        <v>4.36E-2</v>
      </c>
      <c r="I25" s="18">
        <f>IF($D25="Small",Factors!$J$4,Factors!$K$4)</f>
        <v>50.76</v>
      </c>
      <c r="J25" s="19">
        <f>IF(D25="Small",Factors!$L$4,Factors!$M$4)</f>
        <v>0</v>
      </c>
      <c r="K25" s="18">
        <f t="shared" si="0"/>
        <v>43.146935360000001</v>
      </c>
      <c r="L25" s="18">
        <f t="shared" si="1"/>
        <v>38.884895839999999</v>
      </c>
      <c r="M25" s="18">
        <f t="shared" si="2"/>
        <v>44.441343420800003</v>
      </c>
      <c r="N25" s="18">
        <f t="shared" si="3"/>
        <v>40.051442715199997</v>
      </c>
      <c r="O25" s="18">
        <f>IF($D25="Small",Factors!$J$6,Factors!$K$6)</f>
        <v>0.57999999999999996</v>
      </c>
      <c r="P25" s="18">
        <f>IF($D25="Small",Factors!$L$6,Factors!$M$6)</f>
        <v>69.05</v>
      </c>
      <c r="Q25" s="18">
        <f t="shared" si="4"/>
        <v>-9.4753439999999998</v>
      </c>
      <c r="R25" s="18">
        <f t="shared" si="5"/>
        <v>-13.496135999999998</v>
      </c>
      <c r="S25" s="18">
        <f t="shared" si="6"/>
        <v>69.05</v>
      </c>
      <c r="T25" s="18">
        <f t="shared" si="6"/>
        <v>69.05</v>
      </c>
      <c r="U25" s="18">
        <f t="shared" si="7"/>
        <v>22.409635359999996</v>
      </c>
      <c r="V25" s="18">
        <f t="shared" si="8"/>
        <v>18.147595840000001</v>
      </c>
      <c r="W25" s="18">
        <f t="shared" si="9"/>
        <v>22.108319420799997</v>
      </c>
      <c r="X25" s="18">
        <f t="shared" si="10"/>
        <v>17.718418715199999</v>
      </c>
    </row>
    <row r="26" spans="2:24">
      <c r="B26" s="12" t="s">
        <v>492</v>
      </c>
      <c r="C26" s="12" t="s">
        <v>495</v>
      </c>
      <c r="D26" s="12" t="s">
        <v>28</v>
      </c>
      <c r="E26" s="12">
        <v>4.2866</v>
      </c>
      <c r="F26" s="12">
        <v>4.7600000000000003E-2</v>
      </c>
      <c r="G26" s="12">
        <v>6.0236999999999998</v>
      </c>
      <c r="H26" s="12">
        <v>4.36E-2</v>
      </c>
      <c r="I26" s="18">
        <f>IF($D26="Small",Factors!$J$4,Factors!$K$4)</f>
        <v>50.76</v>
      </c>
      <c r="J26" s="19">
        <f>IF(D26="Small",Factors!$L$4,Factors!$M$4)</f>
        <v>0</v>
      </c>
      <c r="K26" s="18">
        <f t="shared" si="0"/>
        <v>43.146935360000001</v>
      </c>
      <c r="L26" s="18">
        <f t="shared" si="1"/>
        <v>38.884895839999999</v>
      </c>
      <c r="M26" s="18">
        <f t="shared" si="2"/>
        <v>44.441343420800003</v>
      </c>
      <c r="N26" s="18">
        <f t="shared" si="3"/>
        <v>40.051442715199997</v>
      </c>
      <c r="O26" s="18">
        <f>IF($D26="Small",Factors!$J$6,Factors!$K$6)</f>
        <v>0.57999999999999996</v>
      </c>
      <c r="P26" s="18">
        <f>IF($D26="Small",Factors!$L$6,Factors!$M$6)</f>
        <v>69.05</v>
      </c>
      <c r="Q26" s="18">
        <f t="shared" si="4"/>
        <v>-9.4753439999999998</v>
      </c>
      <c r="R26" s="18">
        <f t="shared" si="5"/>
        <v>-13.496135999999998</v>
      </c>
      <c r="S26" s="18">
        <f t="shared" si="6"/>
        <v>69.05</v>
      </c>
      <c r="T26" s="18">
        <f t="shared" si="6"/>
        <v>69.05</v>
      </c>
      <c r="U26" s="18">
        <f t="shared" si="7"/>
        <v>22.409635359999996</v>
      </c>
      <c r="V26" s="18">
        <f t="shared" si="8"/>
        <v>18.147595840000001</v>
      </c>
      <c r="W26" s="18">
        <f t="shared" si="9"/>
        <v>22.108319420799997</v>
      </c>
      <c r="X26" s="18">
        <f t="shared" si="10"/>
        <v>17.718418715199999</v>
      </c>
    </row>
    <row r="27" spans="2:24">
      <c r="B27" s="12" t="s">
        <v>492</v>
      </c>
      <c r="C27" s="12" t="s">
        <v>496</v>
      </c>
      <c r="D27" s="12" t="s">
        <v>28</v>
      </c>
      <c r="E27" s="12">
        <v>3.8380000000000001</v>
      </c>
      <c r="F27" s="12">
        <v>0</v>
      </c>
      <c r="G27" s="12">
        <v>4.8220000000000001</v>
      </c>
      <c r="H27" s="12">
        <v>0</v>
      </c>
      <c r="I27" s="18">
        <f>IF($D27="Small",Factors!$J$4,Factors!$K$4)</f>
        <v>50.76</v>
      </c>
      <c r="J27" s="19">
        <f>IF(D27="Small",Factors!$L$4,Factors!$M$4)</f>
        <v>0</v>
      </c>
      <c r="K27" s="18">
        <f t="shared" si="0"/>
        <v>44.367190400000005</v>
      </c>
      <c r="L27" s="18">
        <f t="shared" si="1"/>
        <v>41.947337599999997</v>
      </c>
      <c r="M27" s="18">
        <f t="shared" si="2"/>
        <v>45.698206112000008</v>
      </c>
      <c r="N27" s="18">
        <f t="shared" si="3"/>
        <v>43.205757728000002</v>
      </c>
      <c r="O27" s="18">
        <f>IF($D27="Small",Factors!$J$6,Factors!$K$6)</f>
        <v>0.57999999999999996</v>
      </c>
      <c r="P27" s="18">
        <f>IF($D27="Small",Factors!$L$6,Factors!$M$6)</f>
        <v>69.05</v>
      </c>
      <c r="Q27" s="18">
        <f t="shared" si="4"/>
        <v>-8.3241599999999991</v>
      </c>
      <c r="R27" s="18">
        <f t="shared" si="5"/>
        <v>-10.60704</v>
      </c>
      <c r="S27" s="18">
        <f t="shared" si="6"/>
        <v>69.05</v>
      </c>
      <c r="T27" s="18">
        <f t="shared" si="6"/>
        <v>69.05</v>
      </c>
      <c r="U27" s="18">
        <f t="shared" si="7"/>
        <v>23.629890400000001</v>
      </c>
      <c r="V27" s="18">
        <f t="shared" si="8"/>
        <v>21.2100376</v>
      </c>
      <c r="W27" s="18">
        <f t="shared" si="9"/>
        <v>23.365182111999999</v>
      </c>
      <c r="X27" s="18">
        <f t="shared" si="10"/>
        <v>20.872733728</v>
      </c>
    </row>
    <row r="28" spans="2:24">
      <c r="B28" s="12" t="s">
        <v>492</v>
      </c>
      <c r="C28" s="12" t="s">
        <v>497</v>
      </c>
      <c r="D28" s="12" t="s">
        <v>28</v>
      </c>
      <c r="E28" s="12">
        <v>4.2866</v>
      </c>
      <c r="F28" s="12">
        <v>4.7600000000000003E-2</v>
      </c>
      <c r="G28" s="12">
        <v>6.0236999999999998</v>
      </c>
      <c r="H28" s="12">
        <v>4.36E-2</v>
      </c>
      <c r="I28" s="18">
        <f>IF($D28="Small",Factors!$J$4,Factors!$K$4)</f>
        <v>50.76</v>
      </c>
      <c r="J28" s="19">
        <f>IF(D28="Small",Factors!$L$4,Factors!$M$4)</f>
        <v>0</v>
      </c>
      <c r="K28" s="18">
        <f t="shared" si="0"/>
        <v>43.146935360000001</v>
      </c>
      <c r="L28" s="18">
        <f t="shared" si="1"/>
        <v>38.884895839999999</v>
      </c>
      <c r="M28" s="18">
        <f t="shared" si="2"/>
        <v>44.441343420800003</v>
      </c>
      <c r="N28" s="18">
        <f t="shared" si="3"/>
        <v>40.051442715199997</v>
      </c>
      <c r="O28" s="18">
        <f>IF($D28="Small",Factors!$J$6,Factors!$K$6)</f>
        <v>0.57999999999999996</v>
      </c>
      <c r="P28" s="18">
        <f>IF($D28="Small",Factors!$L$6,Factors!$M$6)</f>
        <v>69.05</v>
      </c>
      <c r="Q28" s="18">
        <f t="shared" si="4"/>
        <v>-9.4753439999999998</v>
      </c>
      <c r="R28" s="18">
        <f t="shared" si="5"/>
        <v>-13.496135999999998</v>
      </c>
      <c r="S28" s="18">
        <f t="shared" si="6"/>
        <v>69.05</v>
      </c>
      <c r="T28" s="18">
        <f t="shared" si="6"/>
        <v>69.05</v>
      </c>
      <c r="U28" s="18">
        <f t="shared" si="7"/>
        <v>22.409635359999996</v>
      </c>
      <c r="V28" s="18">
        <f t="shared" si="8"/>
        <v>18.147595840000001</v>
      </c>
      <c r="W28" s="18">
        <f t="shared" si="9"/>
        <v>22.108319420799997</v>
      </c>
      <c r="X28" s="18">
        <f t="shared" si="10"/>
        <v>17.718418715199999</v>
      </c>
    </row>
    <row r="29" spans="2:24">
      <c r="B29" s="12" t="s">
        <v>492</v>
      </c>
      <c r="C29" s="12" t="s">
        <v>500</v>
      </c>
      <c r="D29" s="12" t="s">
        <v>28</v>
      </c>
      <c r="E29" s="12">
        <v>4.5720000000000001</v>
      </c>
      <c r="F29" s="12">
        <v>0</v>
      </c>
      <c r="G29" s="12">
        <v>5.7519999999999998</v>
      </c>
      <c r="H29" s="12">
        <v>0</v>
      </c>
      <c r="I29" s="18">
        <f>IF($D29="Small",Factors!$J$4,Factors!$K$4)</f>
        <v>50.76</v>
      </c>
      <c r="J29" s="19">
        <f>IF(D29="Small",Factors!$L$4,Factors!$M$4)</f>
        <v>0</v>
      </c>
      <c r="K29" s="18">
        <f t="shared" si="0"/>
        <v>42.5621376</v>
      </c>
      <c r="L29" s="18">
        <f t="shared" si="1"/>
        <v>39.660281600000005</v>
      </c>
      <c r="M29" s="18">
        <f t="shared" si="2"/>
        <v>43.839001728</v>
      </c>
      <c r="N29" s="18">
        <f t="shared" si="3"/>
        <v>40.850090048000006</v>
      </c>
      <c r="O29" s="18">
        <f>IF($D29="Small",Factors!$J$6,Factors!$K$6)</f>
        <v>0.57999999999999996</v>
      </c>
      <c r="P29" s="18">
        <f>IF($D29="Small",Factors!$L$6,Factors!$M$6)</f>
        <v>69.05</v>
      </c>
      <c r="Q29" s="18">
        <f t="shared" si="4"/>
        <v>-10.02704</v>
      </c>
      <c r="R29" s="18">
        <f t="shared" si="5"/>
        <v>-12.764639999999998</v>
      </c>
      <c r="S29" s="18">
        <f t="shared" si="6"/>
        <v>69.05</v>
      </c>
      <c r="T29" s="18">
        <f t="shared" si="6"/>
        <v>69.05</v>
      </c>
      <c r="U29" s="18">
        <f t="shared" si="7"/>
        <v>21.824837599999999</v>
      </c>
      <c r="V29" s="18">
        <f t="shared" si="8"/>
        <v>18.9229816</v>
      </c>
      <c r="W29" s="18">
        <f t="shared" si="9"/>
        <v>21.505977727999998</v>
      </c>
      <c r="X29" s="18">
        <f t="shared" si="10"/>
        <v>18.517066048</v>
      </c>
    </row>
    <row r="30" spans="2:24">
      <c r="B30" s="12" t="s">
        <v>492</v>
      </c>
      <c r="C30" s="12" t="s">
        <v>501</v>
      </c>
      <c r="D30" s="12" t="s">
        <v>28</v>
      </c>
      <c r="E30" s="12">
        <v>4.0609000000000002</v>
      </c>
      <c r="F30" s="12">
        <v>4.7899999999999998E-2</v>
      </c>
      <c r="G30" s="12">
        <v>5.9107000000000003</v>
      </c>
      <c r="H30" s="12">
        <v>4.3799999999999999E-2</v>
      </c>
      <c r="I30" s="18">
        <f>IF($D30="Small",Factors!$J$4,Factors!$K$4)</f>
        <v>50.76</v>
      </c>
      <c r="J30" s="19">
        <f>IF(D30="Small",Factors!$L$4,Factors!$M$4)</f>
        <v>0</v>
      </c>
      <c r="K30" s="18">
        <f t="shared" si="0"/>
        <v>43.701239040000004</v>
      </c>
      <c r="L30" s="18">
        <f t="shared" si="1"/>
        <v>39.162293600000005</v>
      </c>
      <c r="M30" s="18">
        <f t="shared" si="2"/>
        <v>45.012276211200003</v>
      </c>
      <c r="N30" s="18">
        <f t="shared" si="3"/>
        <v>40.337162408000005</v>
      </c>
      <c r="O30" s="18">
        <f>IF($D30="Small",Factors!$J$6,Factors!$K$6)</f>
        <v>0.57999999999999996</v>
      </c>
      <c r="P30" s="18">
        <f>IF($D30="Small",Factors!$L$6,Factors!$M$6)</f>
        <v>69.05</v>
      </c>
      <c r="Q30" s="18">
        <f t="shared" si="4"/>
        <v>-8.9524159999999995</v>
      </c>
      <c r="R30" s="18">
        <f t="shared" si="5"/>
        <v>-13.234439999999999</v>
      </c>
      <c r="S30" s="18">
        <f t="shared" si="6"/>
        <v>69.05</v>
      </c>
      <c r="T30" s="18">
        <f t="shared" si="6"/>
        <v>69.05</v>
      </c>
      <c r="U30" s="18">
        <f t="shared" si="7"/>
        <v>22.96393904</v>
      </c>
      <c r="V30" s="18">
        <f t="shared" si="8"/>
        <v>18.424993600000001</v>
      </c>
      <c r="W30" s="18">
        <f t="shared" si="9"/>
        <v>22.679252211199998</v>
      </c>
      <c r="X30" s="18">
        <f t="shared" si="10"/>
        <v>18.004138407999996</v>
      </c>
    </row>
    <row r="31" spans="2:24">
      <c r="B31" s="12" t="s">
        <v>492</v>
      </c>
      <c r="C31" s="12" t="s">
        <v>502</v>
      </c>
      <c r="D31" s="12" t="s">
        <v>28</v>
      </c>
      <c r="E31" s="12">
        <v>5.2885999999999997</v>
      </c>
      <c r="F31" s="12">
        <v>4.7899999999999998E-2</v>
      </c>
      <c r="G31" s="12">
        <v>6.5395000000000003</v>
      </c>
      <c r="H31" s="12">
        <v>4.5499999999999999E-2</v>
      </c>
      <c r="I31" s="18">
        <f>IF($D31="Small",Factors!$J$4,Factors!$K$4)</f>
        <v>50.76</v>
      </c>
      <c r="J31" s="19">
        <f>IF(D31="Small",Factors!$L$4,Factors!$M$4)</f>
        <v>0</v>
      </c>
      <c r="K31" s="18">
        <f t="shared" si="0"/>
        <v>40.682079200000004</v>
      </c>
      <c r="L31" s="18">
        <f t="shared" si="1"/>
        <v>37.611767999999998</v>
      </c>
      <c r="M31" s="18">
        <f t="shared" si="2"/>
        <v>41.902541576000004</v>
      </c>
      <c r="N31" s="18">
        <f t="shared" si="3"/>
        <v>38.740121039999998</v>
      </c>
      <c r="O31" s="18">
        <f>IF($D31="Small",Factors!$J$6,Factors!$K$6)</f>
        <v>0.57999999999999996</v>
      </c>
      <c r="P31" s="18">
        <f>IF($D31="Small",Factors!$L$6,Factors!$M$6)</f>
        <v>69.05</v>
      </c>
      <c r="Q31" s="18">
        <f t="shared" si="4"/>
        <v>-11.80068</v>
      </c>
      <c r="R31" s="18">
        <f t="shared" si="5"/>
        <v>-14.697199999999999</v>
      </c>
      <c r="S31" s="18">
        <f t="shared" si="6"/>
        <v>69.05</v>
      </c>
      <c r="T31" s="18">
        <f t="shared" si="6"/>
        <v>69.05</v>
      </c>
      <c r="U31" s="18">
        <f t="shared" si="7"/>
        <v>19.944779199999999</v>
      </c>
      <c r="V31" s="18">
        <f t="shared" si="8"/>
        <v>16.874468</v>
      </c>
      <c r="W31" s="18">
        <f t="shared" si="9"/>
        <v>19.569517575999996</v>
      </c>
      <c r="X31" s="18">
        <f t="shared" si="10"/>
        <v>16.407097039999996</v>
      </c>
    </row>
    <row r="32" spans="2:24">
      <c r="B32" s="12" t="s">
        <v>492</v>
      </c>
      <c r="C32" s="12" t="s">
        <v>503</v>
      </c>
      <c r="D32" s="12" t="s">
        <v>28</v>
      </c>
      <c r="E32" s="12">
        <v>4.0609000000000002</v>
      </c>
      <c r="F32" s="12">
        <v>4.7899999999999998E-2</v>
      </c>
      <c r="G32" s="12">
        <v>5.9107000000000003</v>
      </c>
      <c r="H32" s="12">
        <v>4.3799999999999999E-2</v>
      </c>
      <c r="I32" s="18">
        <f>IF($D32="Small",Factors!$J$4,Factors!$K$4)</f>
        <v>50.76</v>
      </c>
      <c r="J32" s="19">
        <f>IF(D32="Small",Factors!$L$4,Factors!$M$4)</f>
        <v>0</v>
      </c>
      <c r="K32" s="18">
        <f t="shared" si="0"/>
        <v>43.701239040000004</v>
      </c>
      <c r="L32" s="18">
        <f t="shared" si="1"/>
        <v>39.162293600000005</v>
      </c>
      <c r="M32" s="18">
        <f t="shared" si="2"/>
        <v>45.012276211200003</v>
      </c>
      <c r="N32" s="18">
        <f t="shared" si="3"/>
        <v>40.337162408000005</v>
      </c>
      <c r="O32" s="18">
        <f>IF($D32="Small",Factors!$J$6,Factors!$K$6)</f>
        <v>0.57999999999999996</v>
      </c>
      <c r="P32" s="18">
        <f>IF($D32="Small",Factors!$L$6,Factors!$M$6)</f>
        <v>69.05</v>
      </c>
      <c r="Q32" s="18">
        <f t="shared" si="4"/>
        <v>-8.9524159999999995</v>
      </c>
      <c r="R32" s="18">
        <f t="shared" si="5"/>
        <v>-13.234439999999999</v>
      </c>
      <c r="S32" s="18">
        <f t="shared" si="6"/>
        <v>69.05</v>
      </c>
      <c r="T32" s="18">
        <f t="shared" si="6"/>
        <v>69.05</v>
      </c>
      <c r="U32" s="18">
        <f t="shared" si="7"/>
        <v>22.96393904</v>
      </c>
      <c r="V32" s="18">
        <f t="shared" si="8"/>
        <v>18.424993600000001</v>
      </c>
      <c r="W32" s="18">
        <f t="shared" si="9"/>
        <v>22.679252211199998</v>
      </c>
      <c r="X32" s="18">
        <f t="shared" si="10"/>
        <v>18.004138407999996</v>
      </c>
    </row>
    <row r="33" spans="2:24">
      <c r="B33" s="12" t="s">
        <v>492</v>
      </c>
      <c r="C33" s="12" t="s">
        <v>504</v>
      </c>
      <c r="D33" s="12" t="s">
        <v>28</v>
      </c>
      <c r="E33" s="12">
        <v>4.0609000000000002</v>
      </c>
      <c r="F33" s="12">
        <v>4.7899999999999998E-2</v>
      </c>
      <c r="G33" s="12">
        <v>5.9107000000000003</v>
      </c>
      <c r="H33" s="12">
        <v>4.3799999999999999E-2</v>
      </c>
      <c r="I33" s="18">
        <f>IF($D33="Small",Factors!$J$4,Factors!$K$4)</f>
        <v>50.76</v>
      </c>
      <c r="J33" s="19">
        <f>IF(D33="Small",Factors!$L$4,Factors!$M$4)</f>
        <v>0</v>
      </c>
      <c r="K33" s="18">
        <f t="shared" si="0"/>
        <v>43.701239040000004</v>
      </c>
      <c r="L33" s="18">
        <f t="shared" si="1"/>
        <v>39.162293600000005</v>
      </c>
      <c r="M33" s="18">
        <f t="shared" si="2"/>
        <v>45.012276211200003</v>
      </c>
      <c r="N33" s="18">
        <f t="shared" si="3"/>
        <v>40.337162408000005</v>
      </c>
      <c r="O33" s="18">
        <f>IF($D33="Small",Factors!$J$6,Factors!$K$6)</f>
        <v>0.57999999999999996</v>
      </c>
      <c r="P33" s="18">
        <f>IF($D33="Small",Factors!$L$6,Factors!$M$6)</f>
        <v>69.05</v>
      </c>
      <c r="Q33" s="18">
        <f t="shared" si="4"/>
        <v>-8.9524159999999995</v>
      </c>
      <c r="R33" s="18">
        <f t="shared" si="5"/>
        <v>-13.234439999999999</v>
      </c>
      <c r="S33" s="18">
        <f t="shared" si="6"/>
        <v>69.05</v>
      </c>
      <c r="T33" s="18">
        <f t="shared" si="6"/>
        <v>69.05</v>
      </c>
      <c r="U33" s="18">
        <f t="shared" si="7"/>
        <v>22.96393904</v>
      </c>
      <c r="V33" s="18">
        <f t="shared" si="8"/>
        <v>18.424993600000001</v>
      </c>
      <c r="W33" s="18">
        <f t="shared" si="9"/>
        <v>22.679252211199998</v>
      </c>
      <c r="X33" s="18">
        <f t="shared" si="10"/>
        <v>18.004138407999996</v>
      </c>
    </row>
    <row r="34" spans="2:24">
      <c r="B34" s="12" t="s">
        <v>492</v>
      </c>
      <c r="C34" s="12" t="s">
        <v>505</v>
      </c>
      <c r="D34" s="12" t="s">
        <v>28</v>
      </c>
      <c r="E34" s="12">
        <v>5.1525999999999996</v>
      </c>
      <c r="F34" s="12">
        <v>4.8099999999999997E-2</v>
      </c>
      <c r="G34" s="12">
        <v>6.3289999999999997</v>
      </c>
      <c r="H34" s="12">
        <v>4.5600000000000002E-2</v>
      </c>
      <c r="I34" s="18">
        <f>IF($D34="Small",Factors!$J$4,Factors!$K$4)</f>
        <v>50.76</v>
      </c>
      <c r="J34" s="19">
        <f>IF(D34="Small",Factors!$L$4,Factors!$M$4)</f>
        <v>0</v>
      </c>
      <c r="K34" s="18">
        <f t="shared" si="0"/>
        <v>41.016038559999998</v>
      </c>
      <c r="L34" s="18">
        <f t="shared" si="1"/>
        <v>38.129183680000004</v>
      </c>
      <c r="M34" s="18">
        <f t="shared" si="2"/>
        <v>42.246519716800002</v>
      </c>
      <c r="N34" s="18">
        <f t="shared" si="3"/>
        <v>39.273059190400005</v>
      </c>
      <c r="O34" s="18">
        <f>IF($D34="Small",Factors!$J$6,Factors!$K$6)</f>
        <v>0.57999999999999996</v>
      </c>
      <c r="P34" s="18">
        <f>IF($D34="Small",Factors!$L$6,Factors!$M$6)</f>
        <v>69.05</v>
      </c>
      <c r="Q34" s="18">
        <f t="shared" si="4"/>
        <v>-11.485623999999998</v>
      </c>
      <c r="R34" s="18">
        <f t="shared" si="5"/>
        <v>-14.209071999999999</v>
      </c>
      <c r="S34" s="18">
        <f t="shared" si="6"/>
        <v>69.05</v>
      </c>
      <c r="T34" s="18">
        <f t="shared" si="6"/>
        <v>69.05</v>
      </c>
      <c r="U34" s="18">
        <f t="shared" si="7"/>
        <v>20.278738560000001</v>
      </c>
      <c r="V34" s="18">
        <f t="shared" si="8"/>
        <v>17.391883679999999</v>
      </c>
      <c r="W34" s="18">
        <f t="shared" si="9"/>
        <v>19.9134957168</v>
      </c>
      <c r="X34" s="18">
        <f t="shared" si="10"/>
        <v>16.940035190399996</v>
      </c>
    </row>
    <row r="35" spans="2:24">
      <c r="B35" s="12" t="s">
        <v>492</v>
      </c>
      <c r="C35" s="12" t="s">
        <v>506</v>
      </c>
      <c r="D35" s="12" t="s">
        <v>28</v>
      </c>
      <c r="E35" s="12">
        <v>4.0609000000000002</v>
      </c>
      <c r="F35" s="12">
        <v>4.7899999999999998E-2</v>
      </c>
      <c r="G35" s="12">
        <v>5.9107000000000003</v>
      </c>
      <c r="H35" s="12">
        <v>4.3799999999999999E-2</v>
      </c>
      <c r="I35" s="18">
        <f>IF($D35="Small",Factors!$J$4,Factors!$K$4)</f>
        <v>50.76</v>
      </c>
      <c r="J35" s="19">
        <f>IF(D35="Small",Factors!$L$4,Factors!$M$4)</f>
        <v>0</v>
      </c>
      <c r="K35" s="18">
        <f t="shared" si="0"/>
        <v>43.701239040000004</v>
      </c>
      <c r="L35" s="18">
        <f t="shared" si="1"/>
        <v>39.162293600000005</v>
      </c>
      <c r="M35" s="18">
        <f t="shared" si="2"/>
        <v>45.012276211200003</v>
      </c>
      <c r="N35" s="18">
        <f t="shared" si="3"/>
        <v>40.337162408000005</v>
      </c>
      <c r="O35" s="18">
        <f>IF($D35="Small",Factors!$J$6,Factors!$K$6)</f>
        <v>0.57999999999999996</v>
      </c>
      <c r="P35" s="18">
        <f>IF($D35="Small",Factors!$L$6,Factors!$M$6)</f>
        <v>69.05</v>
      </c>
      <c r="Q35" s="18">
        <f t="shared" si="4"/>
        <v>-8.9524159999999995</v>
      </c>
      <c r="R35" s="18">
        <f t="shared" si="5"/>
        <v>-13.234439999999999</v>
      </c>
      <c r="S35" s="18">
        <f t="shared" si="6"/>
        <v>69.05</v>
      </c>
      <c r="T35" s="18">
        <f t="shared" si="6"/>
        <v>69.05</v>
      </c>
      <c r="U35" s="18">
        <f t="shared" si="7"/>
        <v>22.96393904</v>
      </c>
      <c r="V35" s="18">
        <f t="shared" si="8"/>
        <v>18.424993600000001</v>
      </c>
      <c r="W35" s="18">
        <f t="shared" si="9"/>
        <v>22.679252211199998</v>
      </c>
      <c r="X35" s="18">
        <f t="shared" si="10"/>
        <v>18.004138407999996</v>
      </c>
    </row>
    <row r="36" spans="2:24">
      <c r="B36" s="12" t="s">
        <v>492</v>
      </c>
      <c r="C36" s="12" t="s">
        <v>507</v>
      </c>
      <c r="D36" s="12" t="s">
        <v>28</v>
      </c>
      <c r="E36" s="12">
        <v>4.617</v>
      </c>
      <c r="F36" s="12">
        <v>0</v>
      </c>
      <c r="G36" s="12">
        <v>5.73</v>
      </c>
      <c r="H36" s="12">
        <v>0</v>
      </c>
      <c r="I36" s="18">
        <f>IF($D36="Small",Factors!$J$4,Factors!$K$4)</f>
        <v>50.76</v>
      </c>
      <c r="J36" s="19">
        <f>IF(D36="Small",Factors!$L$4,Factors!$M$4)</f>
        <v>0</v>
      </c>
      <c r="K36" s="18">
        <f t="shared" si="0"/>
        <v>42.4514736</v>
      </c>
      <c r="L36" s="18">
        <f t="shared" si="1"/>
        <v>39.714384000000003</v>
      </c>
      <c r="M36" s="18">
        <f t="shared" si="2"/>
        <v>43.725017808000004</v>
      </c>
      <c r="N36" s="18">
        <f t="shared" si="3"/>
        <v>40.905815520000004</v>
      </c>
      <c r="O36" s="18">
        <f>IF($D36="Small",Factors!$J$6,Factors!$K$6)</f>
        <v>0.57999999999999996</v>
      </c>
      <c r="P36" s="18">
        <f>IF($D36="Small",Factors!$L$6,Factors!$M$6)</f>
        <v>69.05</v>
      </c>
      <c r="Q36" s="18">
        <f t="shared" si="4"/>
        <v>-10.13144</v>
      </c>
      <c r="R36" s="18">
        <f t="shared" si="5"/>
        <v>-12.7136</v>
      </c>
      <c r="S36" s="18">
        <f t="shared" si="6"/>
        <v>69.05</v>
      </c>
      <c r="T36" s="18">
        <f t="shared" si="6"/>
        <v>69.05</v>
      </c>
      <c r="U36" s="18">
        <f t="shared" si="7"/>
        <v>21.714173599999999</v>
      </c>
      <c r="V36" s="18">
        <f t="shared" si="8"/>
        <v>18.977083999999998</v>
      </c>
      <c r="W36" s="18">
        <f t="shared" si="9"/>
        <v>21.391993807999999</v>
      </c>
      <c r="X36" s="18">
        <f t="shared" si="10"/>
        <v>18.572791519999996</v>
      </c>
    </row>
    <row r="37" spans="2:24">
      <c r="B37" s="12" t="s">
        <v>498</v>
      </c>
      <c r="C37" s="12" t="s">
        <v>499</v>
      </c>
      <c r="D37" s="12" t="s">
        <v>28</v>
      </c>
      <c r="E37" s="12">
        <v>4.7140000000000004</v>
      </c>
      <c r="F37" s="12">
        <v>0</v>
      </c>
      <c r="G37" s="12">
        <v>6.0229999999999997</v>
      </c>
      <c r="H37" s="12">
        <v>0</v>
      </c>
      <c r="I37" s="18">
        <f>IF($D37="Small",Factors!$J$4,Factors!$K$4)</f>
        <v>50.76</v>
      </c>
      <c r="J37" s="19">
        <f>IF(D37="Small",Factors!$L$4,Factors!$M$4)</f>
        <v>0</v>
      </c>
      <c r="K37" s="18">
        <f t="shared" si="0"/>
        <v>42.212931200000007</v>
      </c>
      <c r="L37" s="18">
        <f t="shared" si="1"/>
        <v>38.993838400000001</v>
      </c>
      <c r="M37" s="18">
        <f t="shared" si="2"/>
        <v>43.479319136000008</v>
      </c>
      <c r="N37" s="18">
        <f t="shared" si="3"/>
        <v>40.163653552</v>
      </c>
      <c r="O37" s="18">
        <f>IF($D37="Small",Factors!$J$6,Factors!$K$6)</f>
        <v>0.57999999999999996</v>
      </c>
      <c r="P37" s="18">
        <f>IF($D37="Small",Factors!$L$6,Factors!$M$6)</f>
        <v>69.05</v>
      </c>
      <c r="Q37" s="18">
        <f t="shared" si="4"/>
        <v>-10.356479999999999</v>
      </c>
      <c r="R37" s="18">
        <f t="shared" si="5"/>
        <v>-13.393359999999998</v>
      </c>
      <c r="S37" s="18">
        <f t="shared" si="6"/>
        <v>69.05</v>
      </c>
      <c r="T37" s="18">
        <f t="shared" si="6"/>
        <v>69.05</v>
      </c>
      <c r="U37" s="18">
        <f t="shared" si="7"/>
        <v>21.475631199999999</v>
      </c>
      <c r="V37" s="18">
        <f t="shared" si="8"/>
        <v>18.2565384</v>
      </c>
      <c r="W37" s="18">
        <f t="shared" si="9"/>
        <v>21.146295135999999</v>
      </c>
      <c r="X37" s="18">
        <f t="shared" si="10"/>
        <v>17.830629551999998</v>
      </c>
    </row>
  </sheetData>
  <sortState xmlns:xlrd2="http://schemas.microsoft.com/office/spreadsheetml/2017/richdata2" ref="B6:X37">
    <sortCondition ref="B6:B37"/>
  </sortState>
  <mergeCells count="8">
    <mergeCell ref="I3:N3"/>
    <mergeCell ref="M4:N4"/>
    <mergeCell ref="O3:X3"/>
    <mergeCell ref="Q4:R4"/>
    <mergeCell ref="S4:T4"/>
    <mergeCell ref="U4:V4"/>
    <mergeCell ref="W4:X4"/>
    <mergeCell ref="K4:L4"/>
  </mergeCells>
  <phoneticPr fontId="14"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623978-82C5-4B69-ABD4-42218385816F}">
  <sheetPr codeName="Sheet13">
    <tabColor rgb="FFFFC000"/>
  </sheetPr>
  <dimension ref="B1:AI46"/>
  <sheetViews>
    <sheetView topLeftCell="A5" zoomScale="90" workbookViewId="0">
      <selection activeCell="C26" sqref="C26"/>
    </sheetView>
  </sheetViews>
  <sheetFormatPr defaultColWidth="8.76953125" defaultRowHeight="14.75"/>
  <cols>
    <col min="1" max="1" width="14.453125" style="65" bestFit="1" customWidth="1"/>
    <col min="2" max="2" width="16.76953125" style="65" customWidth="1"/>
    <col min="3" max="3" width="29.54296875" style="65" bestFit="1" customWidth="1"/>
    <col min="4" max="5" width="10.31640625" style="65" bestFit="1" customWidth="1"/>
    <col min="6" max="8" width="10.2265625" style="65" customWidth="1"/>
    <col min="9" max="10" width="8.76953125" style="65"/>
    <col min="11" max="11" width="9.6796875" style="65" bestFit="1" customWidth="1"/>
    <col min="12" max="13" width="8.76953125" style="65"/>
    <col min="14" max="14" width="15.31640625" style="65" bestFit="1" customWidth="1"/>
    <col min="15" max="16384" width="8.76953125" style="65"/>
  </cols>
  <sheetData>
    <row r="1" spans="2:35" ht="30" customHeight="1">
      <c r="B1" s="85" t="s">
        <v>347</v>
      </c>
      <c r="AI1" s="68"/>
    </row>
    <row r="3" spans="2:35">
      <c r="D3" s="360" t="s">
        <v>346</v>
      </c>
      <c r="E3" s="361"/>
      <c r="F3" s="361"/>
      <c r="G3" s="361"/>
      <c r="H3" s="362"/>
    </row>
    <row r="4" spans="2:35">
      <c r="B4" s="16" t="s">
        <v>40</v>
      </c>
      <c r="C4" s="16" t="s">
        <v>9</v>
      </c>
      <c r="D4" s="14" t="s">
        <v>408</v>
      </c>
      <c r="E4" s="14" t="s">
        <v>409</v>
      </c>
      <c r="F4" s="14" t="s">
        <v>410</v>
      </c>
      <c r="G4" s="14" t="s">
        <v>411</v>
      </c>
      <c r="H4" s="14" t="s">
        <v>407</v>
      </c>
    </row>
    <row r="5" spans="2:35">
      <c r="B5" s="12" t="s">
        <v>204</v>
      </c>
      <c r="C5" s="12" t="s">
        <v>464</v>
      </c>
      <c r="D5" s="10">
        <v>27</v>
      </c>
      <c r="E5" s="10">
        <v>27</v>
      </c>
      <c r="F5" s="10">
        <v>32</v>
      </c>
      <c r="G5" s="10">
        <v>35</v>
      </c>
      <c r="H5" s="113">
        <v>34</v>
      </c>
    </row>
    <row r="6" spans="2:35">
      <c r="B6" s="12" t="s">
        <v>204</v>
      </c>
      <c r="C6" s="12" t="s">
        <v>206</v>
      </c>
      <c r="D6" s="10">
        <v>28</v>
      </c>
      <c r="E6" s="10">
        <v>28</v>
      </c>
      <c r="F6" s="10">
        <v>33</v>
      </c>
      <c r="G6" s="10">
        <v>36</v>
      </c>
      <c r="H6" s="113">
        <v>35</v>
      </c>
    </row>
    <row r="7" spans="2:35">
      <c r="B7" s="12" t="s">
        <v>492</v>
      </c>
      <c r="C7" s="12" t="s">
        <v>505</v>
      </c>
      <c r="D7" s="10">
        <v>23</v>
      </c>
      <c r="E7" s="10">
        <v>23</v>
      </c>
      <c r="F7" s="10">
        <v>28</v>
      </c>
      <c r="G7" s="10">
        <v>29</v>
      </c>
      <c r="H7" s="113">
        <v>29</v>
      </c>
    </row>
    <row r="8" spans="2:35">
      <c r="B8" s="12" t="s">
        <v>492</v>
      </c>
      <c r="C8" s="12" t="s">
        <v>504</v>
      </c>
      <c r="D8" s="10">
        <v>26</v>
      </c>
      <c r="E8" s="10">
        <v>25</v>
      </c>
      <c r="F8" s="10">
        <v>31</v>
      </c>
      <c r="G8" s="10">
        <v>32</v>
      </c>
      <c r="H8" s="113">
        <v>30</v>
      </c>
    </row>
    <row r="9" spans="2:35">
      <c r="B9" s="12" t="s">
        <v>492</v>
      </c>
      <c r="C9" s="12" t="s">
        <v>501</v>
      </c>
      <c r="D9" s="10">
        <v>26</v>
      </c>
      <c r="E9" s="10">
        <v>25</v>
      </c>
      <c r="F9" s="10">
        <v>31</v>
      </c>
      <c r="G9" s="10">
        <v>32</v>
      </c>
      <c r="H9" s="113">
        <v>30</v>
      </c>
    </row>
    <row r="10" spans="2:35">
      <c r="B10" s="12" t="s">
        <v>492</v>
      </c>
      <c r="C10" s="12" t="s">
        <v>502</v>
      </c>
      <c r="D10" s="10">
        <v>23</v>
      </c>
      <c r="E10" s="10">
        <v>22</v>
      </c>
      <c r="F10" s="10">
        <v>27</v>
      </c>
      <c r="G10" s="10">
        <v>29</v>
      </c>
      <c r="H10" s="113">
        <v>28</v>
      </c>
    </row>
    <row r="11" spans="2:35">
      <c r="B11" s="12" t="s">
        <v>492</v>
      </c>
      <c r="C11" s="12" t="s">
        <v>497</v>
      </c>
      <c r="D11" s="10">
        <v>26</v>
      </c>
      <c r="E11" s="10">
        <v>24</v>
      </c>
      <c r="F11" s="10">
        <v>30</v>
      </c>
      <c r="G11" s="10">
        <v>31</v>
      </c>
      <c r="H11" s="113">
        <v>29</v>
      </c>
    </row>
    <row r="12" spans="2:35">
      <c r="B12" s="12" t="s">
        <v>492</v>
      </c>
      <c r="C12" s="12" t="s">
        <v>494</v>
      </c>
      <c r="D12" s="10">
        <v>26</v>
      </c>
      <c r="E12" s="10">
        <v>24</v>
      </c>
      <c r="F12" s="10">
        <v>30</v>
      </c>
      <c r="G12" s="10">
        <v>31</v>
      </c>
      <c r="H12" s="113">
        <v>29</v>
      </c>
    </row>
    <row r="13" spans="2:35">
      <c r="B13" s="12" t="s">
        <v>204</v>
      </c>
      <c r="C13" s="12" t="s">
        <v>205</v>
      </c>
      <c r="D13" s="10">
        <v>27</v>
      </c>
      <c r="E13" s="10">
        <v>27</v>
      </c>
      <c r="F13" s="10">
        <v>32</v>
      </c>
      <c r="G13" s="10">
        <v>35</v>
      </c>
      <c r="H13" s="113">
        <v>34</v>
      </c>
    </row>
    <row r="14" spans="2:35">
      <c r="B14" s="12" t="s">
        <v>204</v>
      </c>
      <c r="C14" s="12" t="s">
        <v>465</v>
      </c>
      <c r="D14" s="10">
        <v>28</v>
      </c>
      <c r="E14" s="10">
        <v>28</v>
      </c>
      <c r="F14" s="10">
        <v>33</v>
      </c>
      <c r="G14" s="10">
        <v>35</v>
      </c>
      <c r="H14" s="113">
        <v>35</v>
      </c>
    </row>
    <row r="15" spans="2:35">
      <c r="B15" s="12" t="s">
        <v>204</v>
      </c>
      <c r="C15" s="12" t="s">
        <v>466</v>
      </c>
      <c r="D15" s="10">
        <v>27</v>
      </c>
      <c r="E15" s="10">
        <v>26</v>
      </c>
      <c r="F15" s="10">
        <v>32</v>
      </c>
      <c r="G15" s="10">
        <v>34</v>
      </c>
      <c r="H15" s="113">
        <v>34</v>
      </c>
    </row>
    <row r="16" spans="2:35">
      <c r="B16" s="12" t="s">
        <v>204</v>
      </c>
      <c r="C16" s="12" t="s">
        <v>462</v>
      </c>
      <c r="D16" s="10">
        <v>27</v>
      </c>
      <c r="E16" s="10">
        <v>26</v>
      </c>
      <c r="F16" s="10">
        <v>32</v>
      </c>
      <c r="G16" s="10">
        <v>34</v>
      </c>
      <c r="H16" s="113">
        <v>34</v>
      </c>
    </row>
    <row r="17" spans="2:8">
      <c r="B17" s="12" t="s">
        <v>204</v>
      </c>
      <c r="C17" s="12" t="s">
        <v>207</v>
      </c>
      <c r="D17" s="10">
        <v>28</v>
      </c>
      <c r="E17" s="10">
        <v>28</v>
      </c>
      <c r="F17" s="10">
        <v>34</v>
      </c>
      <c r="G17" s="10">
        <v>36</v>
      </c>
      <c r="H17" s="113">
        <v>36</v>
      </c>
    </row>
    <row r="18" spans="2:8">
      <c r="B18" s="12" t="s">
        <v>204</v>
      </c>
      <c r="C18" s="12" t="s">
        <v>461</v>
      </c>
      <c r="D18" s="10">
        <v>27</v>
      </c>
      <c r="E18" s="10">
        <v>26</v>
      </c>
      <c r="F18" s="10">
        <v>32</v>
      </c>
      <c r="G18" s="10">
        <v>34</v>
      </c>
      <c r="H18" s="113">
        <v>34</v>
      </c>
    </row>
    <row r="19" spans="2:8">
      <c r="B19" s="12" t="s">
        <v>204</v>
      </c>
      <c r="C19" s="12" t="s">
        <v>463</v>
      </c>
      <c r="D19" s="10">
        <v>28</v>
      </c>
      <c r="E19" s="10">
        <v>28</v>
      </c>
      <c r="F19" s="10">
        <v>34</v>
      </c>
      <c r="G19" s="10">
        <v>37</v>
      </c>
      <c r="H19" s="113">
        <v>37</v>
      </c>
    </row>
    <row r="20" spans="2:8">
      <c r="B20" s="12" t="s">
        <v>204</v>
      </c>
      <c r="C20" s="12" t="s">
        <v>459</v>
      </c>
      <c r="D20" s="10">
        <v>26</v>
      </c>
      <c r="E20" s="10">
        <v>26</v>
      </c>
      <c r="F20" s="10">
        <v>31</v>
      </c>
      <c r="G20" s="10">
        <v>34</v>
      </c>
      <c r="H20" s="113">
        <v>33</v>
      </c>
    </row>
    <row r="21" spans="2:8">
      <c r="B21" s="12" t="s">
        <v>204</v>
      </c>
      <c r="C21" s="12" t="s">
        <v>460</v>
      </c>
      <c r="D21" s="10">
        <v>27</v>
      </c>
      <c r="E21" s="10">
        <v>27</v>
      </c>
      <c r="F21" s="10">
        <v>32</v>
      </c>
      <c r="G21" s="10">
        <v>34</v>
      </c>
      <c r="H21" s="113">
        <v>34</v>
      </c>
    </row>
    <row r="22" spans="2:8">
      <c r="B22" s="12" t="s">
        <v>203</v>
      </c>
      <c r="C22" s="12" t="s">
        <v>201</v>
      </c>
      <c r="D22" s="10">
        <v>27</v>
      </c>
      <c r="E22" s="10">
        <v>26</v>
      </c>
      <c r="F22" s="10">
        <v>32</v>
      </c>
      <c r="G22" s="10">
        <v>34</v>
      </c>
      <c r="H22" s="113">
        <v>34</v>
      </c>
    </row>
    <row r="23" spans="2:8">
      <c r="B23" s="12" t="s">
        <v>203</v>
      </c>
      <c r="C23" s="12" t="s">
        <v>202</v>
      </c>
      <c r="D23" s="10">
        <v>27</v>
      </c>
      <c r="E23" s="10">
        <v>26</v>
      </c>
      <c r="F23" s="10">
        <v>32</v>
      </c>
      <c r="G23" s="10">
        <v>34</v>
      </c>
      <c r="H23" s="113">
        <v>34</v>
      </c>
    </row>
    <row r="24" spans="2:8">
      <c r="B24" s="12" t="s">
        <v>492</v>
      </c>
      <c r="C24" s="12" t="s">
        <v>503</v>
      </c>
      <c r="D24" s="10">
        <v>26</v>
      </c>
      <c r="E24" s="10">
        <v>25</v>
      </c>
      <c r="F24" s="10">
        <v>31</v>
      </c>
      <c r="G24" s="10">
        <v>32</v>
      </c>
      <c r="H24" s="113">
        <v>30</v>
      </c>
    </row>
    <row r="25" spans="2:8">
      <c r="B25" s="12" t="s">
        <v>492</v>
      </c>
      <c r="C25" s="12" t="s">
        <v>506</v>
      </c>
      <c r="D25" s="10">
        <v>26</v>
      </c>
      <c r="E25" s="10">
        <v>25</v>
      </c>
      <c r="F25" s="10">
        <v>31</v>
      </c>
      <c r="G25" s="10">
        <v>32</v>
      </c>
      <c r="H25" s="113">
        <v>30</v>
      </c>
    </row>
    <row r="26" spans="2:8">
      <c r="B26" s="12" t="s">
        <v>492</v>
      </c>
      <c r="C26" s="12" t="s">
        <v>493</v>
      </c>
      <c r="D26" s="10">
        <v>26</v>
      </c>
      <c r="E26" s="10">
        <v>24</v>
      </c>
      <c r="F26" s="10">
        <v>30</v>
      </c>
      <c r="G26" s="10">
        <v>31</v>
      </c>
      <c r="H26" s="113">
        <v>29</v>
      </c>
    </row>
    <row r="27" spans="2:8">
      <c r="B27" s="12" t="s">
        <v>492</v>
      </c>
      <c r="C27" s="12" t="s">
        <v>495</v>
      </c>
      <c r="D27" s="10">
        <v>26</v>
      </c>
      <c r="E27" s="10">
        <v>24</v>
      </c>
      <c r="F27" s="10">
        <v>30</v>
      </c>
      <c r="G27" s="10">
        <v>31</v>
      </c>
      <c r="H27" s="113">
        <v>29</v>
      </c>
    </row>
    <row r="28" spans="2:8">
      <c r="B28" s="12" t="s">
        <v>492</v>
      </c>
      <c r="C28" s="12" t="s">
        <v>500</v>
      </c>
      <c r="D28" s="10">
        <v>25</v>
      </c>
      <c r="E28" s="10">
        <v>24</v>
      </c>
      <c r="F28" s="10">
        <v>29</v>
      </c>
      <c r="G28" s="10">
        <v>31</v>
      </c>
      <c r="H28" s="113">
        <v>31</v>
      </c>
    </row>
    <row r="29" spans="2:8">
      <c r="B29" s="12" t="s">
        <v>492</v>
      </c>
      <c r="C29" s="12" t="s">
        <v>496</v>
      </c>
      <c r="D29" s="10">
        <v>26</v>
      </c>
      <c r="E29" s="10">
        <v>25</v>
      </c>
      <c r="F29" s="10">
        <v>31</v>
      </c>
      <c r="G29" s="10">
        <v>32</v>
      </c>
      <c r="H29" s="113">
        <v>32</v>
      </c>
    </row>
    <row r="30" spans="2:8">
      <c r="B30" s="12" t="s">
        <v>492</v>
      </c>
      <c r="C30" s="12" t="s">
        <v>507</v>
      </c>
      <c r="D30" s="10">
        <v>25</v>
      </c>
      <c r="E30" s="10">
        <v>24</v>
      </c>
      <c r="F30" s="10">
        <v>29</v>
      </c>
      <c r="G30" s="10">
        <v>31</v>
      </c>
      <c r="H30" s="113">
        <v>30</v>
      </c>
    </row>
    <row r="31" spans="2:8">
      <c r="B31" s="12" t="s">
        <v>492</v>
      </c>
      <c r="C31" s="12" t="s">
        <v>499</v>
      </c>
      <c r="D31" s="10">
        <v>25</v>
      </c>
      <c r="E31" s="10">
        <v>24</v>
      </c>
      <c r="F31" s="10">
        <v>30</v>
      </c>
      <c r="G31" s="10">
        <v>32</v>
      </c>
      <c r="H31" s="113">
        <v>31</v>
      </c>
    </row>
    <row r="32" spans="2:8">
      <c r="B32" s="12" t="s">
        <v>203</v>
      </c>
      <c r="C32" s="12" t="s">
        <v>551</v>
      </c>
      <c r="D32" s="10">
        <v>27</v>
      </c>
      <c r="E32" s="10">
        <v>26</v>
      </c>
      <c r="F32" s="10">
        <v>32</v>
      </c>
      <c r="G32" s="10">
        <v>35</v>
      </c>
      <c r="H32" s="113">
        <v>34</v>
      </c>
    </row>
    <row r="33" spans="2:8">
      <c r="B33" s="12" t="s">
        <v>203</v>
      </c>
      <c r="C33" s="12" t="s">
        <v>552</v>
      </c>
      <c r="D33" s="10">
        <v>26</v>
      </c>
      <c r="E33" s="10">
        <v>27</v>
      </c>
      <c r="F33" s="10">
        <v>32</v>
      </c>
      <c r="G33" s="10">
        <v>35</v>
      </c>
      <c r="H33" s="113">
        <v>34</v>
      </c>
    </row>
    <row r="34" spans="2:8">
      <c r="B34" s="12" t="s">
        <v>204</v>
      </c>
      <c r="C34" s="12" t="s">
        <v>449</v>
      </c>
      <c r="D34" s="10">
        <v>26</v>
      </c>
      <c r="E34" s="10">
        <v>25</v>
      </c>
      <c r="F34" s="10">
        <v>31</v>
      </c>
      <c r="G34" s="10">
        <v>33</v>
      </c>
      <c r="H34" s="113">
        <v>32</v>
      </c>
    </row>
    <row r="35" spans="2:8">
      <c r="B35" s="12" t="s">
        <v>204</v>
      </c>
      <c r="C35" s="12" t="s">
        <v>458</v>
      </c>
      <c r="D35" s="10">
        <v>24</v>
      </c>
      <c r="E35" s="10">
        <v>24</v>
      </c>
      <c r="F35" s="10">
        <v>29</v>
      </c>
      <c r="G35" s="10">
        <v>31</v>
      </c>
      <c r="H35" s="113">
        <v>30</v>
      </c>
    </row>
    <row r="36" spans="2:8">
      <c r="B36" s="12" t="s">
        <v>204</v>
      </c>
      <c r="C36" s="12" t="s">
        <v>452</v>
      </c>
      <c r="D36" s="10">
        <v>26</v>
      </c>
      <c r="E36" s="10">
        <v>25</v>
      </c>
      <c r="F36" s="10">
        <v>30</v>
      </c>
      <c r="G36" s="10">
        <v>32</v>
      </c>
      <c r="H36" s="113">
        <v>31</v>
      </c>
    </row>
    <row r="37" spans="2:8">
      <c r="B37" s="12" t="s">
        <v>204</v>
      </c>
      <c r="C37" s="12" t="s">
        <v>451</v>
      </c>
      <c r="D37" s="10">
        <v>25</v>
      </c>
      <c r="E37" s="10">
        <v>25</v>
      </c>
      <c r="F37" s="10">
        <v>30</v>
      </c>
      <c r="G37" s="10">
        <v>32</v>
      </c>
      <c r="H37" s="113">
        <v>31</v>
      </c>
    </row>
    <row r="38" spans="2:8">
      <c r="B38" s="12" t="s">
        <v>204</v>
      </c>
      <c r="C38" s="12" t="s">
        <v>455</v>
      </c>
      <c r="D38" s="10">
        <v>25</v>
      </c>
      <c r="E38" s="10">
        <v>25</v>
      </c>
      <c r="F38" s="10">
        <v>29</v>
      </c>
      <c r="G38" s="10">
        <v>31</v>
      </c>
      <c r="H38" s="113">
        <v>31</v>
      </c>
    </row>
    <row r="39" spans="2:8">
      <c r="B39" s="12" t="s">
        <v>204</v>
      </c>
      <c r="C39" s="12" t="s">
        <v>454</v>
      </c>
      <c r="D39" s="10">
        <v>26</v>
      </c>
      <c r="E39" s="10">
        <v>26</v>
      </c>
      <c r="F39" s="10">
        <v>31</v>
      </c>
      <c r="G39" s="10">
        <v>33</v>
      </c>
      <c r="H39" s="113">
        <v>33</v>
      </c>
    </row>
    <row r="40" spans="2:8">
      <c r="B40" s="12" t="s">
        <v>204</v>
      </c>
      <c r="C40" s="12" t="s">
        <v>456</v>
      </c>
      <c r="D40" s="10">
        <v>24</v>
      </c>
      <c r="E40" s="10">
        <v>22</v>
      </c>
      <c r="F40" s="10">
        <v>28</v>
      </c>
      <c r="G40" s="10">
        <v>30</v>
      </c>
      <c r="H40" s="113">
        <v>29</v>
      </c>
    </row>
    <row r="41" spans="2:8">
      <c r="B41" s="12" t="s">
        <v>204</v>
      </c>
      <c r="C41" s="12" t="s">
        <v>453</v>
      </c>
      <c r="D41" s="10">
        <v>24</v>
      </c>
      <c r="E41" s="10">
        <v>20</v>
      </c>
      <c r="F41" s="10">
        <v>27</v>
      </c>
      <c r="G41" s="10">
        <v>29</v>
      </c>
      <c r="H41" s="113">
        <v>28</v>
      </c>
    </row>
    <row r="42" spans="2:8">
      <c r="B42" s="12" t="s">
        <v>204</v>
      </c>
      <c r="C42" s="12" t="s">
        <v>448</v>
      </c>
      <c r="D42" s="10">
        <v>26</v>
      </c>
      <c r="E42" s="10">
        <v>26</v>
      </c>
      <c r="F42" s="10">
        <v>31</v>
      </c>
      <c r="G42" s="10">
        <v>33</v>
      </c>
      <c r="H42" s="113">
        <v>33</v>
      </c>
    </row>
    <row r="43" spans="2:8">
      <c r="B43" s="12" t="s">
        <v>204</v>
      </c>
      <c r="C43" s="12" t="s">
        <v>450</v>
      </c>
      <c r="D43" s="10">
        <v>24</v>
      </c>
      <c r="E43" s="10">
        <v>23</v>
      </c>
      <c r="F43" s="10">
        <v>28</v>
      </c>
      <c r="G43" s="10">
        <v>30</v>
      </c>
      <c r="H43" s="113">
        <v>29</v>
      </c>
    </row>
    <row r="44" spans="2:8">
      <c r="B44" s="12" t="s">
        <v>204</v>
      </c>
      <c r="C44" s="12" t="s">
        <v>457</v>
      </c>
      <c r="D44" s="10">
        <v>24</v>
      </c>
      <c r="E44" s="10">
        <v>24</v>
      </c>
      <c r="F44" s="10">
        <v>29</v>
      </c>
      <c r="G44" s="10">
        <v>31</v>
      </c>
      <c r="H44" s="113">
        <v>30</v>
      </c>
    </row>
    <row r="45" spans="2:8">
      <c r="B45" s="12" t="s">
        <v>203</v>
      </c>
      <c r="C45" s="12" t="s">
        <v>200</v>
      </c>
      <c r="D45" s="10">
        <v>26</v>
      </c>
      <c r="E45" s="10">
        <v>25</v>
      </c>
      <c r="F45" s="10">
        <v>31</v>
      </c>
      <c r="G45" s="10">
        <v>33</v>
      </c>
      <c r="H45" s="113">
        <v>32</v>
      </c>
    </row>
    <row r="46" spans="2:8">
      <c r="B46" s="12" t="s">
        <v>203</v>
      </c>
      <c r="C46" s="12" t="s">
        <v>208</v>
      </c>
      <c r="D46" s="10">
        <v>27</v>
      </c>
      <c r="E46" s="10">
        <v>27</v>
      </c>
      <c r="F46" s="10">
        <v>32</v>
      </c>
      <c r="G46" s="10">
        <v>35</v>
      </c>
      <c r="H46" s="113">
        <v>35</v>
      </c>
    </row>
  </sheetData>
  <autoFilter ref="B4:H4" xr:uid="{314AE64D-EA6B-479F-8840-E26A35F6EC23}"/>
  <sortState xmlns:xlrd2="http://schemas.microsoft.com/office/spreadsheetml/2017/richdata2" ref="A5:H46">
    <sortCondition ref="A5:A46"/>
  </sortState>
  <mergeCells count="1">
    <mergeCell ref="D3:H3"/>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B09F8-617C-40D7-80C8-95C99DFF0B23}">
  <sheetPr codeName="Sheet6">
    <tabColor rgb="FFFFFF00"/>
  </sheetPr>
  <dimension ref="B1:O11"/>
  <sheetViews>
    <sheetView topLeftCell="J1" zoomScale="88" zoomScaleNormal="100" workbookViewId="0">
      <selection activeCell="C26" sqref="C26"/>
    </sheetView>
  </sheetViews>
  <sheetFormatPr defaultColWidth="8.86328125" defaultRowHeight="14.75"/>
  <cols>
    <col min="1" max="1" width="8.86328125" style="65" customWidth="1"/>
    <col min="2" max="2" width="10.453125" style="84" bestFit="1" customWidth="1"/>
    <col min="3" max="3" width="16" style="84" bestFit="1" customWidth="1"/>
    <col min="4" max="4" width="11.31640625" style="87" bestFit="1" customWidth="1"/>
    <col min="5" max="5" width="33.453125" style="87" bestFit="1" customWidth="1"/>
    <col min="6" max="6" width="9" style="87" bestFit="1" customWidth="1"/>
    <col min="7" max="7" width="9" style="87" customWidth="1"/>
    <col min="8" max="8" width="28" style="87" bestFit="1" customWidth="1"/>
    <col min="9" max="9" width="20" style="87" bestFit="1" customWidth="1"/>
    <col min="10" max="10" width="28" style="87" bestFit="1" customWidth="1"/>
    <col min="11" max="11" width="27.2265625" style="87" bestFit="1" customWidth="1"/>
    <col min="12" max="12" width="51.86328125" style="87" bestFit="1" customWidth="1"/>
    <col min="13" max="13" width="30.54296875" style="87" bestFit="1" customWidth="1"/>
    <col min="14" max="14" width="9.453125" style="87" bestFit="1" customWidth="1"/>
    <col min="15" max="15" width="6.76953125" style="87" bestFit="1" customWidth="1"/>
    <col min="16" max="578" width="8.86328125" style="65" customWidth="1"/>
    <col min="579" max="16384" width="8.86328125" style="65"/>
  </cols>
  <sheetData>
    <row r="1" spans="2:15">
      <c r="B1" s="77"/>
      <c r="C1" s="68"/>
      <c r="D1" s="68"/>
      <c r="E1" s="68"/>
      <c r="F1" s="68"/>
      <c r="G1" s="68"/>
      <c r="H1" s="68"/>
      <c r="I1" s="68"/>
      <c r="J1" s="68"/>
      <c r="K1" s="68"/>
      <c r="L1" s="68"/>
      <c r="M1" s="68"/>
      <c r="N1" s="68"/>
      <c r="O1" s="68"/>
    </row>
    <row r="2" spans="2:15" ht="18.5">
      <c r="B2" s="77"/>
      <c r="C2" s="85" t="s">
        <v>291</v>
      </c>
      <c r="D2" s="65"/>
      <c r="E2" s="68"/>
      <c r="F2" s="68"/>
      <c r="G2" s="68"/>
      <c r="H2" s="68"/>
      <c r="I2" s="68"/>
      <c r="J2" s="68"/>
      <c r="K2" s="68"/>
      <c r="L2" s="68"/>
      <c r="M2" s="68"/>
      <c r="N2" s="68"/>
      <c r="O2" s="68"/>
    </row>
    <row r="3" spans="2:15" ht="18.5">
      <c r="B3" s="91"/>
      <c r="D3" s="68"/>
      <c r="E3" s="68"/>
      <c r="F3" s="68"/>
      <c r="G3" s="68"/>
      <c r="H3" s="68"/>
      <c r="I3" s="68"/>
      <c r="J3" s="68"/>
      <c r="K3" s="68"/>
      <c r="L3" s="68"/>
      <c r="M3" s="68"/>
      <c r="N3" s="68"/>
      <c r="O3" s="68"/>
    </row>
    <row r="4" spans="2:15">
      <c r="B4" s="367" t="s">
        <v>226</v>
      </c>
      <c r="C4" s="368"/>
      <c r="D4" s="368"/>
      <c r="E4" s="368"/>
      <c r="F4" s="368"/>
      <c r="G4" s="369"/>
      <c r="H4" s="363" t="s">
        <v>225</v>
      </c>
      <c r="I4" s="364"/>
      <c r="J4" s="68"/>
      <c r="K4" s="68"/>
      <c r="L4" s="68"/>
      <c r="M4" s="68"/>
      <c r="N4" s="365" t="s">
        <v>331</v>
      </c>
      <c r="O4" s="366"/>
    </row>
    <row r="5" spans="2:15" ht="14.9" customHeight="1">
      <c r="B5" s="56" t="s">
        <v>40</v>
      </c>
      <c r="C5" s="56" t="s">
        <v>263</v>
      </c>
      <c r="D5" s="57" t="s">
        <v>232</v>
      </c>
      <c r="E5" s="58" t="s">
        <v>287</v>
      </c>
      <c r="F5" s="58" t="s">
        <v>516</v>
      </c>
      <c r="G5" s="58" t="s">
        <v>519</v>
      </c>
      <c r="H5" s="62" t="s">
        <v>287</v>
      </c>
      <c r="I5" s="63" t="s">
        <v>233</v>
      </c>
      <c r="J5" s="40" t="s">
        <v>527</v>
      </c>
      <c r="K5" s="40" t="s">
        <v>528</v>
      </c>
      <c r="L5" s="40" t="s">
        <v>222</v>
      </c>
      <c r="M5" s="40" t="s">
        <v>234</v>
      </c>
      <c r="N5" s="17" t="s">
        <v>1</v>
      </c>
      <c r="O5" s="17" t="s">
        <v>2</v>
      </c>
    </row>
    <row r="6" spans="2:15">
      <c r="B6" s="12" t="s">
        <v>219</v>
      </c>
      <c r="C6" s="12" t="s">
        <v>221</v>
      </c>
      <c r="D6" s="12">
        <v>4.92</v>
      </c>
      <c r="E6" s="12" t="s">
        <v>289</v>
      </c>
      <c r="F6" s="12" t="s">
        <v>518</v>
      </c>
      <c r="G6" s="12">
        <f t="shared" ref="G6:G11" si="0">Number_of_Replacement_Lamps</f>
        <v>1</v>
      </c>
      <c r="H6" s="18" t="str">
        <f t="shared" ref="H6:H11" si="1">Replacement_Lamp_Equipment_Class</f>
        <v>Infrared coated (IRC) halogen Lamp (ELV)</v>
      </c>
      <c r="I6" s="12">
        <f t="shared" ref="I6:I11" si="2">Number_of_Existing_Lamps</f>
        <v>10</v>
      </c>
      <c r="J6" s="19">
        <f>G6/I6</f>
        <v>0.1</v>
      </c>
      <c r="K6" s="19">
        <f>J6*D6</f>
        <v>0.49199999999999999</v>
      </c>
      <c r="L6" s="19" cm="1">
        <f t="array" ref="L6">INDEX(Table3[[New Lamp Circuit Power ≤5 W]:[10W &lt; New Lamp Circuit Power ≤15 W]],MATCH(1,('E1'!H6=Table3[Existing Lamp and/or Luminaire])*('E1'!E6=Table3[New Lamp and/or Luminaire]),0),MATCH(1,(K6&gt;minimum_NLCP)*(K6&lt;=max_NLCP),0))</f>
        <v>0.54</v>
      </c>
      <c r="M6" s="19">
        <f>L6*I6</f>
        <v>5.4</v>
      </c>
      <c r="N6" s="18">
        <f>$M6*MetroESS*ECCF</f>
        <v>5.7240000000000011</v>
      </c>
      <c r="O6" s="18">
        <f>M6*RegionalESS*ECCF</f>
        <v>5.8957200000000007</v>
      </c>
    </row>
    <row r="7" spans="2:15">
      <c r="B7" s="12" t="s">
        <v>219</v>
      </c>
      <c r="C7" s="12" t="s">
        <v>218</v>
      </c>
      <c r="D7" s="12">
        <v>4.9400000000000004</v>
      </c>
      <c r="E7" s="12" t="s">
        <v>290</v>
      </c>
      <c r="F7" s="12" t="s">
        <v>518</v>
      </c>
      <c r="G7" s="12">
        <f t="shared" si="0"/>
        <v>1</v>
      </c>
      <c r="H7" s="18" t="str">
        <f t="shared" si="1"/>
        <v>Infrared coated (IRC) halogen Lamp (ELV)</v>
      </c>
      <c r="I7" s="12">
        <f t="shared" si="2"/>
        <v>10</v>
      </c>
      <c r="J7" s="19">
        <f>G7/I7</f>
        <v>0.1</v>
      </c>
      <c r="K7" s="19">
        <f>J7*D7</f>
        <v>0.49400000000000005</v>
      </c>
      <c r="L7" s="19" cm="1">
        <f t="array" ref="L7">INDEX(Table3[[New Lamp Circuit Power ≤5 W]:[10W &lt; New Lamp Circuit Power ≤15 W]],MATCH(1,('E1'!H7=Table3[Existing Lamp and/or Luminaire])*('E1'!E7=Table3[New Lamp and/or Luminaire]),0),MATCH(1,(K7&gt;minimum_NLCP)*(K7&lt;=max_NLCP),0))</f>
        <v>0.54</v>
      </c>
      <c r="M7" s="19">
        <f>L7*I7</f>
        <v>5.4</v>
      </c>
      <c r="N7" s="18">
        <f>$M7*MetroESS*ECCF</f>
        <v>5.7240000000000011</v>
      </c>
      <c r="O7" s="18">
        <f>M7*RegionalESS*ECCF</f>
        <v>5.8957200000000007</v>
      </c>
    </row>
    <row r="8" spans="2:15">
      <c r="B8" s="12" t="s">
        <v>214</v>
      </c>
      <c r="C8" s="12" t="s">
        <v>540</v>
      </c>
      <c r="D8" s="12">
        <v>4.84</v>
      </c>
      <c r="E8" s="12" t="s">
        <v>290</v>
      </c>
      <c r="F8" s="12" t="s">
        <v>525</v>
      </c>
      <c r="G8" s="12">
        <f t="shared" si="0"/>
        <v>1</v>
      </c>
      <c r="H8" s="18" t="str">
        <f t="shared" si="1"/>
        <v>Infrared coated (IRC) halogen Lamp (ELV)</v>
      </c>
      <c r="I8" s="12">
        <f t="shared" si="2"/>
        <v>10</v>
      </c>
      <c r="J8" s="19">
        <f t="shared" ref="J8:J9" si="3">G8/I8</f>
        <v>0.1</v>
      </c>
      <c r="K8" s="19">
        <f t="shared" ref="K8:K9" si="4">J8*D8</f>
        <v>0.48399999999999999</v>
      </c>
      <c r="L8" s="19" cm="1">
        <f t="array" ref="L8">INDEX(Table3[[New Lamp Circuit Power ≤5 W]:[10W &lt; New Lamp Circuit Power ≤15 W]],MATCH(1,('E1'!H8=Table3[Existing Lamp and/or Luminaire])*('E1'!E8=Table3[New Lamp and/or Luminaire]),0),MATCH(1,(K8&gt;minimum_NLCP)*(K8&lt;=max_NLCP),0))</f>
        <v>0.54</v>
      </c>
      <c r="M8" s="19">
        <f t="shared" ref="M8:M9" si="5">L8*I8</f>
        <v>5.4</v>
      </c>
      <c r="N8" s="18">
        <f>$M8*MetroESS*ECCF</f>
        <v>5.7240000000000011</v>
      </c>
      <c r="O8" s="18">
        <f>M8*RegionalESS*ECCF</f>
        <v>5.8957200000000007</v>
      </c>
    </row>
    <row r="9" spans="2:15">
      <c r="B9" s="12" t="s">
        <v>214</v>
      </c>
      <c r="C9" s="12" t="s">
        <v>541</v>
      </c>
      <c r="D9" s="12">
        <v>4.2699999999999996</v>
      </c>
      <c r="E9" s="12" t="s">
        <v>211</v>
      </c>
      <c r="F9" s="12" t="s">
        <v>526</v>
      </c>
      <c r="G9" s="12">
        <f t="shared" si="0"/>
        <v>1</v>
      </c>
      <c r="H9" s="18" t="str">
        <f t="shared" si="1"/>
        <v>Infrared coated (IRC) halogen Lamp (ELV)</v>
      </c>
      <c r="I9" s="12">
        <f t="shared" si="2"/>
        <v>10</v>
      </c>
      <c r="J9" s="19">
        <f t="shared" si="3"/>
        <v>0.1</v>
      </c>
      <c r="K9" s="19">
        <f t="shared" si="4"/>
        <v>0.42699999999999999</v>
      </c>
      <c r="L9" s="19" cm="1">
        <f t="array" ref="L9">INDEX(Table3[[New Lamp Circuit Power ≤5 W]:[10W &lt; New Lamp Circuit Power ≤15 W]],MATCH(1,('E1'!H9=Table3[Existing Lamp and/or Luminaire])*('E1'!E9=Table3[New Lamp and/or Luminaire]),0),MATCH(1,(K9&gt;minimum_NLCP)*(K9&lt;=max_NLCP),0))</f>
        <v>0.52</v>
      </c>
      <c r="M9" s="19">
        <f t="shared" si="5"/>
        <v>5.2</v>
      </c>
      <c r="N9" s="18">
        <f>$M9*MetroESS*ECCF</f>
        <v>5.5120000000000005</v>
      </c>
      <c r="O9" s="18">
        <f>M9*RegionalESS*ECCF</f>
        <v>5.6773600000000011</v>
      </c>
    </row>
    <row r="10" spans="2:15">
      <c r="B10" s="12" t="s">
        <v>214</v>
      </c>
      <c r="C10" s="12" t="s">
        <v>216</v>
      </c>
      <c r="D10" s="12">
        <v>4.76</v>
      </c>
      <c r="E10" s="12" t="s">
        <v>289</v>
      </c>
      <c r="F10" s="12" t="s">
        <v>525</v>
      </c>
      <c r="G10" s="12">
        <f t="shared" si="0"/>
        <v>1</v>
      </c>
      <c r="H10" s="18" t="str">
        <f t="shared" si="1"/>
        <v>Infrared coated (IRC) halogen Lamp (ELV)</v>
      </c>
      <c r="I10" s="12">
        <f t="shared" si="2"/>
        <v>10</v>
      </c>
      <c r="J10" s="19">
        <f>G10/I10</f>
        <v>0.1</v>
      </c>
      <c r="K10" s="19">
        <f>J10*D10</f>
        <v>0.47599999999999998</v>
      </c>
      <c r="L10" s="19" cm="1">
        <f t="array" ref="L10">INDEX(Table3[[New Lamp Circuit Power ≤5 W]:[10W &lt; New Lamp Circuit Power ≤15 W]],MATCH(1,('E1'!H10=Table3[Existing Lamp and/or Luminaire])*('E1'!E10=Table3[New Lamp and/or Luminaire]),0),MATCH(1,(K10&gt;minimum_NLCP)*(K10&lt;=max_NLCP),0))</f>
        <v>0.54</v>
      </c>
      <c r="M10" s="19">
        <f>L10*I10</f>
        <v>5.4</v>
      </c>
      <c r="N10" s="18">
        <f>$M10*MetroESS*ECCF</f>
        <v>5.7240000000000011</v>
      </c>
      <c r="O10" s="18">
        <f>M10*RegionalESS*ECCF</f>
        <v>5.8957200000000007</v>
      </c>
    </row>
    <row r="11" spans="2:15">
      <c r="B11" s="12" t="s">
        <v>214</v>
      </c>
      <c r="C11" s="12" t="s">
        <v>213</v>
      </c>
      <c r="D11" s="12">
        <v>4.7699999999999996</v>
      </c>
      <c r="E11" s="12" t="s">
        <v>211</v>
      </c>
      <c r="F11" s="12" t="s">
        <v>526</v>
      </c>
      <c r="G11" s="12">
        <f t="shared" si="0"/>
        <v>1</v>
      </c>
      <c r="H11" s="18" t="str">
        <f t="shared" si="1"/>
        <v>Infrared coated (IRC) halogen Lamp (ELV)</v>
      </c>
      <c r="I11" s="12">
        <f t="shared" si="2"/>
        <v>10</v>
      </c>
      <c r="J11" s="19">
        <f>G11/I11</f>
        <v>0.1</v>
      </c>
      <c r="K11" s="19">
        <f>J11*D11</f>
        <v>0.47699999999999998</v>
      </c>
      <c r="L11" s="19" cm="1">
        <f t="array" ref="L11">_xlfn.IFNA(INDEX(Table3[[New Lamp Circuit Power ≤5 W]:[10W &lt; New Lamp Circuit Power ≤15 W]],MATCH(1,('E1'!H11=Table3[Existing Lamp and/or Luminaire])*('E1'!E11=Table3[New Lamp and/or Luminaire]),0),MATCH(1,(K11&gt;minimum_NLCP)*(K11&lt;=max_NLCP),0)),"-")</f>
        <v>0.52</v>
      </c>
      <c r="M11" s="19">
        <f>IF(L11="-","-",L11*I11)</f>
        <v>5.2</v>
      </c>
      <c r="N11" s="18">
        <f>IF(M11="-","-",$M11*MetroESS*ECCF)</f>
        <v>5.5120000000000005</v>
      </c>
      <c r="O11" s="18">
        <f>IF(N11="-","-",M11*RegionalESS*ECCF)</f>
        <v>5.6773600000000011</v>
      </c>
    </row>
  </sheetData>
  <autoFilter ref="B5:D11" xr:uid="{174D865D-D753-4A45-8B59-D8BF7CC22988}"/>
  <mergeCells count="3">
    <mergeCell ref="H4:I4"/>
    <mergeCell ref="N4:O4"/>
    <mergeCell ref="B4:G4"/>
  </mergeCells>
  <dataValidations count="2">
    <dataValidation type="whole" operator="greaterThanOrEqual" allowBlank="1" showInputMessage="1" showErrorMessage="1" errorTitle="Number of Lamps" error="Number of Lamps must be an integer" sqref="I6:I11" xr:uid="{0E37B05B-5998-466D-AA9B-80B20656D7E4}">
      <formula1>0</formula1>
    </dataValidation>
    <dataValidation operator="greaterThanOrEqual" allowBlank="1" showInputMessage="1" showErrorMessage="1" errorTitle="Number of Lamps" error="Number of Lamps must be an integer" sqref="J6:K11" xr:uid="{9127FC32-4226-4778-BA14-EE1C51110A2C}"/>
  </dataValidations>
  <pageMargins left="0.7" right="0.7" top="0.75" bottom="0.75" header="0.3" footer="0.3"/>
  <pageSetup orientation="portrait" r:id="rId1"/>
  <drawing r:id="rId2"/>
  <legacyDrawing r:id="rId3"/>
  <extLst>
    <ext xmlns:x14="http://schemas.microsoft.com/office/spreadsheetml/2009/9/main" uri="{CCE6A557-97BC-4b89-ADB6-D9C93CAAB3DF}">
      <x14:dataValidations xmlns:xm="http://schemas.microsoft.com/office/excel/2006/main" count="2">
        <x14:dataValidation type="list" allowBlank="1" showInputMessage="1" showErrorMessage="1" xr:uid="{2F3998E8-0D7B-4AEB-87FE-2B2B20BC3524}">
          <x14:formula1>
            <xm:f>Factors!$AI$5:$AI$11</xm:f>
          </x14:formula1>
          <xm:sqref>H6:H11</xm:sqref>
        </x14:dataValidation>
        <x14:dataValidation type="list" allowBlank="1" showInputMessage="1" showErrorMessage="1" xr:uid="{B98FB06F-F533-482C-82E2-1D5F2BA46AE5}">
          <x14:formula1>
            <xm:f>Factors!$AJ$5:$AJ$11</xm:f>
          </x14:formula1>
          <xm:sqref>E6:E11</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6DEC2-33BC-4D8D-8716-83153622A393}">
  <sheetPr codeName="Sheet7">
    <tabColor rgb="FFFFFF00"/>
  </sheetPr>
  <dimension ref="B1:P6"/>
  <sheetViews>
    <sheetView zoomScale="67" zoomScaleNormal="100" workbookViewId="0">
      <selection activeCell="C26" sqref="C26"/>
    </sheetView>
  </sheetViews>
  <sheetFormatPr defaultColWidth="8.86328125" defaultRowHeight="14.75"/>
  <cols>
    <col min="1" max="1" width="8.86328125" style="65"/>
    <col min="2" max="2" width="11.453125" style="84" bestFit="1" customWidth="1"/>
    <col min="3" max="3" width="20.6796875" style="84" bestFit="1" customWidth="1"/>
    <col min="4" max="4" width="26.76953125" style="87" bestFit="1" customWidth="1"/>
    <col min="5" max="5" width="33.2265625" style="87" bestFit="1" customWidth="1"/>
    <col min="6" max="6" width="8" style="87" bestFit="1" customWidth="1"/>
    <col min="7" max="7" width="9" style="87" bestFit="1" customWidth="1"/>
    <col min="8" max="8" width="9.54296875" style="87" bestFit="1" customWidth="1"/>
    <col min="9" max="9" width="6.31640625" style="87" bestFit="1" customWidth="1"/>
    <col min="10" max="10" width="8" style="87" bestFit="1" customWidth="1"/>
    <col min="11" max="11" width="27.2265625" style="87" bestFit="1" customWidth="1"/>
    <col min="12" max="12" width="39.2265625" style="87" bestFit="1" customWidth="1"/>
    <col min="13" max="13" width="56" style="87" customWidth="1"/>
    <col min="14" max="14" width="31" style="87" bestFit="1" customWidth="1"/>
    <col min="15" max="15" width="11" style="87" customWidth="1"/>
    <col min="16" max="16" width="10" style="87" bestFit="1" customWidth="1"/>
    <col min="17" max="579" width="8.86328125" style="65" customWidth="1"/>
    <col min="580" max="16384" width="8.86328125" style="65"/>
  </cols>
  <sheetData>
    <row r="1" spans="2:16">
      <c r="B1" s="77"/>
      <c r="C1" s="68"/>
      <c r="D1" s="68"/>
      <c r="E1" s="68"/>
      <c r="F1" s="68"/>
      <c r="G1" s="68"/>
      <c r="H1" s="68"/>
      <c r="I1" s="68"/>
      <c r="J1" s="68"/>
      <c r="K1" s="68"/>
      <c r="L1" s="68"/>
      <c r="M1" s="68"/>
      <c r="N1" s="68"/>
      <c r="O1" s="68"/>
      <c r="P1" s="68"/>
    </row>
    <row r="2" spans="2:16" ht="18.5">
      <c r="B2" s="85" t="s">
        <v>293</v>
      </c>
      <c r="C2" s="65"/>
      <c r="D2" s="68"/>
      <c r="I2" s="68"/>
      <c r="J2" s="68"/>
      <c r="K2" s="68"/>
      <c r="L2" s="68"/>
      <c r="M2" s="68"/>
      <c r="N2" s="68"/>
      <c r="O2" s="68"/>
      <c r="P2" s="68"/>
    </row>
    <row r="3" spans="2:16" ht="18.5">
      <c r="B3" s="91"/>
      <c r="D3" s="68"/>
      <c r="E3" s="68"/>
      <c r="F3" s="68"/>
      <c r="G3" s="68"/>
      <c r="H3" s="68"/>
      <c r="I3" s="68"/>
      <c r="J3" s="68"/>
      <c r="K3" s="68"/>
      <c r="L3" s="68"/>
      <c r="M3" s="68"/>
      <c r="N3" s="68"/>
      <c r="O3" s="68"/>
      <c r="P3" s="68"/>
    </row>
    <row r="4" spans="2:16">
      <c r="B4" s="367" t="s">
        <v>258</v>
      </c>
      <c r="C4" s="368"/>
      <c r="D4" s="368"/>
      <c r="E4" s="369"/>
      <c r="F4" s="198"/>
      <c r="G4" s="198"/>
      <c r="H4" s="363" t="s">
        <v>292</v>
      </c>
      <c r="I4" s="370"/>
      <c r="J4" s="364"/>
      <c r="K4" s="68"/>
      <c r="L4" s="68"/>
      <c r="M4" s="68"/>
      <c r="N4" s="68"/>
      <c r="O4" s="365" t="s">
        <v>331</v>
      </c>
      <c r="P4" s="366"/>
    </row>
    <row r="5" spans="2:16">
      <c r="B5" s="56" t="s">
        <v>40</v>
      </c>
      <c r="C5" s="56" t="s">
        <v>258</v>
      </c>
      <c r="D5" s="57" t="s">
        <v>259</v>
      </c>
      <c r="E5" s="58" t="s">
        <v>260</v>
      </c>
      <c r="F5" s="58" t="s">
        <v>519</v>
      </c>
      <c r="G5" s="58" t="s">
        <v>516</v>
      </c>
      <c r="H5" s="75" t="s">
        <v>305</v>
      </c>
      <c r="I5" s="40" t="s">
        <v>232</v>
      </c>
      <c r="J5" s="39" t="s">
        <v>519</v>
      </c>
      <c r="K5" s="40" t="s">
        <v>529</v>
      </c>
      <c r="L5" s="40" t="s">
        <v>530</v>
      </c>
      <c r="M5" s="40" t="s">
        <v>251</v>
      </c>
      <c r="N5" s="40" t="s">
        <v>234</v>
      </c>
      <c r="O5" s="17" t="s">
        <v>1</v>
      </c>
      <c r="P5" s="17" t="s">
        <v>2</v>
      </c>
    </row>
    <row r="6" spans="2:16">
      <c r="B6" s="12" t="s">
        <v>219</v>
      </c>
      <c r="C6" s="12" t="s">
        <v>243</v>
      </c>
      <c r="D6" s="12">
        <v>14.84</v>
      </c>
      <c r="E6" s="12">
        <v>2397</v>
      </c>
      <c r="F6" s="12">
        <f>Number_of_Replacement_Lamps</f>
        <v>1</v>
      </c>
      <c r="G6" s="12" t="s">
        <v>538</v>
      </c>
      <c r="H6" s="101">
        <f>LOOKUP(E6,Table_E3_Residential_Building_Electricity_Savings_Factor[Minimum Light output of new End-User Equipment (lm)],Table_E3_Residential_Building_Electricity_Savings_Factor[Max LCP of Existing Lamp (W)])</f>
        <v>160</v>
      </c>
      <c r="I6" s="74">
        <f>IF(Lighting!Lighting_Activity="E3",Lighting!Existing_Lamp_Parameter,100)</f>
        <v>100</v>
      </c>
      <c r="J6" s="51">
        <f>Number_of_Existing_Lamps</f>
        <v>10</v>
      </c>
      <c r="K6" s="19">
        <f>F6/J6</f>
        <v>0.1</v>
      </c>
      <c r="L6" s="19">
        <f>E6*K6</f>
        <v>239.70000000000002</v>
      </c>
      <c r="M6" s="19" t="str" cm="1">
        <f t="array" ref="M6">_xlfn.IFNA(INDEX(Table_E3_Residential_Building_Electricity_Savings_Factor[[Replacement Lamp LCP ≤15 W]:[Replacement Lamp LCP ≤ 40 W]],MATCH(1,('E3'!I6&gt;=Table_E3_Residential_Building_Electricity_Savings_Factor[Minimum LCP of Existing Lamp (W)])*('E3'!I6&lt;Table_E3_Residential_Building_Electricity_Savings_Factor[Max LCP of Existing Lamp (W)])*(L6&gt;=Table_E3_Residential_Building_Electricity_Savings_Factor[Minimum Light output of new End-User Equipment (lm)]),0),MATCH(1,('E3'!D6&lt;=Max_LCP_E3)*(D6&gt;Min_E3_LCP),0)),"-")</f>
        <v>-</v>
      </c>
      <c r="N6" s="19" t="str">
        <f>IF(M6="-","-",M6*J6)</f>
        <v>-</v>
      </c>
      <c r="O6" s="18" t="str">
        <f>IF(N6="-","-",$N6*MetroESS*ECCF)</f>
        <v>-</v>
      </c>
      <c r="P6" s="18" t="str">
        <f>IF(N6="-","-",N6*RegionalESS*ECCF)</f>
        <v>-</v>
      </c>
    </row>
  </sheetData>
  <autoFilter ref="B5:D6" xr:uid="{174D865D-D753-4A45-8B59-D8BF7CC22988}"/>
  <mergeCells count="3">
    <mergeCell ref="B4:E4"/>
    <mergeCell ref="H4:J4"/>
    <mergeCell ref="O4:P4"/>
  </mergeCells>
  <dataValidations count="2">
    <dataValidation type="whole" operator="greaterThanOrEqual" allowBlank="1" showInputMessage="1" showErrorMessage="1" sqref="J6" xr:uid="{868FD2CF-6C46-4112-A59D-4DA834FCDA69}">
      <formula1>0</formula1>
    </dataValidation>
    <dataValidation operator="greaterThanOrEqual" allowBlank="1" showInputMessage="1" showErrorMessage="1" sqref="K6:L6" xr:uid="{43DD7C5B-4F60-4917-B612-97F91705F5A5}"/>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2">
        <x14:dataValidation type="whole" allowBlank="1" showInputMessage="1" showErrorMessage="1" errorTitle="LCP of Existing Lamp Range" error="LCP of existing lamp must adhere to criteria in Table E3.1" xr:uid="{C0258C0D-8888-4C23-87CF-E33C4C2C914F}">
          <x14:formula1>
            <xm:f>80</xm:f>
          </x14:formula1>
          <x14:formula2>
            <xm:f>LOOKUP(E6,Factors!AN16:AN19,Factors!AM16:AM19)</xm:f>
          </x14:formula2>
          <xm:sqref>I6</xm:sqref>
        </x14:dataValidation>
        <x14:dataValidation type="whole" operator="greaterThanOrEqual" allowBlank="1" showInputMessage="1" showErrorMessage="1" errorTitle="Light Output" error="Light output of new End-User Equipment must adhere to conditions in Table E3.1 Residential Building Electricity Savings Factor (MWh per PAR lamp replaced)" promptTitle="Light Output" prompt="Put in Light output that adheres to conditions in Table E3.1 Residential Building Electricity Savings Factor (MWh per PAR lamp replaced)" xr:uid="{81182B8D-B03F-48C0-A317-C811A2BAFCD3}">
          <x14:formula1>
            <xm:f>LOOKUP(I6,Factors!AI17:AI20,Factors!AK17:AK20)</xm:f>
          </x14:formula1>
          <xm:sqref>E6</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EB8C6-2814-4983-B673-FE65F32F76F9}">
  <sheetPr codeName="Sheet9">
    <tabColor rgb="FFFFFF00"/>
  </sheetPr>
  <dimension ref="A1:Q76"/>
  <sheetViews>
    <sheetView zoomScale="89" zoomScaleNormal="100" workbookViewId="0">
      <selection activeCell="C26" sqref="C26"/>
    </sheetView>
  </sheetViews>
  <sheetFormatPr defaultColWidth="8.86328125" defaultRowHeight="14.75"/>
  <cols>
    <col min="1" max="1" width="8.86328125" style="65"/>
    <col min="2" max="2" width="10.31640625" style="84" bestFit="1" customWidth="1"/>
    <col min="3" max="3" width="15.453125" style="84" bestFit="1" customWidth="1"/>
    <col min="4" max="4" width="11" style="87" bestFit="1" customWidth="1"/>
    <col min="5" max="5" width="33.86328125" style="87" bestFit="1" customWidth="1"/>
    <col min="6" max="6" width="8.453125" style="87" bestFit="1" customWidth="1"/>
    <col min="7" max="7" width="8.453125" style="87" customWidth="1"/>
    <col min="8" max="8" width="9.86328125" style="87" bestFit="1" customWidth="1"/>
    <col min="9" max="9" width="7.31640625" style="87" hidden="1" customWidth="1"/>
    <col min="10" max="10" width="10" style="87" hidden="1" customWidth="1"/>
    <col min="11" max="11" width="29.2265625" style="87" bestFit="1" customWidth="1"/>
    <col min="12" max="12" width="62.08984375" style="87" bestFit="1" customWidth="1"/>
    <col min="13" max="13" width="30.54296875" style="87" bestFit="1" customWidth="1"/>
    <col min="14" max="14" width="9.453125" style="87" bestFit="1" customWidth="1"/>
    <col min="15" max="15" width="6.76953125" style="87" bestFit="1" customWidth="1"/>
    <col min="16" max="560" width="8.86328125" style="65" customWidth="1"/>
    <col min="561" max="16384" width="8.86328125" style="65"/>
  </cols>
  <sheetData>
    <row r="1" spans="2:15">
      <c r="B1" s="77"/>
      <c r="C1" s="68"/>
      <c r="D1" s="68"/>
      <c r="E1" s="68"/>
      <c r="F1" s="68"/>
      <c r="G1" s="68"/>
      <c r="H1" s="68"/>
      <c r="I1" s="68"/>
      <c r="J1" s="68"/>
      <c r="K1" s="68"/>
      <c r="L1" s="68"/>
      <c r="M1" s="68"/>
      <c r="N1" s="68"/>
      <c r="O1" s="68"/>
    </row>
    <row r="2" spans="2:15" ht="18.5">
      <c r="B2" s="85" t="s">
        <v>295</v>
      </c>
      <c r="E2" s="68"/>
      <c r="F2" s="68"/>
      <c r="G2" s="68"/>
      <c r="H2" s="68"/>
      <c r="I2" s="68"/>
      <c r="J2" s="68"/>
      <c r="K2" s="68"/>
      <c r="L2" s="68"/>
      <c r="M2" s="68"/>
      <c r="N2" s="68"/>
      <c r="O2" s="68"/>
    </row>
    <row r="3" spans="2:15" ht="18.5">
      <c r="B3" s="91"/>
      <c r="D3" s="68"/>
      <c r="E3" s="68"/>
      <c r="F3" s="68"/>
      <c r="G3" s="68"/>
      <c r="H3" s="68"/>
      <c r="I3" s="68"/>
      <c r="J3" s="68"/>
      <c r="K3" s="68"/>
      <c r="L3" s="68"/>
      <c r="M3" s="68"/>
      <c r="N3" s="68"/>
      <c r="O3" s="68"/>
    </row>
    <row r="4" spans="2:15">
      <c r="B4" s="367" t="s">
        <v>258</v>
      </c>
      <c r="C4" s="368"/>
      <c r="D4" s="368"/>
      <c r="E4" s="368"/>
      <c r="F4" s="369"/>
      <c r="G4" s="371" t="s">
        <v>267</v>
      </c>
      <c r="H4" s="372"/>
      <c r="I4" s="2"/>
      <c r="J4" s="2"/>
      <c r="K4" s="2"/>
      <c r="L4" s="68"/>
      <c r="M4" s="68"/>
      <c r="N4" s="365" t="s">
        <v>331</v>
      </c>
      <c r="O4" s="366"/>
    </row>
    <row r="5" spans="2:15" ht="14.9" customHeight="1">
      <c r="B5" s="56" t="s">
        <v>40</v>
      </c>
      <c r="C5" s="56" t="s">
        <v>263</v>
      </c>
      <c r="D5" s="57" t="s">
        <v>232</v>
      </c>
      <c r="E5" s="58" t="s">
        <v>266</v>
      </c>
      <c r="F5" s="58" t="s">
        <v>519</v>
      </c>
      <c r="G5" s="60" t="s">
        <v>519</v>
      </c>
      <c r="H5" s="59" t="s">
        <v>269</v>
      </c>
      <c r="I5" s="39" t="s">
        <v>539</v>
      </c>
      <c r="J5" s="39" t="s">
        <v>304</v>
      </c>
      <c r="K5" s="40" t="s">
        <v>531</v>
      </c>
      <c r="L5" s="40" t="s">
        <v>270</v>
      </c>
      <c r="M5" s="40" t="s">
        <v>234</v>
      </c>
      <c r="N5" s="17" t="s">
        <v>1</v>
      </c>
      <c r="O5" s="17" t="s">
        <v>2</v>
      </c>
    </row>
    <row r="6" spans="2:15">
      <c r="B6" s="12" t="s">
        <v>214</v>
      </c>
      <c r="C6" s="12" t="s">
        <v>237</v>
      </c>
      <c r="D6" s="12">
        <v>19.399999999999999</v>
      </c>
      <c r="E6" s="12">
        <v>2493.6</v>
      </c>
      <c r="F6" s="12">
        <f>Number_of_Replacement_Lamps</f>
        <v>1</v>
      </c>
      <c r="G6" s="51">
        <f>Number_of_Existing_Lamps</f>
        <v>10</v>
      </c>
      <c r="H6" s="50">
        <f>IF(Lighting!Lighting_Activity="E5",Lighting!Existing_Lamp_Parameter,1350)</f>
        <v>1350</v>
      </c>
      <c r="I6" s="12" t="e" cm="1">
        <f t="array" ref="I6">INDEX(Table_E5.1[[Replacement Lamp LCP ≤10 W]:[Replacement Lamp LCP ≤90
W]],MATCH(1,(H6&gt;Table_E5.1[Minimum Length (mm)])*(H6&lt;=Table_E5.1[Max Length (mm)])*(K6=Table_E5.1[Number of Lamps])*(E6&gt;=Table_E5.1[Min Light Output of new End-User Equipment (lm)]),0),MATCH(1,(D6&gt;Min_LCP_E5)*(D6&lt;=Max_LCP_E5),0))</f>
        <v>#N/A</v>
      </c>
      <c r="J6" s="12" cm="1">
        <f t="array" ref="J6">INDEX(Table_E5.1[[Replacement Lamp LCP ≤10 W]:[Replacement Lamp LCP ≤90
W]],MATCH(1,(H6&gt;Table_E5.1[Minimum Length (mm)])*(H6&lt;=Table_E5.1[Max Length (mm)])*(K6&gt;Table_E5.1[Number of Lamps])*(E6&gt;=Table_E5.1[Min Light Output of new End-User Equipment (lm)]),0),MATCH(1,('E5'!D6&gt;Min_LCP_E5)*('E5'!D6&lt;=Max_LCP_E5),0))</f>
        <v>0.36</v>
      </c>
      <c r="K6" s="19">
        <f>G6/F6</f>
        <v>10</v>
      </c>
      <c r="L6" s="19">
        <f>_xlfn.IFNA(IF(K6&lt;=3,I6,J6),"N/A")</f>
        <v>0.36</v>
      </c>
      <c r="M6" s="19">
        <f>IF(OR(L6="-",L6="N/A"),"-",L6*G6)</f>
        <v>3.5999999999999996</v>
      </c>
      <c r="N6" s="18">
        <f>IF(M6="-","-",$M6*MetroESS*ECCF)</f>
        <v>3.8159999999999998</v>
      </c>
      <c r="O6" s="18">
        <f>IF(M6="-","-",M6*RegionalESS*ECCF)</f>
        <v>3.9304799999999998</v>
      </c>
    </row>
    <row r="7" spans="2:15">
      <c r="B7" s="12" t="s">
        <v>214</v>
      </c>
      <c r="C7" s="12" t="s">
        <v>239</v>
      </c>
      <c r="D7" s="12">
        <v>24.93</v>
      </c>
      <c r="E7" s="12">
        <v>3229.87</v>
      </c>
      <c r="F7" s="12">
        <f>Number_of_Replacement_Lamps</f>
        <v>1</v>
      </c>
      <c r="G7" s="51">
        <f>Number_of_Existing_Lamps</f>
        <v>10</v>
      </c>
      <c r="H7" s="50">
        <f>IF(Lighting!Lighting_Activity="E5",Lighting!Existing_Lamp_Parameter,1350)</f>
        <v>1350</v>
      </c>
      <c r="I7" s="12" t="e" cm="1">
        <f t="array" ref="I7">INDEX(Table_E5.1[[Replacement Lamp LCP ≤10 W]:[Replacement Lamp LCP ≤90
W]],MATCH(1,('E5'!H7&gt;Table_E5.1[Minimum Length (mm)])*('E5'!H7&lt;=Table_E5.1[Max Length (mm)])*(K7=Table_E5.1[Number of Lamps])*('E5'!E7&gt;=Table_E5.1[Min Light Output of new End-User Equipment (lm)]),0),MATCH(1,('E5'!D7&gt;Min_LCP_E5)*('E5'!D7&lt;=Max_LCP_E5),0))</f>
        <v>#N/A</v>
      </c>
      <c r="J7" s="12" cm="1">
        <f t="array" ref="J7">INDEX(Table_E5.1[[Replacement Lamp LCP ≤10 W]:[Replacement Lamp LCP ≤90
W]],MATCH(1,('E5'!H7&gt;Table_E5.1[Minimum Length (mm)])*('E5'!H7&lt;=Table_E5.1[Max Length (mm)])*(K7&gt;Table_E5.1[Number of Lamps])*('E5'!E7&gt;=Table_E5.1[Min Light Output of new End-User Equipment (lm)]),0),MATCH(1,('E5'!D7&gt;Min_LCP_E5)*('E5'!D7&lt;=Max_LCP_E5),0))</f>
        <v>0.28999999999999998</v>
      </c>
      <c r="K7" s="19">
        <f>G7/F7</f>
        <v>10</v>
      </c>
      <c r="L7" s="19">
        <f>_xlfn.IFNA(IF(K7&lt;=3,I7,J7),"N/A")</f>
        <v>0.28999999999999998</v>
      </c>
      <c r="M7" s="19">
        <f>IF(OR(L7="-",L7="N/A"),"-",L7*G7)</f>
        <v>2.9</v>
      </c>
      <c r="N7" s="18">
        <f>IF(M7="-","-",ROUNDDOWN($M7*MetroESS*ECCF,0))</f>
        <v>3</v>
      </c>
      <c r="O7" s="18">
        <f>IF(M7="-","-",M7*RegionalESS*ECCF)</f>
        <v>3.1662200000000005</v>
      </c>
    </row>
    <row r="8" spans="2:15">
      <c r="B8" s="12" t="s">
        <v>219</v>
      </c>
      <c r="C8" s="12" t="s">
        <v>235</v>
      </c>
      <c r="D8" s="12">
        <v>24.39</v>
      </c>
      <c r="E8" s="12">
        <v>3033</v>
      </c>
      <c r="F8" s="12">
        <f>Number_of_Replacement_Lamps</f>
        <v>1</v>
      </c>
      <c r="G8" s="51">
        <f>Number_of_Existing_Lamps</f>
        <v>10</v>
      </c>
      <c r="H8" s="50">
        <f>IF(Lighting!Lighting_Activity="E5",Lighting!Existing_Lamp_Parameter,1350)</f>
        <v>1350</v>
      </c>
      <c r="I8" s="12" t="e" cm="1">
        <f t="array" ref="I8">INDEX(Table_E5.1[[Replacement Lamp LCP ≤10 W]:[Replacement Lamp LCP ≤90
W]],MATCH(1,('E5'!H8&gt;Table_E5.1[Minimum Length (mm)])*('E5'!H8&lt;=Table_E5.1[Max Length (mm)])*(K8=Table_E5.1[Number of Lamps])*('E5'!E8&gt;=Table_E5.1[Min Light Output of new End-User Equipment (lm)]),0),MATCH(1,('E5'!D8&gt;Min_LCP_E5)*('E5'!D8&lt;=Max_LCP_E5),0))</f>
        <v>#N/A</v>
      </c>
      <c r="J8" s="12" cm="1">
        <f t="array" ref="J8">INDEX(Table_E5.1[[Replacement Lamp LCP ≤10 W]:[Replacement Lamp LCP ≤90
W]],MATCH(1,('E5'!H8&gt;Table_E5.1[Minimum Length (mm)])*('E5'!H8&lt;=Table_E5.1[Max Length (mm)])*(K8&gt;Table_E5.1[Number of Lamps])*('E5'!E8&gt;=Table_E5.1[Min Light Output of new End-User Equipment (lm)]),0),MATCH(1,('E5'!D8&gt;Min_LCP_E5)*('E5'!D8&lt;=Max_LCP_E5),0))</f>
        <v>0.28999999999999998</v>
      </c>
      <c r="K8" s="19">
        <f>G8/F8</f>
        <v>10</v>
      </c>
      <c r="L8" s="19">
        <f>_xlfn.IFNA(IF(K8&lt;=3,I8,J8),"N/A")</f>
        <v>0.28999999999999998</v>
      </c>
      <c r="M8" s="19">
        <f>IF(OR(L8="-",L8="N/A"),"-",L8*G8)</f>
        <v>2.9</v>
      </c>
      <c r="N8" s="18">
        <f>IF(M8="-","-",ROUNDDOWN($M8*MetroESS*ECCF,0))</f>
        <v>3</v>
      </c>
      <c r="O8" s="18">
        <f>IF(M8="-","-",M8*RegionalESS*ECCF)</f>
        <v>3.1662200000000005</v>
      </c>
    </row>
    <row r="19" ht="15" customHeight="1"/>
    <row r="20" ht="15" customHeight="1"/>
    <row r="21" ht="15" customHeight="1"/>
    <row r="22" ht="15" customHeight="1"/>
    <row r="64" spans="1:17" s="87" customFormat="1">
      <c r="A64" s="65"/>
      <c r="B64" s="84"/>
      <c r="C64" s="84"/>
      <c r="P64" s="65"/>
      <c r="Q64" s="65"/>
    </row>
    <row r="65" spans="1:17" s="87" customFormat="1">
      <c r="A65" s="65"/>
      <c r="B65" s="84"/>
      <c r="C65" s="84"/>
      <c r="P65" s="65"/>
      <c r="Q65" s="65"/>
    </row>
    <row r="66" spans="1:17" s="87" customFormat="1">
      <c r="A66" s="65"/>
      <c r="B66" s="84"/>
      <c r="C66" s="84"/>
      <c r="P66" s="65"/>
      <c r="Q66" s="65"/>
    </row>
    <row r="67" spans="1:17" s="87" customFormat="1">
      <c r="A67" s="65"/>
      <c r="B67" s="84"/>
      <c r="C67" s="84"/>
      <c r="P67" s="65"/>
      <c r="Q67" s="65"/>
    </row>
    <row r="68" spans="1:17" s="87" customFormat="1">
      <c r="A68" s="65"/>
      <c r="B68" s="84"/>
      <c r="C68" s="84"/>
      <c r="P68" s="65"/>
      <c r="Q68" s="65"/>
    </row>
    <row r="69" spans="1:17" s="87" customFormat="1">
      <c r="A69" s="65"/>
      <c r="B69" s="84"/>
      <c r="C69" s="84"/>
      <c r="P69" s="65"/>
      <c r="Q69" s="65"/>
    </row>
    <row r="70" spans="1:17" s="87" customFormat="1">
      <c r="A70" s="65"/>
      <c r="B70" s="84"/>
      <c r="C70" s="84"/>
      <c r="P70" s="65"/>
      <c r="Q70" s="65"/>
    </row>
    <row r="71" spans="1:17" s="87" customFormat="1">
      <c r="A71" s="65"/>
      <c r="B71" s="84"/>
      <c r="C71" s="84"/>
      <c r="P71" s="65"/>
      <c r="Q71" s="65"/>
    </row>
    <row r="72" spans="1:17" s="87" customFormat="1">
      <c r="A72" s="65"/>
      <c r="B72" s="84"/>
      <c r="C72" s="84"/>
      <c r="P72" s="65"/>
      <c r="Q72" s="65"/>
    </row>
    <row r="73" spans="1:17" s="87" customFormat="1">
      <c r="A73" s="65"/>
      <c r="B73" s="84"/>
      <c r="C73" s="84"/>
      <c r="P73" s="65"/>
      <c r="Q73" s="65"/>
    </row>
    <row r="74" spans="1:17" s="87" customFormat="1">
      <c r="A74" s="65"/>
      <c r="B74" s="84"/>
      <c r="C74" s="84"/>
      <c r="P74" s="65"/>
      <c r="Q74" s="65"/>
    </row>
    <row r="75" spans="1:17" s="87" customFormat="1">
      <c r="A75" s="65"/>
      <c r="B75" s="84"/>
      <c r="C75" s="84"/>
      <c r="P75" s="65"/>
      <c r="Q75" s="65"/>
    </row>
    <row r="76" spans="1:17" s="87" customFormat="1">
      <c r="A76" s="65"/>
      <c r="B76" s="84"/>
      <c r="C76" s="84"/>
      <c r="P76" s="65"/>
      <c r="Q76" s="65"/>
    </row>
  </sheetData>
  <autoFilter ref="B5:D8" xr:uid="{174D865D-D753-4A45-8B59-D8BF7CC22988}"/>
  <mergeCells count="3">
    <mergeCell ref="G4:H4"/>
    <mergeCell ref="N4:O4"/>
    <mergeCell ref="B4:F4"/>
  </mergeCells>
  <dataValidations count="2">
    <dataValidation type="whole" operator="greaterThanOrEqual" allowBlank="1" showInputMessage="1" showErrorMessage="1" sqref="G6:G8" xr:uid="{086A5EC0-45F2-4194-BC37-DB2C10B798B7}">
      <formula1>1</formula1>
    </dataValidation>
    <dataValidation operator="greaterThanOrEqual" allowBlank="1" showInputMessage="1" showErrorMessage="1" sqref="K6:K8" xr:uid="{CA15DF99-C2E4-4373-8E0B-F32B77215AE2}"/>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whole" allowBlank="1" showInputMessage="1" showErrorMessage="1" errorTitle="Existing Luminaire Length Range" error="550 mm &lt; Existing Luminaire Length ≤1350 mm" xr:uid="{13B2564D-79D7-4EE8-95D2-F835E6C03227}">
          <x14:formula1>
            <xm:f>MIN(Factors!AM24:AM35)+1</xm:f>
          </x14:formula1>
          <x14:formula2>
            <xm:f>MAX(Factors!AN24:AN35)</xm:f>
          </x14:formula2>
          <xm:sqref>H6:H8</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2F86C-2361-4FC2-8FEC-B07FE94119EC}">
  <sheetPr codeName="Sheet10">
    <tabColor rgb="FFFFFF00"/>
  </sheetPr>
  <dimension ref="B1:N7"/>
  <sheetViews>
    <sheetView zoomScale="84" zoomScaleNormal="100" workbookViewId="0">
      <selection activeCell="C26" sqref="C26"/>
    </sheetView>
  </sheetViews>
  <sheetFormatPr defaultColWidth="8.86328125" defaultRowHeight="14.75"/>
  <cols>
    <col min="1" max="1" width="8.86328125" style="65"/>
    <col min="2" max="2" width="10.54296875" style="84" bestFit="1" customWidth="1"/>
    <col min="3" max="3" width="16.453125" style="84" bestFit="1" customWidth="1"/>
    <col min="4" max="4" width="11.76953125" style="87" bestFit="1" customWidth="1"/>
    <col min="5" max="5" width="19" style="87" bestFit="1" customWidth="1"/>
    <col min="6" max="6" width="16.86328125" style="87" bestFit="1" customWidth="1"/>
    <col min="7" max="7" width="8.31640625" style="87" bestFit="1" customWidth="1"/>
    <col min="8" max="9" width="16.86328125" style="87" bestFit="1" customWidth="1"/>
    <col min="10" max="10" width="8.31640625" style="87" bestFit="1" customWidth="1"/>
    <col min="11" max="11" width="16.86328125" style="87" bestFit="1" customWidth="1"/>
    <col min="12" max="12" width="30.86328125" style="87" bestFit="1" customWidth="1"/>
    <col min="13" max="13" width="9.453125" style="87" bestFit="1" customWidth="1"/>
    <col min="14" max="14" width="6.86328125" style="87" bestFit="1" customWidth="1"/>
    <col min="15" max="577" width="8.86328125" style="65" customWidth="1"/>
    <col min="578" max="16384" width="8.86328125" style="65"/>
  </cols>
  <sheetData>
    <row r="1" spans="2:14">
      <c r="B1" s="77"/>
      <c r="C1" s="68"/>
      <c r="D1" s="68"/>
      <c r="E1" s="68"/>
      <c r="F1" s="68"/>
      <c r="G1" s="68"/>
      <c r="H1" s="68"/>
      <c r="I1" s="68"/>
      <c r="J1" s="68"/>
      <c r="K1" s="68"/>
      <c r="L1" s="68"/>
      <c r="M1" s="68"/>
      <c r="N1" s="68"/>
    </row>
    <row r="2" spans="2:14" ht="18.5">
      <c r="C2" s="85" t="s">
        <v>296</v>
      </c>
      <c r="D2" s="68"/>
      <c r="E2" s="68"/>
      <c r="F2" s="68"/>
      <c r="G2" s="68"/>
      <c r="H2" s="68"/>
      <c r="I2" s="68"/>
      <c r="J2" s="68"/>
      <c r="K2" s="68"/>
      <c r="L2" s="68"/>
      <c r="M2" s="68"/>
      <c r="N2" s="68"/>
    </row>
    <row r="3" spans="2:14" ht="18.5">
      <c r="B3" s="91"/>
      <c r="D3" s="68"/>
      <c r="E3" s="68"/>
      <c r="F3" s="68"/>
      <c r="G3" s="68"/>
      <c r="H3" s="68"/>
      <c r="I3" s="68"/>
      <c r="J3" s="68"/>
      <c r="K3" s="68"/>
      <c r="L3" s="68"/>
      <c r="M3" s="68"/>
      <c r="N3" s="68"/>
    </row>
    <row r="4" spans="2:14">
      <c r="B4" s="367" t="s">
        <v>258</v>
      </c>
      <c r="C4" s="368"/>
      <c r="D4" s="368"/>
      <c r="E4" s="368"/>
      <c r="F4" s="368"/>
      <c r="G4" s="368"/>
      <c r="H4" s="369"/>
      <c r="I4" s="363" t="s">
        <v>288</v>
      </c>
      <c r="J4" s="370"/>
      <c r="K4" s="364"/>
      <c r="L4" s="65"/>
      <c r="M4" s="365" t="s">
        <v>331</v>
      </c>
      <c r="N4" s="366"/>
    </row>
    <row r="5" spans="2:14" ht="14.9" customHeight="1">
      <c r="B5" s="56" t="s">
        <v>40</v>
      </c>
      <c r="C5" s="56" t="s">
        <v>263</v>
      </c>
      <c r="D5" s="57" t="s">
        <v>232</v>
      </c>
      <c r="E5" s="58" t="s">
        <v>285</v>
      </c>
      <c r="F5" s="58" t="s">
        <v>298</v>
      </c>
      <c r="G5" s="58" t="s">
        <v>519</v>
      </c>
      <c r="H5" s="58" t="s">
        <v>299</v>
      </c>
      <c r="I5" s="62" t="s">
        <v>298</v>
      </c>
      <c r="J5" s="63" t="s">
        <v>519</v>
      </c>
      <c r="K5" s="63" t="s">
        <v>299</v>
      </c>
      <c r="L5" s="40" t="s">
        <v>524</v>
      </c>
      <c r="M5" s="17" t="s">
        <v>1</v>
      </c>
      <c r="N5" s="17" t="s">
        <v>2</v>
      </c>
    </row>
    <row r="6" spans="2:14">
      <c r="B6" s="12" t="s">
        <v>219</v>
      </c>
      <c r="C6" s="12" t="s">
        <v>240</v>
      </c>
      <c r="D6" s="12">
        <v>10.93</v>
      </c>
      <c r="E6" s="12">
        <v>137</v>
      </c>
      <c r="F6" s="12">
        <v>1500</v>
      </c>
      <c r="G6" s="12">
        <f>Number_of_Replacement_Lamps</f>
        <v>1</v>
      </c>
      <c r="H6" s="12">
        <f>G6*F6</f>
        <v>1500</v>
      </c>
      <c r="I6" s="50">
        <f>IF(Lighting!Lighting_Activity="E11",Lighting!Existing_Lamp_Parameter,750)</f>
        <v>750</v>
      </c>
      <c r="J6" s="51">
        <f>Number_of_Existing_Lamps</f>
        <v>10</v>
      </c>
      <c r="K6" s="51">
        <f>J6*I6</f>
        <v>7500</v>
      </c>
      <c r="L6" s="19">
        <f>IF(H6&gt;=K6,D6*(E6/33.9-1)*840*10/(10^6),0)</f>
        <v>0</v>
      </c>
      <c r="M6" s="18">
        <f>L6*MetroESS*ECCF*J6</f>
        <v>0</v>
      </c>
      <c r="N6" s="18">
        <f>L6*RegionalESS*ECCF*J6</f>
        <v>0</v>
      </c>
    </row>
    <row r="7" spans="2:14">
      <c r="B7" s="12" t="s">
        <v>219</v>
      </c>
      <c r="C7" s="12" t="s">
        <v>242</v>
      </c>
      <c r="D7" s="12">
        <v>10.93</v>
      </c>
      <c r="E7" s="12">
        <v>137</v>
      </c>
      <c r="F7" s="12">
        <v>1500</v>
      </c>
      <c r="G7" s="12">
        <f>Number_of_Replacement_Lamps</f>
        <v>1</v>
      </c>
      <c r="H7" s="12">
        <f>G7*F7</f>
        <v>1500</v>
      </c>
      <c r="I7" s="50">
        <f>IF(Lighting!Lighting_Activity="E11",Lighting!Existing_Lamp_Parameter,750)</f>
        <v>750</v>
      </c>
      <c r="J7" s="51">
        <f>Number_of_Existing_Lamps</f>
        <v>10</v>
      </c>
      <c r="K7" s="51">
        <f>J7*I7</f>
        <v>7500</v>
      </c>
      <c r="L7" s="19">
        <f>IF(H7&gt;=K7,D7*(E7/33.9-1)*840*10/(10^6),0)</f>
        <v>0</v>
      </c>
      <c r="M7" s="18">
        <f>L7*MetroESS*ECCF*J7</f>
        <v>0</v>
      </c>
      <c r="N7" s="18">
        <f>L7*RegionalESS*ECCF*J7</f>
        <v>0</v>
      </c>
    </row>
  </sheetData>
  <autoFilter ref="B5:D7" xr:uid="{174D865D-D753-4A45-8B59-D8BF7CC22988}"/>
  <mergeCells count="3">
    <mergeCell ref="I4:K4"/>
    <mergeCell ref="M4:N4"/>
    <mergeCell ref="B4:H4"/>
  </mergeCells>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7C6886-215F-4BAF-B7B3-7C5A8ED18283}">
  <sheetPr>
    <tabColor theme="7" tint="0.79998168889431442"/>
  </sheetPr>
  <dimension ref="A1:CT12"/>
  <sheetViews>
    <sheetView zoomScaleNormal="100" workbookViewId="0">
      <selection activeCell="C26" sqref="C26"/>
    </sheetView>
  </sheetViews>
  <sheetFormatPr defaultRowHeight="14.75"/>
  <cols>
    <col min="1" max="1" width="14.08984375" style="238" bestFit="1" customWidth="1"/>
    <col min="2" max="2" width="15.40625" style="238" bestFit="1" customWidth="1"/>
    <col min="3" max="3" width="25.26953125" style="238" bestFit="1" customWidth="1"/>
    <col min="4" max="4" width="25.1796875" style="238" bestFit="1" customWidth="1"/>
    <col min="5" max="5" width="16.36328125" style="238" bestFit="1" customWidth="1"/>
    <col min="6" max="7" width="17.36328125" style="238" bestFit="1" customWidth="1"/>
    <col min="8" max="8" width="18.31640625" style="238" bestFit="1" customWidth="1"/>
    <col min="9" max="9" width="17.1328125" style="238" bestFit="1" customWidth="1"/>
    <col min="10" max="11" width="18.08984375" style="238" bestFit="1" customWidth="1"/>
    <col min="12" max="12" width="19.04296875" style="238" bestFit="1" customWidth="1"/>
    <col min="13" max="13" width="8.953125" style="238" bestFit="1" customWidth="1"/>
    <col min="14" max="14" width="9.08984375" style="238" bestFit="1" customWidth="1"/>
    <col min="15" max="15" width="17.5" style="238" bestFit="1" customWidth="1"/>
    <col min="16" max="16" width="15.7265625" style="238" bestFit="1" customWidth="1"/>
    <col min="17" max="17" width="24.36328125" style="238" bestFit="1" customWidth="1"/>
    <col min="18" max="18" width="24.26953125" style="238" bestFit="1" customWidth="1"/>
    <col min="19" max="19" width="19.5" style="238" bestFit="1" customWidth="1"/>
    <col min="20" max="20" width="20.6328125" style="238" bestFit="1" customWidth="1"/>
    <col min="21" max="21" width="19.40625" style="238" bestFit="1" customWidth="1"/>
    <col min="22" max="22" width="20.54296875" style="238" bestFit="1" customWidth="1"/>
    <col min="23" max="23" width="6.76953125" style="238" bestFit="1" customWidth="1"/>
    <col min="24" max="24" width="6.40625" style="238" bestFit="1" customWidth="1"/>
    <col min="25" max="25" width="20.453125" style="238" bestFit="1" customWidth="1"/>
    <col min="26" max="26" width="6.453125" style="238" bestFit="1" customWidth="1"/>
    <col min="27" max="27" width="11.54296875" style="238" bestFit="1" customWidth="1"/>
    <col min="28" max="28" width="7.6796875" style="238" bestFit="1" customWidth="1"/>
    <col min="29" max="29" width="6.58984375" style="238" bestFit="1" customWidth="1"/>
    <col min="30" max="30" width="11.86328125" style="238" bestFit="1" customWidth="1"/>
    <col min="31" max="31" width="8.6328125" style="238" bestFit="1" customWidth="1"/>
    <col min="32" max="32" width="6.58984375" style="238" bestFit="1" customWidth="1"/>
    <col min="33" max="33" width="11.953125" style="238" bestFit="1" customWidth="1"/>
    <col min="34" max="34" width="13.58984375" style="238" bestFit="1" customWidth="1"/>
    <col min="35" max="35" width="7.6796875" style="238" bestFit="1" customWidth="1"/>
    <col min="36" max="36" width="6.58984375" style="238" bestFit="1" customWidth="1"/>
    <col min="37" max="37" width="11.86328125" style="238" bestFit="1" customWidth="1"/>
    <col min="38" max="38" width="8.6328125" style="238" bestFit="1" customWidth="1"/>
    <col min="39" max="39" width="6.58984375" style="238" bestFit="1" customWidth="1"/>
    <col min="40" max="40" width="11.953125" style="238" bestFit="1" customWidth="1"/>
    <col min="41" max="41" width="13.58984375" style="238" bestFit="1" customWidth="1"/>
    <col min="42" max="42" width="7.6796875" style="238" bestFit="1" customWidth="1"/>
    <col min="43" max="43" width="6.58984375" style="238" bestFit="1" customWidth="1"/>
    <col min="44" max="44" width="11.86328125" style="238" bestFit="1" customWidth="1"/>
    <col min="45" max="45" width="8.6328125" style="238" bestFit="1" customWidth="1"/>
    <col min="46" max="46" width="6.58984375" style="238" bestFit="1" customWidth="1"/>
    <col min="47" max="47" width="11.953125" style="238" bestFit="1" customWidth="1"/>
    <col min="48" max="48" width="13.58984375" style="238" bestFit="1" customWidth="1"/>
    <col min="49" max="49" width="7.6796875" style="238" bestFit="1" customWidth="1"/>
    <col min="50" max="50" width="6.58984375" style="238" bestFit="1" customWidth="1"/>
    <col min="51" max="51" width="11.86328125" style="238" bestFit="1" customWidth="1"/>
    <col min="52" max="52" width="8.6328125" style="238" bestFit="1" customWidth="1"/>
    <col min="53" max="53" width="6.58984375" style="238" bestFit="1" customWidth="1"/>
    <col min="54" max="54" width="11.953125" style="238" bestFit="1" customWidth="1"/>
    <col min="55" max="55" width="13.58984375" style="238" bestFit="1" customWidth="1"/>
    <col min="56" max="56" width="7.6796875" style="238" bestFit="1" customWidth="1"/>
    <col min="57" max="57" width="6.58984375" style="238" bestFit="1" customWidth="1"/>
    <col min="58" max="58" width="11.86328125" style="238" bestFit="1" customWidth="1"/>
    <col min="59" max="59" width="8.6328125" style="238" bestFit="1" customWidth="1"/>
    <col min="60" max="60" width="6.58984375" style="238" bestFit="1" customWidth="1"/>
    <col min="61" max="61" width="11.953125" style="238" bestFit="1" customWidth="1"/>
    <col min="62" max="62" width="13.58984375" style="238" bestFit="1" customWidth="1"/>
    <col min="63" max="63" width="7.6796875" style="238" bestFit="1" customWidth="1"/>
    <col min="64" max="64" width="6.58984375" style="238" bestFit="1" customWidth="1"/>
    <col min="65" max="65" width="11.86328125" style="238" bestFit="1" customWidth="1"/>
    <col min="66" max="66" width="8.6328125" style="238" bestFit="1" customWidth="1"/>
    <col min="67" max="67" width="7.6796875" style="238" bestFit="1" customWidth="1"/>
    <col min="68" max="68" width="11.953125" style="238" bestFit="1" customWidth="1"/>
    <col min="69" max="69" width="13.58984375" style="238" bestFit="1" customWidth="1"/>
    <col min="70" max="70" width="8.7265625" style="238"/>
    <col min="71" max="71" width="9.58984375" style="238" bestFit="1" customWidth="1"/>
    <col min="72" max="72" width="11.86328125" style="238" bestFit="1" customWidth="1"/>
    <col min="73" max="73" width="8.7265625" style="238"/>
    <col min="74" max="74" width="7.6796875" style="238" bestFit="1" customWidth="1"/>
    <col min="75" max="75" width="11.953125" style="238" bestFit="1" customWidth="1"/>
    <col min="76" max="76" width="13.58984375" style="238" bestFit="1" customWidth="1"/>
    <col min="77" max="77" width="8.7265625" style="238"/>
    <col min="78" max="78" width="9.58984375" style="238" bestFit="1" customWidth="1"/>
    <col min="79" max="79" width="11.86328125" style="238" bestFit="1" customWidth="1"/>
    <col min="80" max="81" width="8.7265625" style="238"/>
    <col min="82" max="82" width="11.953125" style="238" bestFit="1" customWidth="1"/>
    <col min="83" max="83" width="13.58984375" style="238" bestFit="1" customWidth="1"/>
    <col min="84" max="84" width="8.7265625" style="238"/>
    <col min="85" max="85" width="6.58984375" style="238" bestFit="1" customWidth="1"/>
    <col min="86" max="86" width="11.86328125" style="238" bestFit="1" customWidth="1"/>
    <col min="87" max="87" width="8.7265625" style="238"/>
    <col min="88" max="88" width="7.6796875" style="238" bestFit="1" customWidth="1"/>
    <col min="89" max="89" width="11.953125" style="238" bestFit="1" customWidth="1"/>
    <col min="90" max="90" width="13.58984375" style="238" bestFit="1" customWidth="1"/>
    <col min="91" max="92" width="8.7265625" style="238"/>
    <col min="93" max="93" width="11.86328125" style="238" bestFit="1" customWidth="1"/>
    <col min="94" max="95" width="8.7265625" style="238"/>
    <col min="96" max="96" width="11.953125" style="238" bestFit="1" customWidth="1"/>
    <col min="97" max="97" width="13.58984375" style="241" bestFit="1" customWidth="1"/>
    <col min="98" max="16384" width="8.7265625" style="238"/>
  </cols>
  <sheetData>
    <row r="1" spans="1:98">
      <c r="AA1" s="245" t="s">
        <v>665</v>
      </c>
      <c r="AB1" s="377" t="s">
        <v>311</v>
      </c>
      <c r="AC1" s="378"/>
      <c r="AD1" s="378"/>
      <c r="AE1" s="378"/>
      <c r="AF1" s="378"/>
      <c r="AG1" s="378"/>
      <c r="AH1" s="378"/>
      <c r="AI1" s="378"/>
      <c r="AJ1" s="378"/>
      <c r="AK1" s="378"/>
      <c r="AL1" s="378"/>
      <c r="AM1" s="378"/>
      <c r="AN1" s="378"/>
      <c r="AO1" s="378"/>
      <c r="AP1" s="378"/>
      <c r="AQ1" s="378"/>
      <c r="AR1" s="378"/>
      <c r="AS1" s="378"/>
      <c r="AT1" s="378"/>
      <c r="AU1" s="378"/>
      <c r="AV1" s="378"/>
      <c r="AW1" s="378"/>
      <c r="AX1" s="378"/>
      <c r="AY1" s="378"/>
      <c r="AZ1" s="378"/>
      <c r="BA1" s="378"/>
      <c r="BB1" s="378"/>
      <c r="BC1" s="378"/>
      <c r="BD1" s="378"/>
      <c r="BE1" s="378"/>
      <c r="BF1" s="378"/>
      <c r="BG1" s="378"/>
      <c r="BH1" s="378"/>
      <c r="BI1" s="378"/>
      <c r="BJ1" s="379"/>
      <c r="BK1" s="380" t="s">
        <v>310</v>
      </c>
      <c r="BL1" s="380"/>
      <c r="BM1" s="380"/>
      <c r="BN1" s="380"/>
      <c r="BO1" s="380"/>
      <c r="BP1" s="380"/>
      <c r="BQ1" s="380"/>
      <c r="BR1" s="380"/>
      <c r="BS1" s="380"/>
      <c r="BT1" s="380"/>
      <c r="BU1" s="380"/>
      <c r="BV1" s="380"/>
      <c r="BW1" s="380"/>
      <c r="BX1" s="380"/>
      <c r="BY1" s="380"/>
      <c r="BZ1" s="380"/>
      <c r="CA1" s="380"/>
      <c r="CB1" s="380"/>
      <c r="CC1" s="380"/>
      <c r="CD1" s="380"/>
      <c r="CE1" s="380"/>
      <c r="CF1" s="380"/>
      <c r="CG1" s="380"/>
      <c r="CH1" s="380"/>
      <c r="CI1" s="380"/>
      <c r="CJ1" s="380"/>
      <c r="CK1" s="380"/>
      <c r="CL1" s="380"/>
      <c r="CM1" s="380"/>
      <c r="CN1" s="380"/>
      <c r="CO1" s="380"/>
      <c r="CP1" s="380"/>
      <c r="CQ1" s="380"/>
      <c r="CR1" s="380"/>
      <c r="CS1" s="380"/>
      <c r="CT1" s="242"/>
    </row>
    <row r="2" spans="1:98">
      <c r="AA2" s="245" t="s">
        <v>557</v>
      </c>
      <c r="AB2" s="383" t="s">
        <v>1</v>
      </c>
      <c r="AC2" s="384"/>
      <c r="AD2" s="384"/>
      <c r="AE2" s="384"/>
      <c r="AF2" s="384"/>
      <c r="AG2" s="384"/>
      <c r="AH2" s="384"/>
      <c r="AI2" s="384"/>
      <c r="AJ2" s="384"/>
      <c r="AK2" s="384"/>
      <c r="AL2" s="384"/>
      <c r="AM2" s="384"/>
      <c r="AN2" s="384"/>
      <c r="AO2" s="384"/>
      <c r="AP2" s="385" t="s">
        <v>2</v>
      </c>
      <c r="AQ2" s="385"/>
      <c r="AR2" s="385"/>
      <c r="AS2" s="385"/>
      <c r="AT2" s="385"/>
      <c r="AU2" s="385"/>
      <c r="AV2" s="385"/>
      <c r="AW2" s="385"/>
      <c r="AX2" s="385"/>
      <c r="AY2" s="385"/>
      <c r="AZ2" s="385"/>
      <c r="BA2" s="385"/>
      <c r="BB2" s="385"/>
      <c r="BC2" s="385"/>
      <c r="BD2" s="385"/>
      <c r="BE2" s="385"/>
      <c r="BF2" s="385"/>
      <c r="BG2" s="385"/>
      <c r="BH2" s="385"/>
      <c r="BI2" s="385"/>
      <c r="BJ2" s="385"/>
      <c r="BK2" s="381" t="s">
        <v>1</v>
      </c>
      <c r="BL2" s="381"/>
      <c r="BM2" s="381"/>
      <c r="BN2" s="381"/>
      <c r="BO2" s="381"/>
      <c r="BP2" s="381"/>
      <c r="BQ2" s="381"/>
      <c r="BR2" s="381"/>
      <c r="BS2" s="381"/>
      <c r="BT2" s="381"/>
      <c r="BU2" s="381"/>
      <c r="BV2" s="381"/>
      <c r="BW2" s="381"/>
      <c r="BX2" s="381"/>
      <c r="BY2" s="382" t="s">
        <v>2</v>
      </c>
      <c r="BZ2" s="382"/>
      <c r="CA2" s="382"/>
      <c r="CB2" s="382"/>
      <c r="CC2" s="382"/>
      <c r="CD2" s="382"/>
      <c r="CE2" s="382"/>
      <c r="CF2" s="382"/>
      <c r="CG2" s="382"/>
      <c r="CH2" s="382"/>
      <c r="CI2" s="382"/>
      <c r="CJ2" s="382"/>
      <c r="CK2" s="382"/>
      <c r="CL2" s="382"/>
      <c r="CM2" s="382"/>
      <c r="CN2" s="382"/>
      <c r="CO2" s="382"/>
      <c r="CP2" s="382"/>
      <c r="CQ2" s="382"/>
      <c r="CR2" s="382"/>
      <c r="CS2" s="382"/>
      <c r="CT2" s="242"/>
    </row>
    <row r="3" spans="1:98" ht="18.5">
      <c r="B3" s="244" t="s">
        <v>624</v>
      </c>
      <c r="AA3" s="245" t="s">
        <v>558</v>
      </c>
      <c r="AB3" s="386" t="s">
        <v>559</v>
      </c>
      <c r="AC3" s="386"/>
      <c r="AD3" s="386"/>
      <c r="AE3" s="386"/>
      <c r="AF3" s="386"/>
      <c r="AG3" s="386"/>
      <c r="AH3" s="386"/>
      <c r="AI3" s="387" t="s">
        <v>560</v>
      </c>
      <c r="AJ3" s="388"/>
      <c r="AK3" s="388"/>
      <c r="AL3" s="388"/>
      <c r="AM3" s="388"/>
      <c r="AN3" s="388"/>
      <c r="AO3" s="389"/>
      <c r="AP3" s="390" t="s">
        <v>559</v>
      </c>
      <c r="AQ3" s="390"/>
      <c r="AR3" s="390"/>
      <c r="AS3" s="390"/>
      <c r="AT3" s="390"/>
      <c r="AU3" s="390"/>
      <c r="AV3" s="390"/>
      <c r="AW3" s="391" t="s">
        <v>560</v>
      </c>
      <c r="AX3" s="391"/>
      <c r="AY3" s="391"/>
      <c r="AZ3" s="391"/>
      <c r="BA3" s="391"/>
      <c r="BB3" s="391"/>
      <c r="BC3" s="391"/>
      <c r="BD3" s="392" t="s">
        <v>561</v>
      </c>
      <c r="BE3" s="392"/>
      <c r="BF3" s="392"/>
      <c r="BG3" s="392"/>
      <c r="BH3" s="392"/>
      <c r="BI3" s="392"/>
      <c r="BJ3" s="392"/>
      <c r="BK3" s="348" t="s">
        <v>559</v>
      </c>
      <c r="BL3" s="348"/>
      <c r="BM3" s="348"/>
      <c r="BN3" s="348"/>
      <c r="BO3" s="348"/>
      <c r="BP3" s="348"/>
      <c r="BQ3" s="348"/>
      <c r="BR3" s="373" t="s">
        <v>560</v>
      </c>
      <c r="BS3" s="373"/>
      <c r="BT3" s="373"/>
      <c r="BU3" s="373"/>
      <c r="BV3" s="373"/>
      <c r="BW3" s="373"/>
      <c r="BX3" s="373"/>
      <c r="BY3" s="374" t="s">
        <v>559</v>
      </c>
      <c r="BZ3" s="374"/>
      <c r="CA3" s="374"/>
      <c r="CB3" s="374"/>
      <c r="CC3" s="374"/>
      <c r="CD3" s="374"/>
      <c r="CE3" s="374"/>
      <c r="CF3" s="375" t="s">
        <v>560</v>
      </c>
      <c r="CG3" s="375"/>
      <c r="CH3" s="375"/>
      <c r="CI3" s="375"/>
      <c r="CJ3" s="375"/>
      <c r="CK3" s="375"/>
      <c r="CL3" s="375"/>
      <c r="CM3" s="376" t="s">
        <v>561</v>
      </c>
      <c r="CN3" s="376"/>
      <c r="CO3" s="376"/>
      <c r="CP3" s="376"/>
      <c r="CQ3" s="376"/>
      <c r="CR3" s="376"/>
      <c r="CS3" s="376"/>
      <c r="CT3" s="242"/>
    </row>
    <row r="4" spans="1:98">
      <c r="A4" s="249"/>
      <c r="B4" s="249"/>
      <c r="C4" s="249"/>
      <c r="D4" s="249"/>
      <c r="E4" s="249"/>
      <c r="F4" s="249"/>
      <c r="G4" s="249"/>
      <c r="H4" s="249"/>
      <c r="I4" s="249"/>
      <c r="J4" s="249"/>
      <c r="K4" s="249"/>
      <c r="L4" s="249"/>
      <c r="M4" s="249"/>
      <c r="N4" s="249"/>
      <c r="O4" s="249"/>
      <c r="P4" s="249"/>
      <c r="Q4" s="249"/>
      <c r="R4" s="249"/>
      <c r="S4" s="249"/>
      <c r="T4" s="249"/>
      <c r="U4" s="249"/>
      <c r="V4" s="249"/>
      <c r="W4" s="249"/>
      <c r="X4" s="249"/>
      <c r="Y4" s="249"/>
      <c r="Z4" s="249"/>
      <c r="AA4" s="250" t="s">
        <v>562</v>
      </c>
      <c r="AB4" s="386" t="str" cm="1">
        <f t="array" ref="AB4">INDEX(Table_6.10[GEMS 2019 Climate Zone],MATCH(1,(AB2=Table_6.10[Victoria Region])*(AB3=Table_6.10[Climatic region]),0))</f>
        <v>COLD</v>
      </c>
      <c r="AC4" s="386"/>
      <c r="AD4" s="386"/>
      <c r="AE4" s="386"/>
      <c r="AF4" s="386"/>
      <c r="AG4" s="386"/>
      <c r="AH4" s="386"/>
      <c r="AI4" s="388" t="str" cm="1">
        <f t="array" ref="AI4">INDEX(Table_6.10[GEMS 2019 Climate Zone],MATCH(1,(AB2=Table_6.10[Victoria Region])*(AI3=Table_6.10[Climatic region]),0))</f>
        <v>COLD</v>
      </c>
      <c r="AJ4" s="388"/>
      <c r="AK4" s="388"/>
      <c r="AL4" s="388"/>
      <c r="AM4" s="388"/>
      <c r="AN4" s="388"/>
      <c r="AO4" s="388"/>
      <c r="AP4" s="390" t="str" cm="1">
        <f t="array" ref="AP4">INDEX(Table_6.10[GEMS 2019 Climate Zone],MATCH(1,(AP2=Table_6.10[Victoria Region])*(AP3=Table_6.10[Climatic region]),0))</f>
        <v>COLD</v>
      </c>
      <c r="AQ4" s="390"/>
      <c r="AR4" s="390"/>
      <c r="AS4" s="390"/>
      <c r="AT4" s="390"/>
      <c r="AU4" s="390"/>
      <c r="AV4" s="390"/>
      <c r="AW4" s="393" t="str" cm="1">
        <f t="array" ref="AW4">INDEX(Table_6.10[GEMS 2019 Climate Zone],MATCH(1,(AP2=Table_6.10[Victoria Region])*(AW3=Table_6.10[Climatic region]),0))</f>
        <v>COLD</v>
      </c>
      <c r="AX4" s="394"/>
      <c r="AY4" s="394"/>
      <c r="AZ4" s="394"/>
      <c r="BA4" s="394"/>
      <c r="BB4" s="394"/>
      <c r="BC4" s="395"/>
      <c r="BD4" s="392" t="str" cm="1">
        <f t="array" ref="BD4">INDEX(Table_6.10[GEMS 2019 Climate Zone],MATCH(1,(AP2=Table_6.10[Victoria Region])*(BD3=Table_6.10[Climatic region]),0))</f>
        <v>MIXED</v>
      </c>
      <c r="BE4" s="392"/>
      <c r="BF4" s="392"/>
      <c r="BG4" s="392"/>
      <c r="BH4" s="392"/>
      <c r="BI4" s="392"/>
      <c r="BJ4" s="392"/>
      <c r="BK4" s="348" t="str" cm="1">
        <f t="array" ref="BK4">INDEX(Table_6.10[GEMS 2019 Climate Zone],MATCH(1,(BK2=Table_6.10[Victoria Region])*(BK3=Table_6.10[Climatic region]),0))</f>
        <v>COLD</v>
      </c>
      <c r="BL4" s="348"/>
      <c r="BM4" s="348"/>
      <c r="BN4" s="348"/>
      <c r="BO4" s="348"/>
      <c r="BP4" s="348"/>
      <c r="BQ4" s="348"/>
      <c r="BR4" s="373" t="str" cm="1">
        <f t="array" ref="BR4">INDEX(Table_6.10[GEMS 2019 Climate Zone],MATCH(1,(BK2=Table_6.10[Victoria Region])*(BR3=Table_6.10[Climatic region]),0))</f>
        <v>COLD</v>
      </c>
      <c r="BS4" s="373"/>
      <c r="BT4" s="373"/>
      <c r="BU4" s="373"/>
      <c r="BV4" s="373"/>
      <c r="BW4" s="373"/>
      <c r="BX4" s="373"/>
      <c r="BY4" s="374" t="str" cm="1">
        <f t="array" ref="BY4">INDEX(Table_6.10[GEMS 2019 Climate Zone],MATCH(1,(BY2=Table_6.10[Victoria Region])*(BY3=Table_6.10[Climatic region]),0))</f>
        <v>COLD</v>
      </c>
      <c r="BZ4" s="374"/>
      <c r="CA4" s="374"/>
      <c r="CB4" s="374"/>
      <c r="CC4" s="374"/>
      <c r="CD4" s="374"/>
      <c r="CE4" s="374"/>
      <c r="CF4" s="375" t="str" cm="1">
        <f t="array" ref="CF4">INDEX(Table_6.10[GEMS 2019 Climate Zone],MATCH(1,(BY2=Table_6.10[Victoria Region])*(CF3=Table_6.10[Climatic region]),0))</f>
        <v>COLD</v>
      </c>
      <c r="CG4" s="375"/>
      <c r="CH4" s="375"/>
      <c r="CI4" s="375"/>
      <c r="CJ4" s="375"/>
      <c r="CK4" s="375"/>
      <c r="CL4" s="375"/>
      <c r="CM4" s="376" t="str" cm="1">
        <f t="array" ref="CM4">INDEX(Table_6.10[GEMS 2019 Climate Zone],MATCH(1,(BY2=Table_6.10[Victoria Region])*(CM3=Table_6.10[Climatic region]),0))</f>
        <v>MIXED</v>
      </c>
      <c r="CN4" s="376"/>
      <c r="CO4" s="376"/>
      <c r="CP4" s="376"/>
      <c r="CQ4" s="376"/>
      <c r="CR4" s="376"/>
      <c r="CS4" s="376"/>
      <c r="CT4" s="242"/>
    </row>
    <row r="5" spans="1:98" ht="16.399999999999999" customHeight="1">
      <c r="A5" s="255" t="s">
        <v>563</v>
      </c>
      <c r="B5" s="255" t="s">
        <v>630</v>
      </c>
      <c r="C5" s="255" t="s">
        <v>564</v>
      </c>
      <c r="D5" s="255" t="s">
        <v>565</v>
      </c>
      <c r="E5" s="255" t="s">
        <v>684</v>
      </c>
      <c r="F5" s="255" t="s">
        <v>685</v>
      </c>
      <c r="G5" s="255" t="s">
        <v>686</v>
      </c>
      <c r="H5" s="255" t="s">
        <v>687</v>
      </c>
      <c r="I5" s="255" t="s">
        <v>688</v>
      </c>
      <c r="J5" s="255" t="s">
        <v>691</v>
      </c>
      <c r="K5" s="255" t="s">
        <v>689</v>
      </c>
      <c r="L5" s="255" t="s">
        <v>690</v>
      </c>
      <c r="M5" s="255" t="s">
        <v>574</v>
      </c>
      <c r="N5" s="255" t="s">
        <v>575</v>
      </c>
      <c r="O5" s="256" t="s">
        <v>566</v>
      </c>
      <c r="P5" s="256" t="s">
        <v>567</v>
      </c>
      <c r="Q5" s="256" t="s">
        <v>568</v>
      </c>
      <c r="R5" s="256" t="s">
        <v>569</v>
      </c>
      <c r="S5" s="251" t="s">
        <v>570</v>
      </c>
      <c r="T5" s="251" t="s">
        <v>571</v>
      </c>
      <c r="U5" s="251" t="s">
        <v>572</v>
      </c>
      <c r="V5" s="251" t="s">
        <v>573</v>
      </c>
      <c r="W5" s="251" t="s">
        <v>576</v>
      </c>
      <c r="X5" s="251" t="s">
        <v>577</v>
      </c>
      <c r="Y5" s="251" t="s">
        <v>578</v>
      </c>
      <c r="Z5" s="251" t="s">
        <v>579</v>
      </c>
      <c r="AA5" s="251" t="s">
        <v>24</v>
      </c>
      <c r="AB5" s="246" t="s">
        <v>679</v>
      </c>
      <c r="AC5" s="246" t="s">
        <v>692</v>
      </c>
      <c r="AD5" s="246" t="s">
        <v>693</v>
      </c>
      <c r="AE5" s="246" t="s">
        <v>680</v>
      </c>
      <c r="AF5" s="246" t="s">
        <v>694</v>
      </c>
      <c r="AG5" s="246" t="s">
        <v>695</v>
      </c>
      <c r="AH5" s="246" t="s">
        <v>696</v>
      </c>
      <c r="AI5" s="218" t="s">
        <v>679</v>
      </c>
      <c r="AJ5" s="218" t="s">
        <v>692</v>
      </c>
      <c r="AK5" s="218" t="s">
        <v>693</v>
      </c>
      <c r="AL5" s="218" t="s">
        <v>680</v>
      </c>
      <c r="AM5" s="218" t="s">
        <v>694</v>
      </c>
      <c r="AN5" s="218" t="s">
        <v>695</v>
      </c>
      <c r="AO5" s="218" t="s">
        <v>696</v>
      </c>
      <c r="AP5" s="247" t="s">
        <v>679</v>
      </c>
      <c r="AQ5" s="247" t="s">
        <v>692</v>
      </c>
      <c r="AR5" s="247" t="s">
        <v>693</v>
      </c>
      <c r="AS5" s="247" t="s">
        <v>680</v>
      </c>
      <c r="AT5" s="247" t="s">
        <v>694</v>
      </c>
      <c r="AU5" s="247" t="s">
        <v>695</v>
      </c>
      <c r="AV5" s="247" t="s">
        <v>696</v>
      </c>
      <c r="AW5" s="220" t="s">
        <v>679</v>
      </c>
      <c r="AX5" s="220" t="s">
        <v>692</v>
      </c>
      <c r="AY5" s="220" t="s">
        <v>693</v>
      </c>
      <c r="AZ5" s="220" t="s">
        <v>680</v>
      </c>
      <c r="BA5" s="220" t="s">
        <v>694</v>
      </c>
      <c r="BB5" s="220" t="s">
        <v>695</v>
      </c>
      <c r="BC5" s="220" t="s">
        <v>696</v>
      </c>
      <c r="BD5" s="248" t="s">
        <v>679</v>
      </c>
      <c r="BE5" s="248" t="s">
        <v>692</v>
      </c>
      <c r="BF5" s="248" t="s">
        <v>693</v>
      </c>
      <c r="BG5" s="248" t="s">
        <v>680</v>
      </c>
      <c r="BH5" s="248" t="s">
        <v>694</v>
      </c>
      <c r="BI5" s="248" t="s">
        <v>695</v>
      </c>
      <c r="BJ5" s="219" t="s">
        <v>696</v>
      </c>
      <c r="BK5" s="212" t="s">
        <v>679</v>
      </c>
      <c r="BL5" s="212" t="s">
        <v>692</v>
      </c>
      <c r="BM5" s="212" t="s">
        <v>693</v>
      </c>
      <c r="BN5" s="212" t="s">
        <v>680</v>
      </c>
      <c r="BO5" s="212" t="s">
        <v>694</v>
      </c>
      <c r="BP5" s="212" t="s">
        <v>695</v>
      </c>
      <c r="BQ5" s="212" t="s">
        <v>696</v>
      </c>
      <c r="BR5" s="243" t="s">
        <v>679</v>
      </c>
      <c r="BS5" s="243" t="s">
        <v>692</v>
      </c>
      <c r="BT5" s="243" t="s">
        <v>693</v>
      </c>
      <c r="BU5" s="243" t="s">
        <v>680</v>
      </c>
      <c r="BV5" s="243" t="s">
        <v>694</v>
      </c>
      <c r="BW5" s="243" t="s">
        <v>695</v>
      </c>
      <c r="BX5" s="243" t="s">
        <v>696</v>
      </c>
      <c r="BY5" s="231" t="s">
        <v>679</v>
      </c>
      <c r="BZ5" s="231" t="s">
        <v>692</v>
      </c>
      <c r="CA5" s="231" t="s">
        <v>693</v>
      </c>
      <c r="CB5" s="231" t="s">
        <v>680</v>
      </c>
      <c r="CC5" s="231" t="s">
        <v>694</v>
      </c>
      <c r="CD5" s="231" t="s">
        <v>695</v>
      </c>
      <c r="CE5" s="231" t="s">
        <v>696</v>
      </c>
      <c r="CF5" s="232" t="s">
        <v>679</v>
      </c>
      <c r="CG5" s="232" t="s">
        <v>692</v>
      </c>
      <c r="CH5" s="232" t="s">
        <v>693</v>
      </c>
      <c r="CI5" s="232" t="s">
        <v>680</v>
      </c>
      <c r="CJ5" s="232" t="s">
        <v>694</v>
      </c>
      <c r="CK5" s="232" t="s">
        <v>695</v>
      </c>
      <c r="CL5" s="232" t="s">
        <v>696</v>
      </c>
      <c r="CM5" s="233" t="s">
        <v>679</v>
      </c>
      <c r="CN5" s="233" t="s">
        <v>692</v>
      </c>
      <c r="CO5" s="233" t="s">
        <v>693</v>
      </c>
      <c r="CP5" s="233" t="s">
        <v>680</v>
      </c>
      <c r="CQ5" s="233" t="s">
        <v>694</v>
      </c>
      <c r="CR5" s="233" t="s">
        <v>695</v>
      </c>
      <c r="CS5" s="233" t="s">
        <v>696</v>
      </c>
      <c r="CT5" s="242"/>
    </row>
    <row r="6" spans="1:98">
      <c r="A6" s="252" t="s">
        <v>580</v>
      </c>
      <c r="B6" s="252" t="s">
        <v>601</v>
      </c>
      <c r="C6" s="252">
        <v>15.5</v>
      </c>
      <c r="D6" s="252">
        <v>21</v>
      </c>
      <c r="E6" s="252">
        <v>3.6360000000000001</v>
      </c>
      <c r="F6" s="252">
        <v>4.3029999999999999</v>
      </c>
      <c r="G6" s="252">
        <v>4.8400999999999996</v>
      </c>
      <c r="H6" s="252">
        <v>4.7384000000000004</v>
      </c>
      <c r="I6" s="252">
        <v>4.0170000000000003</v>
      </c>
      <c r="J6" s="252">
        <v>4.5880000000000001</v>
      </c>
      <c r="K6" s="252">
        <v>6.52</v>
      </c>
      <c r="L6" s="252">
        <v>6.0190000000000001</v>
      </c>
      <c r="M6" s="252">
        <v>3.7665999999999999</v>
      </c>
      <c r="N6" s="252">
        <v>4.1055000000000001</v>
      </c>
      <c r="O6" s="252" t="s">
        <v>581</v>
      </c>
      <c r="P6" s="253">
        <f t="shared" ref="P6:P11" si="0">NumberofIndoorACUnits</f>
        <v>1</v>
      </c>
      <c r="Q6" s="252">
        <v>2.8</v>
      </c>
      <c r="R6" s="252">
        <v>3.2</v>
      </c>
      <c r="S6" s="253">
        <f>INDEX(Table_6.11[Max Cooling Capacity (kW)],MATCH('VEU-6'!$W6,Scenario,0))</f>
        <v>15.5</v>
      </c>
      <c r="T6" s="253">
        <f>MIN('VEU-6'!$P6*'VEU-6'!$Q6,'VEU-6'!$S6)</f>
        <v>2.8</v>
      </c>
      <c r="U6" s="253">
        <f>INDEX(Table_6.11[Max Heating Capacity (kW)],MATCH('VEU-6'!$W6,Scenario,0))</f>
        <v>21</v>
      </c>
      <c r="V6" s="253">
        <f>MIN('VEU-6'!$P6*'VEU-6'!$R6,'VEU-6'!$U6)</f>
        <v>3.2</v>
      </c>
      <c r="W6" s="253" t="str">
        <f t="shared" ref="W6:W11" si="1">AC_Scenario</f>
        <v>(xi)</v>
      </c>
      <c r="X6" s="254">
        <f>INDEX(Table_6.11[],MATCH('VEU-6'!$W6,Scenario,0),MATCH('VEU-6'!$X$5,Table_6.11[#Headers],0))</f>
        <v>0.53339999999999999</v>
      </c>
      <c r="Y6" s="254">
        <f>INDEX(Table_6.11[],MATCH('VEU-6'!$W6,Scenario,0),MATCH('VEU-6'!$Y$5,Table_6.11[#Headers],0))</f>
        <v>0.53339999999999999</v>
      </c>
      <c r="Z6" s="254">
        <f>INDEX(Table_6.11[],MATCH('VEU-6'!$W6,Scenario,0),MATCH('VEU-6'!$Z$5,Table_6.11[#Headers],0))</f>
        <v>0.53339999999999999</v>
      </c>
      <c r="AA6" s="254">
        <f>VLOOKUP('VEU-6'!$W6,Table_6.5[],2,FALSE)</f>
        <v>15</v>
      </c>
      <c r="AB6" s="234" cm="1">
        <f t="array" ref="AB6">INDEX(Table_6.11[],MATCH('VEU-6'!$W6,Scenario,0),MATCH(AB$4,GEMS_2019_Climate_Zone_hspf,0)+2)</f>
        <v>3.43</v>
      </c>
      <c r="AC6" s="234">
        <f>('VEU-6'!$X6/'VEU-6'!$AB6)-(('VEU-6'!$Y6*LF)/'VEU-6'!$E6)</f>
        <v>8.8105341146359484E-3</v>
      </c>
      <c r="AD6" s="234">
        <f>'VEU-6'!$AC6*BTLHeat_Residential_Metro_Mild*'VEU-6'!$V6</f>
        <v>3.7057811328887968E-2</v>
      </c>
      <c r="AE6" s="234">
        <f>INDEX(Table_6.11[Deemed TCSPFBase GEMS Cold Zone],MATCH('VEU-6'!$W6,Scenario,0))</f>
        <v>4.4400000000000004</v>
      </c>
      <c r="AF6" s="234">
        <f>('VEU-6'!$Z6/'VEU-6'!$AE6)-(('VEU-6'!$Y6*LF)/'VEU-6'!$G6)</f>
        <v>9.9308005139495947E-3</v>
      </c>
      <c r="AG6" s="234">
        <f>'VEU-6'!$AF6*BTLcool_Metro_Mild*'VEU-6'!$T6</f>
        <v>7.4965626919702693E-3</v>
      </c>
      <c r="AH6" s="234">
        <f>(('VEU-6'!$AD6+'VEU-6'!$AG6)*'VEU-6'!$AA6)</f>
        <v>0.66831561031287356</v>
      </c>
      <c r="AI6" s="234" cm="1">
        <f t="array" ref="AI6">INDEX(Table_6.11[],MATCH('VEU-6'!$W6,Scenario,0),MATCH(AI$4,GEMS_2019_Climate_Zone_hspf,0)+2)</f>
        <v>3.43</v>
      </c>
      <c r="AJ6" s="234">
        <f>('VEU-6'!$X6/'VEU-6'!$AI6)-(('VEU-6'!$Y6*LF)/'VEU-6'!$E6)</f>
        <v>8.8105341146359484E-3</v>
      </c>
      <c r="AK6" s="234">
        <f>'VEU-6'!$AJ6*BTLHeat_Residential_Metro_Cold*'VEU-6'!$V6</f>
        <v>4.0762464713410093E-2</v>
      </c>
      <c r="AL6" s="234">
        <f>INDEX(Table_6.11[Deemed TCSPFBase GEMS Cold Zone],MATCH('VEU-6'!$W6,Scenario,0))</f>
        <v>4.4400000000000004</v>
      </c>
      <c r="AM6" s="234">
        <f>('VEU-6'!$Z6/'VEU-6'!$AL6)-(('VEU-6'!$Y6*LF)/'VEU-6'!$G6)</f>
        <v>9.9308005139495947E-3</v>
      </c>
      <c r="AN6" s="234">
        <f>'VEU-6'!$AM6*BTLcool_Metro_Cold*'VEU-6'!$T6</f>
        <v>7.4965626919702693E-3</v>
      </c>
      <c r="AO6" s="234">
        <f>(('VEU-6'!$AK6+'VEU-6'!$AN6)*'VEU-6'!$AA6)</f>
        <v>0.72388541108070548</v>
      </c>
      <c r="AP6" s="234" cm="1">
        <f t="array" ref="AP6">INDEX(Table_6.11[],MATCH('VEU-6'!$W6,Scenario,0),MATCH(AP$4,GEMS_2019_Climate_Zone_hspf,0)+2)</f>
        <v>3.43</v>
      </c>
      <c r="AQ6" s="234">
        <f>('VEU-6'!$X6/'VEU-6'!$AP6)-(('VEU-6'!$Y6*LF)/'VEU-6'!$E6)</f>
        <v>8.8105341146359484E-3</v>
      </c>
      <c r="AR6" s="234">
        <f>'VEU-6'!$AQ6*BTLHeat_Residential_Regional_Mild*'VEU-6'!$V6</f>
        <v>3.7057811328887968E-2</v>
      </c>
      <c r="AS6" s="234">
        <f>INDEX(Table_6.11[Deemed TCSPFBase GEMS Cold Zone],MATCH('VEU-6'!$W6,Scenario,0))</f>
        <v>4.4400000000000004</v>
      </c>
      <c r="AT6" s="234">
        <f>('VEU-6'!$Z6/'VEU-6'!$AS6)-(('VEU-6'!$Y6*LF)/'VEU-6'!$G6)</f>
        <v>9.9308005139495947E-3</v>
      </c>
      <c r="AU6" s="234">
        <f>'VEU-6'!$AT6*BTLcool_Regional_Mild*'VEU-6'!$T6</f>
        <v>7.4965626919702693E-3</v>
      </c>
      <c r="AV6" s="234">
        <f>(('VEU-6'!$AR6+'VEU-6'!$AU6)*'VEU-6'!$AA6)</f>
        <v>0.66831561031287356</v>
      </c>
      <c r="AW6" s="234" cm="1">
        <f t="array" ref="AW6">INDEX(Table_6.11[],MATCH('VEU-6'!$W6,Scenario,0),MATCH(AW$4,GEMS_2019_Climate_Zone_hspf,0)+2)</f>
        <v>3.43</v>
      </c>
      <c r="AX6" s="234">
        <f>('VEU-6'!$X6/'VEU-6'!$AW6)-(('VEU-6'!$Y6*LF)/E6)</f>
        <v>8.8105341146359484E-3</v>
      </c>
      <c r="AY6" s="234">
        <f>'VEU-6'!$AX6*BTLHeat_Residential_Regional_Cold*'VEU-6'!$V6</f>
        <v>4.0762464713410093E-2</v>
      </c>
      <c r="AZ6" s="234" cm="1">
        <f t="array" ref="AZ6">INDEX(Table_6.11[],MATCH('VEU-6'!$W6,Scenario,0),MATCH(AW$4,GEMS_2019_Climate_Zone_TCSPF,0)+5)</f>
        <v>4.3099999999999996</v>
      </c>
      <c r="BA6" s="234">
        <f>('VEU-6'!$Z6/'VEU-6'!$AZ6)-(('VEU-6'!$Y6*LF)/G6)</f>
        <v>1.3554366074870178E-2</v>
      </c>
      <c r="BB6" s="234">
        <f>'VEU-6'!$BA6*BTLcool_Regional_Cold*'VEU-6'!$T6</f>
        <v>1.0231919862597999E-2</v>
      </c>
      <c r="BC6" s="234">
        <f>(('VEU-6'!$AY6+'VEU-6'!$BB6)*'VEU-6'!$AA6)</f>
        <v>0.76491576864012134</v>
      </c>
      <c r="BD6" s="234" cm="1">
        <f t="array" ref="BD6">INDEX(Table_6.11[],MATCH('VEU-6'!$W6,Scenario,0),MATCH(BD$4,GEMS_2019_Climate_Zone_hspf,0)+2)</f>
        <v>3.98</v>
      </c>
      <c r="BE6" s="234">
        <f>('VEU-6'!$X6/'VEU-6'!$BD6)-(('VEU-6'!$Y6*LF)/F6)</f>
        <v>1.0060072614992227E-2</v>
      </c>
      <c r="BF6" s="234">
        <f>'VEU-6'!$BE6*BTLHeat_Residential_Regional_Hot*'VEU-6'!$V6</f>
        <v>2.3213818760546862E-2</v>
      </c>
      <c r="BG6" s="234">
        <f>INDEX(Table_6.11[Deemed TCSPFBase GEMS Mixed Zone],MATCH('VEU-6'!$W6,Scenario,0))</f>
        <v>4.3499999999999996</v>
      </c>
      <c r="BH6" s="234">
        <f>('VEU-6'!$Z6/'VEU-6'!$BG6)-(('VEU-6'!$Y6*LF)/H6)</f>
        <v>1.0051045893565133E-2</v>
      </c>
      <c r="BI6" s="234">
        <f>'VEU-6'!$BH6*BTLcool_Regional_Hot*'VEU-6'!$T6</f>
        <v>1.2090202084451626E-2</v>
      </c>
      <c r="BJ6" s="235">
        <f>(('VEU-6'!$BF6+'VEU-6'!$BI6)*'VEU-6'!$AA6)</f>
        <v>0.52956031267497727</v>
      </c>
      <c r="BK6" s="236">
        <f>INDEX(Table_6.11[Deemed HSPFBase GEMS Cold Zone Business],MATCH('VEU-6'!$W6,Scenario,0))</f>
        <v>3.77</v>
      </c>
      <c r="BL6" s="236">
        <f>('VEU-6'!$X6/BK6)-(('VEU-6'!$Y6*LF)/'VEU-6'!$I6)</f>
        <v>8.6997501995828286E-3</v>
      </c>
      <c r="BM6" s="236">
        <f>BL6*BTLHeat_Business_Metro_Mild*'VEU-6'!$V6</f>
        <v>2.189831522237393E-2</v>
      </c>
      <c r="BN6" s="236">
        <f>INDEX(Table_6.11[Deemed TCSPFBase GEMS Cold Zone BUSINESS],MATCH('VEU-6'!$W6,Scenario,0))</f>
        <v>5.98</v>
      </c>
      <c r="BO6" s="236">
        <f>('VEU-6'!$Z6/BN6)-(('VEU-6'!$Y6*LF)/'VEU-6'!$K6)</f>
        <v>7.3875084637954613E-3</v>
      </c>
      <c r="BP6" s="236">
        <f>BO6*BTLCool_Business_Metro_Mild*'VEU-6'!$T6</f>
        <v>1.4841504503765082E-2</v>
      </c>
      <c r="BQ6" s="236">
        <f>((BM6+BP6)*'VEU-6'!$AA6)</f>
        <v>0.55109729589208512</v>
      </c>
      <c r="BR6" s="236">
        <f>INDEX(Table_6.11[Deemed HSPFBase GEMS Cold Zone Business],MATCH('VEU-6'!$W6,Scenario,0))</f>
        <v>3.77</v>
      </c>
      <c r="BS6" s="236">
        <f>('VEU-6'!$X6/BR6)-(('VEU-6'!$Y6*LF)/'VEU-6'!$I6)</f>
        <v>8.6997501995828286E-3</v>
      </c>
      <c r="BT6" s="236">
        <f>BS6*BTLHeat_Business_Metro_Cold*'VEU-6'!$V6</f>
        <v>2.4086476392573004E-2</v>
      </c>
      <c r="BU6" s="236">
        <f>INDEX(Table_6.11[Deemed TCSPFBase GEMS Cold Zone BUSINESS],MATCH('VEU-6'!$W6,Scenario,0))</f>
        <v>5.98</v>
      </c>
      <c r="BV6" s="236">
        <f>('VEU-6'!$Z6/'VEU-6'!$AL6)-(('VEU-6'!$Y6*LF)/'VEU-6'!$K6)</f>
        <v>3.8325319184214862E-2</v>
      </c>
      <c r="BW6" s="236" cm="1">
        <f t="array" ref="BW6">BV6*BTLcool_Business_Metro_Cold*'VEU-6'!$T6</f>
        <v>7.6995566241087665E-2</v>
      </c>
      <c r="BX6" s="236">
        <f>((BT6+BW6)*'VEU-6'!$AA6)</f>
        <v>1.5162306395049099</v>
      </c>
      <c r="BY6" s="236">
        <f>INDEX(Table_6.11[Deemed HSPFBase GEMS Cold Zone Business],MATCH('VEU-6'!$W6,Scenario,0))</f>
        <v>3.77</v>
      </c>
      <c r="BZ6" s="236">
        <f>('VEU-6'!$X6/BY6)-(('VEU-6'!$Y6*LF)/'VEU-6'!$I6)</f>
        <v>8.6997501995828286E-3</v>
      </c>
      <c r="CA6" s="236">
        <f>BZ6*BTLHeat_Business_Regional_Mild*'VEU-6'!$V6</f>
        <v>2.189831522237393E-2</v>
      </c>
      <c r="CB6" s="236">
        <f>INDEX(Table_6.11[Deemed TCSPFBase GEMS Cold Zone BUSINESS],MATCH('VEU-6'!$W6,Scenario,0))</f>
        <v>5.98</v>
      </c>
      <c r="CC6" s="236">
        <f>('VEU-6'!$Z6/CB6)-(('VEU-6'!$Y6*LF)/'VEU-6'!$K6)</f>
        <v>7.3875084637954613E-3</v>
      </c>
      <c r="CD6" s="236">
        <f>CC6*BTLcool_Business_Regional_Mild*'VEU-6'!$T6</f>
        <v>1.4841504503765082E-2</v>
      </c>
      <c r="CE6" s="236">
        <f>((CA6+CD6)*'VEU-6'!$AA6)</f>
        <v>0.55109729589208512</v>
      </c>
      <c r="CF6" s="236">
        <f>INDEX(Table_6.11[Deemed HSPFBase GEMS Cold Zone Business],MATCH('VEU-6'!$W6,Scenario,0))</f>
        <v>3.77</v>
      </c>
      <c r="CG6" s="236">
        <f>('VEU-6'!$X6/CF6)-(('VEU-6'!$Y6*LF)/'VEU-6'!$I6)</f>
        <v>8.6997501995828286E-3</v>
      </c>
      <c r="CH6" s="236">
        <f>CG6*BTLHeat_Business_Regional_Cold*'VEU-6'!$V6</f>
        <v>2.4086476392573004E-2</v>
      </c>
      <c r="CI6" s="236">
        <f>INDEX(Table_6.11[Deemed TCSPFBase GEMS Cold Zone BUSINESS],MATCH('VEU-6'!$W6,Scenario,0))</f>
        <v>5.98</v>
      </c>
      <c r="CJ6" s="236">
        <f>('VEU-6'!$Z6/CI6)-(('VEU-6'!$Y6*LF)/'VEU-6'!$K6)</f>
        <v>7.3875084637954613E-3</v>
      </c>
      <c r="CK6" s="236">
        <f>CJ6*BTLcool_Business_Regional_Cold*'VEU-6'!$T6</f>
        <v>1.4841504503765082E-2</v>
      </c>
      <c r="CL6" s="236">
        <f>((CH6+CK6)*'VEU-6'!$AA6)</f>
        <v>0.58391971344507132</v>
      </c>
      <c r="CM6" s="236">
        <f>INDEX(Table_6.11[Deemed HSPFBase GEMS Mixed Zone Business],MATCH('VEU-6'!$W6,Scenario,0))</f>
        <v>4.3099999999999996</v>
      </c>
      <c r="CN6" s="236">
        <f>('VEU-6'!$X6/CM6)-(('VEU-6'!$Y6*LF)/'VEU-6'!$J6)</f>
        <v>7.498892500763632E-3</v>
      </c>
      <c r="CO6" s="236">
        <f>CN6*BTLHeat_Business_Regional_Hot*'VEU-6'!$V6</f>
        <v>1.4193903725445404E-2</v>
      </c>
      <c r="CP6" s="236">
        <f>INDEX(Table_6.11[Deemed TCSPFBase GEMS Mixed Zone BUSINESS],MATCH('VEU-6'!$W6,Scenario,0))</f>
        <v>5.52</v>
      </c>
      <c r="CQ6" s="236">
        <f>('VEU-6'!$Z6/CP6)-(('VEU-6'!$Y6*LF)/L6)</f>
        <v>8.0110627939062595E-3</v>
      </c>
      <c r="CR6" s="236">
        <f>CQ6*BTLcool_Business_Regional_Hot*'VEU-6'!$T6</f>
        <v>1.9985999458237338E-2</v>
      </c>
      <c r="CS6" s="236">
        <f>((CO6+CR6)*'VEU-6'!$AA6)</f>
        <v>0.51269854775524115</v>
      </c>
      <c r="CT6" s="242"/>
    </row>
    <row r="7" spans="1:98">
      <c r="A7" s="252" t="s">
        <v>580</v>
      </c>
      <c r="B7" s="252" t="s">
        <v>601</v>
      </c>
      <c r="C7" s="252">
        <v>15.5</v>
      </c>
      <c r="D7" s="252">
        <v>21</v>
      </c>
      <c r="E7" s="252">
        <v>3.6360000000000001</v>
      </c>
      <c r="F7" s="252">
        <v>4.3029999999999999</v>
      </c>
      <c r="G7" s="252">
        <v>4.8400999999999996</v>
      </c>
      <c r="H7" s="252">
        <v>4.7384000000000004</v>
      </c>
      <c r="I7" s="252">
        <v>4.0170000000000003</v>
      </c>
      <c r="J7" s="252">
        <v>4.5880000000000001</v>
      </c>
      <c r="K7" s="252">
        <v>6.52</v>
      </c>
      <c r="L7" s="252">
        <v>6.0190000000000001</v>
      </c>
      <c r="M7" s="252">
        <v>3.7665999999999999</v>
      </c>
      <c r="N7" s="252">
        <v>4.1055000000000001</v>
      </c>
      <c r="O7" s="252" t="s">
        <v>587</v>
      </c>
      <c r="P7" s="253">
        <f t="shared" si="0"/>
        <v>1</v>
      </c>
      <c r="Q7" s="252">
        <v>3.6</v>
      </c>
      <c r="R7" s="252">
        <v>4</v>
      </c>
      <c r="S7" s="253">
        <f>INDEX(Table_6.11[Max Cooling Capacity (kW)],MATCH('VEU-6'!$W7,Scenario,0))</f>
        <v>15.5</v>
      </c>
      <c r="T7" s="253">
        <f>MIN('VEU-6'!$P7*'VEU-6'!$Q7,'VEU-6'!$S7)</f>
        <v>3.6</v>
      </c>
      <c r="U7" s="253">
        <f>INDEX(Table_6.11[Max Heating Capacity (kW)],MATCH('VEU-6'!$W7,Scenario,0))</f>
        <v>21</v>
      </c>
      <c r="V7" s="253">
        <f>MIN('VEU-6'!$P7*'VEU-6'!$R7,'VEU-6'!$U7)</f>
        <v>4</v>
      </c>
      <c r="W7" s="253" t="str">
        <f t="shared" si="1"/>
        <v>(xi)</v>
      </c>
      <c r="X7" s="254">
        <f>INDEX(Table_6.11[],MATCH('VEU-6'!$W7,Scenario,0),MATCH('VEU-6'!$X$5,Table_6.11[#Headers],0))</f>
        <v>0.53339999999999999</v>
      </c>
      <c r="Y7" s="254">
        <f>INDEX(Table_6.11[],MATCH('VEU-6'!$W7,Scenario,0),MATCH('VEU-6'!$Y$5,Table_6.11[#Headers],0))</f>
        <v>0.53339999999999999</v>
      </c>
      <c r="Z7" s="254">
        <f>INDEX(Table_6.11[],MATCH('VEU-6'!$W7,Scenario,0),MATCH('VEU-6'!$Z$5,Table_6.11[#Headers],0))</f>
        <v>0.53339999999999999</v>
      </c>
      <c r="AA7" s="254">
        <f>VLOOKUP('VEU-6'!$W7,Table_6.5[],2,FALSE)</f>
        <v>15</v>
      </c>
      <c r="AB7" s="234" cm="1">
        <f t="array" ref="AB7">INDEX(Table_6.11[],MATCH('VEU-6'!$W7,Scenario,0),MATCH(AB$4,GEMS_2019_Climate_Zone_hspf,0)+2)</f>
        <v>3.43</v>
      </c>
      <c r="AC7" s="234">
        <f>('VEU-6'!$X7/'VEU-6'!$AB7)-(('VEU-6'!$Y7*LF)/'VEU-6'!$E7)</f>
        <v>8.8105341146359484E-3</v>
      </c>
      <c r="AD7" s="234">
        <f>'VEU-6'!$AC7*BTLHeat_Residential_Metro_Mild*'VEU-6'!$V7</f>
        <v>4.6322264161109961E-2</v>
      </c>
      <c r="AE7" s="234">
        <f>INDEX(Table_6.11[Deemed TCSPFBase GEMS Cold Zone],MATCH('VEU-6'!$W7,Scenario,0))</f>
        <v>4.4400000000000004</v>
      </c>
      <c r="AF7" s="234">
        <f>('VEU-6'!$Z7/'VEU-6'!$AE7)-(('VEU-6'!$Y7*LF)/'VEU-6'!$G7)</f>
        <v>9.9308005139495947E-3</v>
      </c>
      <c r="AG7" s="234">
        <f>'VEU-6'!$AF7*BTLcool_Metro_Mild*'VEU-6'!$T7</f>
        <v>9.6384377468189189E-3</v>
      </c>
      <c r="AH7" s="234">
        <f>(('VEU-6'!$AD7+'VEU-6'!$AG7)*'VEU-6'!$AA7)</f>
        <v>0.83941052861893317</v>
      </c>
      <c r="AI7" s="234" cm="1">
        <f t="array" ref="AI7">INDEX(Table_6.11[],MATCH('VEU-6'!$W7,Scenario,0),MATCH(AI$4,GEMS_2019_Climate_Zone_hspf,0)+2)</f>
        <v>3.43</v>
      </c>
      <c r="AJ7" s="234">
        <f>('VEU-6'!$X7/'VEU-6'!$AI7)-(('VEU-6'!$Y7*LF)/'VEU-6'!$E7)</f>
        <v>8.8105341146359484E-3</v>
      </c>
      <c r="AK7" s="234">
        <f>'VEU-6'!$AJ7*BTLHeat_Residential_Metro_Cold*'VEU-6'!$V7</f>
        <v>5.0953080891762613E-2</v>
      </c>
      <c r="AL7" s="234">
        <f>INDEX(Table_6.11[Deemed TCSPFBase GEMS Cold Zone],MATCH('VEU-6'!$W7,Scenario,0))</f>
        <v>4.4400000000000004</v>
      </c>
      <c r="AM7" s="234">
        <f>('VEU-6'!$Z7/'VEU-6'!$AL7)-(('VEU-6'!$Y7*LF)/'VEU-6'!$G7)</f>
        <v>9.9308005139495947E-3</v>
      </c>
      <c r="AN7" s="234">
        <f>'VEU-6'!$AM7*BTLcool_Metro_Cold*'VEU-6'!$T7</f>
        <v>9.6384377468189189E-3</v>
      </c>
      <c r="AO7" s="234">
        <f>(('VEU-6'!$AK7+'VEU-6'!$AN7)*'VEU-6'!$AA7)</f>
        <v>0.90887277957872303</v>
      </c>
      <c r="AP7" s="234" cm="1">
        <f t="array" ref="AP7">INDEX(Table_6.11[],MATCH('VEU-6'!$W7,Scenario,0),MATCH(AP$4,GEMS_2019_Climate_Zone_hspf,0)+2)</f>
        <v>3.43</v>
      </c>
      <c r="AQ7" s="234">
        <f>('VEU-6'!$X7/'VEU-6'!$AP7)-(('VEU-6'!$Y7*LF)/'VEU-6'!$E7)</f>
        <v>8.8105341146359484E-3</v>
      </c>
      <c r="AR7" s="234">
        <f>'VEU-6'!$AQ7*BTLHeat_Residential_Regional_Mild*'VEU-6'!$V7</f>
        <v>4.6322264161109961E-2</v>
      </c>
      <c r="AS7" s="234">
        <f>INDEX(Table_6.11[Deemed TCSPFBase GEMS Cold Zone],MATCH('VEU-6'!$W7,Scenario,0))</f>
        <v>4.4400000000000004</v>
      </c>
      <c r="AT7" s="234">
        <f>('VEU-6'!$Z7/'VEU-6'!$AS7)-(('VEU-6'!$Y7*LF)/'VEU-6'!$G7)</f>
        <v>9.9308005139495947E-3</v>
      </c>
      <c r="AU7" s="234">
        <f>'VEU-6'!$AT7*BTLcool_Regional_Mild*'VEU-6'!$T7</f>
        <v>9.6384377468189189E-3</v>
      </c>
      <c r="AV7" s="234">
        <f>(('VEU-6'!$AR7+'VEU-6'!$AU7)*'VEU-6'!$AA7)</f>
        <v>0.83941052861893317</v>
      </c>
      <c r="AW7" s="234" cm="1">
        <f t="array" ref="AW7">INDEX(Table_6.11[],MATCH('VEU-6'!$W7,Scenario,0),MATCH(AW$4,GEMS_2019_Climate_Zone_hspf,0)+2)</f>
        <v>3.43</v>
      </c>
      <c r="AX7" s="234">
        <f>('VEU-6'!$X7/'VEU-6'!$AW7)-(('VEU-6'!$Y7*LF)/E7)</f>
        <v>8.8105341146359484E-3</v>
      </c>
      <c r="AY7" s="234">
        <f>'VEU-6'!$AX7*BTLHeat_Residential_Regional_Cold*'VEU-6'!$V7</f>
        <v>5.0953080891762613E-2</v>
      </c>
      <c r="AZ7" s="234" cm="1">
        <f t="array" ref="AZ7">INDEX(Table_6.11[],MATCH('VEU-6'!$W7,Scenario,0),MATCH(AW$4,GEMS_2019_Climate_Zone_TCSPF,0)+5)</f>
        <v>4.3099999999999996</v>
      </c>
      <c r="BA7" s="234">
        <f>('VEU-6'!$Z7/'VEU-6'!$AZ7)-(('VEU-6'!$Y7*LF)/G7)</f>
        <v>1.3554366074870178E-2</v>
      </c>
      <c r="BB7" s="234">
        <f>'VEU-6'!$BA7*BTLcool_Regional_Cold*'VEU-6'!$T7</f>
        <v>1.3155325537626E-2</v>
      </c>
      <c r="BC7" s="234">
        <f>(('VEU-6'!$AY7+'VEU-6'!$BB7)*'VEU-6'!$AA7)</f>
        <v>0.96162609644082919</v>
      </c>
      <c r="BD7" s="234" cm="1">
        <f t="array" ref="BD7">INDEX(Table_6.11[],MATCH('VEU-6'!$W7,Scenario,0),MATCH(BD$4,GEMS_2019_Climate_Zone_hspf,0)+2)</f>
        <v>3.98</v>
      </c>
      <c r="BE7" s="234">
        <f>('VEU-6'!$X7/'VEU-6'!$BD7)-(('VEU-6'!$Y7*LF)/F7)</f>
        <v>1.0060072614992227E-2</v>
      </c>
      <c r="BF7" s="234">
        <f>'VEU-6'!$BE7*BTLHeat_Residential_Regional_Hot*'VEU-6'!$V7</f>
        <v>2.9017273450683577E-2</v>
      </c>
      <c r="BG7" s="234">
        <f>INDEX(Table_6.11[Deemed TCSPFBase GEMS Mixed Zone],MATCH('VEU-6'!$W7,Scenario,0))</f>
        <v>4.3499999999999996</v>
      </c>
      <c r="BH7" s="234">
        <f>('VEU-6'!$Z7/'VEU-6'!$BG7)-(('VEU-6'!$Y7*LF)/H7)</f>
        <v>1.0051045893565133E-2</v>
      </c>
      <c r="BI7" s="234">
        <f>'VEU-6'!$BH7*BTLcool_Regional_Hot*'VEU-6'!$T7</f>
        <v>1.5544545537152092E-2</v>
      </c>
      <c r="BJ7" s="235">
        <f>(('VEU-6'!$BF7+'VEU-6'!$BI7)*'VEU-6'!$AA7)</f>
        <v>0.66842728481753511</v>
      </c>
      <c r="BK7" s="236">
        <f>INDEX(Table_6.11[Deemed HSPFBase GEMS Cold Zone Business],MATCH('VEU-6'!$W7,Scenario,0))</f>
        <v>3.77</v>
      </c>
      <c r="BL7" s="236">
        <f>('VEU-6'!$X7/BK7)-(('VEU-6'!$Y7*LF)/'VEU-6'!$I7)</f>
        <v>8.6997501995828286E-3</v>
      </c>
      <c r="BM7" s="236">
        <f>BL7*BTLHeat_Business_Metro_Mild*'VEU-6'!$V7</f>
        <v>2.7372894027967411E-2</v>
      </c>
      <c r="BN7" s="236">
        <f>INDEX(Table_6.11[Deemed TCSPFBase GEMS Cold Zone BUSINESS],MATCH('VEU-6'!$W7,Scenario,0))</f>
        <v>5.98</v>
      </c>
      <c r="BO7" s="236">
        <f>('VEU-6'!$Z7/BN7)-(('VEU-6'!$Y7*LF)/'VEU-6'!$K7)</f>
        <v>7.3875084637954613E-3</v>
      </c>
      <c r="BP7" s="236">
        <f>BO7*BTLCool_Business_Metro_Mild*'VEU-6'!$T7</f>
        <v>1.9081934361983677E-2</v>
      </c>
      <c r="BQ7" s="236">
        <f>((BM7+BP7)*'VEU-6'!$AA7)</f>
        <v>0.69682242584926635</v>
      </c>
      <c r="BR7" s="236">
        <f>INDEX(Table_6.11[Deemed HSPFBase GEMS Cold Zone Business],MATCH('VEU-6'!$W7,Scenario,0))</f>
        <v>3.77</v>
      </c>
      <c r="BS7" s="236">
        <f>('VEU-6'!$X7/BR7)-(('VEU-6'!$Y7*LF)/'VEU-6'!$I7)</f>
        <v>8.6997501995828286E-3</v>
      </c>
      <c r="BT7" s="236">
        <f>BS7*BTLHeat_Business_Metro_Cold*'VEU-6'!$V7</f>
        <v>3.0108095490716254E-2</v>
      </c>
      <c r="BU7" s="236">
        <f>INDEX(Table_6.11[Deemed TCSPFBase GEMS Cold Zone BUSINESS],MATCH('VEU-6'!$W7,Scenario,0))</f>
        <v>5.98</v>
      </c>
      <c r="BV7" s="236">
        <f>('VEU-6'!$Z7/'VEU-6'!$AL7)-(('VEU-6'!$Y7*LF)/'VEU-6'!$K7)</f>
        <v>3.8325319184214862E-2</v>
      </c>
      <c r="BW7" s="236" cm="1">
        <f t="array" ref="BW7">BV7*BTLcool_Business_Metro_Cold*'VEU-6'!$T7</f>
        <v>9.8994299452826992E-2</v>
      </c>
      <c r="BX7" s="236">
        <f>((BT7+BW7)*'VEU-6'!$AA7)</f>
        <v>1.9365359241531488</v>
      </c>
      <c r="BY7" s="236">
        <f>INDEX(Table_6.11[Deemed HSPFBase GEMS Cold Zone Business],MATCH('VEU-6'!$W7,Scenario,0))</f>
        <v>3.77</v>
      </c>
      <c r="BZ7" s="236">
        <f>('VEU-6'!$X7/BY7)-(('VEU-6'!$Y7*LF)/'VEU-6'!$I7)</f>
        <v>8.6997501995828286E-3</v>
      </c>
      <c r="CA7" s="236">
        <f>BZ7*BTLHeat_Business_Regional_Mild*'VEU-6'!$V7</f>
        <v>2.7372894027967411E-2</v>
      </c>
      <c r="CB7" s="236">
        <f>INDEX(Table_6.11[Deemed TCSPFBase GEMS Cold Zone BUSINESS],MATCH('VEU-6'!$W7,Scenario,0))</f>
        <v>5.98</v>
      </c>
      <c r="CC7" s="236">
        <f>('VEU-6'!$Z7/CB7)-(('VEU-6'!$Y7*LF)/'VEU-6'!$K7)</f>
        <v>7.3875084637954613E-3</v>
      </c>
      <c r="CD7" s="236">
        <f>CC7*BTLcool_Business_Regional_Mild*'VEU-6'!$T7</f>
        <v>1.9081934361983677E-2</v>
      </c>
      <c r="CE7" s="236">
        <f>((CA7+CD7)*'VEU-6'!$AA7)</f>
        <v>0.69682242584926635</v>
      </c>
      <c r="CF7" s="236">
        <f>INDEX(Table_6.11[Deemed HSPFBase GEMS Cold Zone Business],MATCH('VEU-6'!$W7,Scenario,0))</f>
        <v>3.77</v>
      </c>
      <c r="CG7" s="236">
        <f>('VEU-6'!$X7/CF7)-(('VEU-6'!$Y7*LF)/'VEU-6'!$I7)</f>
        <v>8.6997501995828286E-3</v>
      </c>
      <c r="CH7" s="236">
        <f>CG7*BTLHeat_Business_Regional_Cold*'VEU-6'!$V7</f>
        <v>3.0108095490716254E-2</v>
      </c>
      <c r="CI7" s="236">
        <f>INDEX(Table_6.11[Deemed TCSPFBase GEMS Cold Zone BUSINESS],MATCH('VEU-6'!$W7,Scenario,0))</f>
        <v>5.98</v>
      </c>
      <c r="CJ7" s="236">
        <f>('VEU-6'!$Z7/CI7)-(('VEU-6'!$Y7*LF)/'VEU-6'!$K7)</f>
        <v>7.3875084637954613E-3</v>
      </c>
      <c r="CK7" s="236">
        <f>CJ7*BTLcool_Business_Regional_Cold*'VEU-6'!$T7</f>
        <v>1.9081934361983677E-2</v>
      </c>
      <c r="CL7" s="236">
        <f>((CH7+CK7)*'VEU-6'!$AA7)</f>
        <v>0.73785044779049902</v>
      </c>
      <c r="CM7" s="236">
        <f>INDEX(Table_6.11[Deemed HSPFBase GEMS Mixed Zone Business],MATCH('VEU-6'!$W7,Scenario,0))</f>
        <v>4.3099999999999996</v>
      </c>
      <c r="CN7" s="236">
        <f>('VEU-6'!$X7/CM7)-(('VEU-6'!$Y7*LF)/'VEU-6'!$J7)</f>
        <v>7.498892500763632E-3</v>
      </c>
      <c r="CO7" s="236">
        <f>CN7*BTLHeat_Business_Regional_Hot*'VEU-6'!$V7</f>
        <v>1.7742379656806754E-2</v>
      </c>
      <c r="CP7" s="236">
        <f>INDEX(Table_6.11[Deemed TCSPFBase GEMS Mixed Zone BUSINESS],MATCH('VEU-6'!$W7,Scenario,0))</f>
        <v>5.52</v>
      </c>
      <c r="CQ7" s="236">
        <f>('VEU-6'!$Z7/CP7)-(('VEU-6'!$Y7*LF)/L7)</f>
        <v>8.0110627939062595E-3</v>
      </c>
      <c r="CR7" s="236">
        <f>CQ7*BTLcool_Business_Regional_Hot*'VEU-6'!$T7</f>
        <v>2.569628501773372E-2</v>
      </c>
      <c r="CS7" s="236">
        <f>((CO7+CR7)*'VEU-6'!$AA7)</f>
        <v>0.65157997011810709</v>
      </c>
      <c r="CT7" s="242"/>
    </row>
    <row r="8" spans="1:98">
      <c r="A8" s="252" t="s">
        <v>580</v>
      </c>
      <c r="B8" s="252" t="s">
        <v>601</v>
      </c>
      <c r="C8" s="252">
        <v>15.5</v>
      </c>
      <c r="D8" s="252">
        <v>21</v>
      </c>
      <c r="E8" s="252">
        <v>3.6360000000000001</v>
      </c>
      <c r="F8" s="252">
        <v>4.3029999999999999</v>
      </c>
      <c r="G8" s="252">
        <v>4.8400999999999996</v>
      </c>
      <c r="H8" s="252">
        <v>4.7384000000000004</v>
      </c>
      <c r="I8" s="252">
        <v>4.0170000000000003</v>
      </c>
      <c r="J8" s="252">
        <v>4.5880000000000001</v>
      </c>
      <c r="K8" s="252">
        <v>6.52</v>
      </c>
      <c r="L8" s="252">
        <v>6.0190000000000001</v>
      </c>
      <c r="M8" s="252">
        <v>3.7665999999999999</v>
      </c>
      <c r="N8" s="252">
        <v>4.1055000000000001</v>
      </c>
      <c r="O8" s="252" t="s">
        <v>586</v>
      </c>
      <c r="P8" s="253">
        <f t="shared" si="0"/>
        <v>1</v>
      </c>
      <c r="Q8" s="252">
        <v>4.5</v>
      </c>
      <c r="R8" s="252">
        <v>5</v>
      </c>
      <c r="S8" s="253">
        <f>INDEX(Table_6.11[Max Cooling Capacity (kW)],MATCH('VEU-6'!$W8,Scenario,0))</f>
        <v>15.5</v>
      </c>
      <c r="T8" s="253">
        <f>MIN('VEU-6'!$P8*'VEU-6'!$Q8,'VEU-6'!$S8)</f>
        <v>4.5</v>
      </c>
      <c r="U8" s="253">
        <f>INDEX(Table_6.11[Max Heating Capacity (kW)],MATCH('VEU-6'!$W8,Scenario,0))</f>
        <v>21</v>
      </c>
      <c r="V8" s="253">
        <f>MIN('VEU-6'!$P8*'VEU-6'!$R8,'VEU-6'!$U8)</f>
        <v>5</v>
      </c>
      <c r="W8" s="253" t="str">
        <f t="shared" si="1"/>
        <v>(xi)</v>
      </c>
      <c r="X8" s="254">
        <f>INDEX(Table_6.11[],MATCH('VEU-6'!$W8,Scenario,0),MATCH('VEU-6'!$X$5,Table_6.11[#Headers],0))</f>
        <v>0.53339999999999999</v>
      </c>
      <c r="Y8" s="254">
        <f>INDEX(Table_6.11[],MATCH('VEU-6'!$W8,Scenario,0),MATCH('VEU-6'!$Y$5,Table_6.11[#Headers],0))</f>
        <v>0.53339999999999999</v>
      </c>
      <c r="Z8" s="254">
        <f>INDEX(Table_6.11[],MATCH('VEU-6'!$W8,Scenario,0),MATCH('VEU-6'!$Z$5,Table_6.11[#Headers],0))</f>
        <v>0.53339999999999999</v>
      </c>
      <c r="AA8" s="254">
        <f>VLOOKUP('VEU-6'!$W8,Table_6.5[],2,FALSE)</f>
        <v>15</v>
      </c>
      <c r="AB8" s="234" cm="1">
        <f t="array" ref="AB8">INDEX(Table_6.11[],MATCH('VEU-6'!$W8,Scenario,0),MATCH(AB$4,GEMS_2019_Climate_Zone_hspf,0)+2)</f>
        <v>3.43</v>
      </c>
      <c r="AC8" s="234">
        <f>('VEU-6'!$X8/'VEU-6'!$AB8)-(('VEU-6'!$Y8*LF)/'VEU-6'!$E8)</f>
        <v>8.8105341146359484E-3</v>
      </c>
      <c r="AD8" s="234">
        <f>'VEU-6'!$AC8*BTLHeat_Residential_Metro_Mild*'VEU-6'!$V8</f>
        <v>5.7902830201387451E-2</v>
      </c>
      <c r="AE8" s="234">
        <f>INDEX(Table_6.11[Deemed TCSPFBase GEMS Cold Zone],MATCH('VEU-6'!$W8,Scenario,0))</f>
        <v>4.4400000000000004</v>
      </c>
      <c r="AF8" s="234">
        <f>('VEU-6'!$Z8/'VEU-6'!$AE8)-(('VEU-6'!$Y8*LF)/'VEU-6'!$G8)</f>
        <v>9.9308005139495947E-3</v>
      </c>
      <c r="AG8" s="234">
        <f>'VEU-6'!$AF8*BTLcool_Metro_Mild*'VEU-6'!$T8</f>
        <v>1.2048047183523649E-2</v>
      </c>
      <c r="AH8" s="234">
        <f>(('VEU-6'!$AD8+'VEU-6'!$AG8)*'VEU-6'!$AA8)</f>
        <v>1.0492631607736664</v>
      </c>
      <c r="AI8" s="234" cm="1">
        <f t="array" ref="AI8">INDEX(Table_6.11[],MATCH('VEU-6'!$W8,Scenario,0),MATCH(AI$4,GEMS_2019_Climate_Zone_hspf,0)+2)</f>
        <v>3.43</v>
      </c>
      <c r="AJ8" s="234">
        <f>('VEU-6'!$X8/'VEU-6'!$AI8)-(('VEU-6'!$Y8*LF)/'VEU-6'!$E8)</f>
        <v>8.8105341146359484E-3</v>
      </c>
      <c r="AK8" s="234">
        <f>'VEU-6'!$AJ8*BTLHeat_Residential_Metro_Cold*'VEU-6'!$V8</f>
        <v>6.3691351114703268E-2</v>
      </c>
      <c r="AL8" s="234">
        <f>INDEX(Table_6.11[Deemed TCSPFBase GEMS Cold Zone],MATCH('VEU-6'!$W8,Scenario,0))</f>
        <v>4.4400000000000004</v>
      </c>
      <c r="AM8" s="234">
        <f>('VEU-6'!$Z8/'VEU-6'!$AL8)-(('VEU-6'!$Y8*LF)/'VEU-6'!$G8)</f>
        <v>9.9308005139495947E-3</v>
      </c>
      <c r="AN8" s="234">
        <f>'VEU-6'!$AM8*BTLcool_Metro_Cold*'VEU-6'!$T8</f>
        <v>1.2048047183523649E-2</v>
      </c>
      <c r="AO8" s="234">
        <f>(('VEU-6'!$AK8+'VEU-6'!$AN8)*'VEU-6'!$AA8)</f>
        <v>1.1360909744734038</v>
      </c>
      <c r="AP8" s="234" cm="1">
        <f t="array" ref="AP8">INDEX(Table_6.11[],MATCH('VEU-6'!$W8,Scenario,0),MATCH(AP$4,GEMS_2019_Climate_Zone_hspf,0)+2)</f>
        <v>3.43</v>
      </c>
      <c r="AQ8" s="234">
        <f>('VEU-6'!$X8/'VEU-6'!$AP8)-(('VEU-6'!$Y8*LF)/'VEU-6'!$E8)</f>
        <v>8.8105341146359484E-3</v>
      </c>
      <c r="AR8" s="234">
        <f>'VEU-6'!$AQ8*BTLHeat_Residential_Regional_Mild*'VEU-6'!$V8</f>
        <v>5.7902830201387451E-2</v>
      </c>
      <c r="AS8" s="234">
        <f>INDEX(Table_6.11[Deemed TCSPFBase GEMS Cold Zone],MATCH('VEU-6'!$W8,Scenario,0))</f>
        <v>4.4400000000000004</v>
      </c>
      <c r="AT8" s="234">
        <f>('VEU-6'!$Z8/'VEU-6'!$AS8)-(('VEU-6'!$Y8*LF)/'VEU-6'!$G8)</f>
        <v>9.9308005139495947E-3</v>
      </c>
      <c r="AU8" s="234">
        <f>'VEU-6'!$AT8*BTLcool_Regional_Mild*'VEU-6'!$T8</f>
        <v>1.2048047183523649E-2</v>
      </c>
      <c r="AV8" s="234">
        <f>(('VEU-6'!$AR8+'VEU-6'!$AU8)*'VEU-6'!$AA8)</f>
        <v>1.0492631607736664</v>
      </c>
      <c r="AW8" s="234" cm="1">
        <f t="array" ref="AW8">INDEX(Table_6.11[],MATCH('VEU-6'!$W8,Scenario,0),MATCH(AW$4,GEMS_2019_Climate_Zone_hspf,0)+2)</f>
        <v>3.43</v>
      </c>
      <c r="AX8" s="234">
        <f>('VEU-6'!$X8/'VEU-6'!$AW8)-(('VEU-6'!$Y8*LF)/E8)</f>
        <v>8.8105341146359484E-3</v>
      </c>
      <c r="AY8" s="234">
        <f>'VEU-6'!$AX8*BTLHeat_Residential_Regional_Cold*'VEU-6'!$V8</f>
        <v>6.3691351114703268E-2</v>
      </c>
      <c r="AZ8" s="234" cm="1">
        <f t="array" ref="AZ8">INDEX(Table_6.11[],MATCH('VEU-6'!$W8,Scenario,0),MATCH(AW$4,GEMS_2019_Climate_Zone_TCSPF,0)+5)</f>
        <v>4.3099999999999996</v>
      </c>
      <c r="BA8" s="234">
        <f>('VEU-6'!$Z8/'VEU-6'!$AZ8)-(('VEU-6'!$Y8*LF)/G8)</f>
        <v>1.3554366074870178E-2</v>
      </c>
      <c r="BB8" s="234">
        <f>'VEU-6'!$BA8*BTLcool_Regional_Cold*'VEU-6'!$T8</f>
        <v>1.64441569220325E-2</v>
      </c>
      <c r="BC8" s="234">
        <f>(('VEU-6'!$AY8+'VEU-6'!$BB8)*'VEU-6'!$AA8)</f>
        <v>1.2020326205510365</v>
      </c>
      <c r="BD8" s="234" cm="1">
        <f t="array" ref="BD8">INDEX(Table_6.11[],MATCH('VEU-6'!$W8,Scenario,0),MATCH(BD$4,GEMS_2019_Climate_Zone_hspf,0)+2)</f>
        <v>3.98</v>
      </c>
      <c r="BE8" s="234">
        <f>('VEU-6'!$X8/'VEU-6'!$BD8)-(('VEU-6'!$Y8*LF)/F8)</f>
        <v>1.0060072614992227E-2</v>
      </c>
      <c r="BF8" s="234">
        <f>'VEU-6'!$BE8*BTLHeat_Residential_Regional_Hot*'VEU-6'!$V8</f>
        <v>3.6271591813354473E-2</v>
      </c>
      <c r="BG8" s="234">
        <f>INDEX(Table_6.11[Deemed TCSPFBase GEMS Mixed Zone],MATCH('VEU-6'!$W8,Scenario,0))</f>
        <v>4.3499999999999996</v>
      </c>
      <c r="BH8" s="234">
        <f>('VEU-6'!$Z8/'VEU-6'!$BG8)-(('VEU-6'!$Y8*LF)/H8)</f>
        <v>1.0051045893565133E-2</v>
      </c>
      <c r="BI8" s="234">
        <f>'VEU-6'!$BH8*BTLcool_Regional_Hot*'VEU-6'!$T8</f>
        <v>1.9430681921440113E-2</v>
      </c>
      <c r="BJ8" s="235">
        <f>(('VEU-6'!$BF8+'VEU-6'!$BI8)*'VEU-6'!$AA8)</f>
        <v>0.8355341060219188</v>
      </c>
      <c r="BK8" s="236">
        <f>INDEX(Table_6.11[Deemed HSPFBase GEMS Cold Zone Business],MATCH('VEU-6'!$W8,Scenario,0))</f>
        <v>3.77</v>
      </c>
      <c r="BL8" s="236">
        <f>('VEU-6'!$X8/BK8)-(('VEU-6'!$Y8*LF)/'VEU-6'!$I8)</f>
        <v>8.6997501995828286E-3</v>
      </c>
      <c r="BM8" s="236">
        <f>BL8*BTLHeat_Business_Metro_Mild*'VEU-6'!$V8</f>
        <v>3.4216117534959262E-2</v>
      </c>
      <c r="BN8" s="236">
        <f>INDEX(Table_6.11[Deemed TCSPFBase GEMS Cold Zone BUSINESS],MATCH('VEU-6'!$W8,Scenario,0))</f>
        <v>5.98</v>
      </c>
      <c r="BO8" s="236">
        <f>('VEU-6'!$Z8/BN8)-(('VEU-6'!$Y8*LF)/'VEU-6'!$K8)</f>
        <v>7.3875084637954613E-3</v>
      </c>
      <c r="BP8" s="236">
        <f>BO8*BTLCool_Business_Metro_Mild*'VEU-6'!$T8</f>
        <v>2.3852417952479599E-2</v>
      </c>
      <c r="BQ8" s="236">
        <f>((BM8+BP8)*'VEU-6'!$AA8)</f>
        <v>0.87102803231158288</v>
      </c>
      <c r="BR8" s="236">
        <f>INDEX(Table_6.11[Deemed HSPFBase GEMS Cold Zone Business],MATCH('VEU-6'!$W8,Scenario,0))</f>
        <v>3.77</v>
      </c>
      <c r="BS8" s="236">
        <f>('VEU-6'!$X8/BR8)-(('VEU-6'!$Y8*LF)/'VEU-6'!$I8)</f>
        <v>8.6997501995828286E-3</v>
      </c>
      <c r="BT8" s="236">
        <f>BS8*BTLHeat_Business_Metro_Cold*'VEU-6'!$V8</f>
        <v>3.7635119363395315E-2</v>
      </c>
      <c r="BU8" s="236">
        <f>INDEX(Table_6.11[Deemed TCSPFBase GEMS Cold Zone BUSINESS],MATCH('VEU-6'!$W8,Scenario,0))</f>
        <v>5.98</v>
      </c>
      <c r="BV8" s="236">
        <f>('VEU-6'!$Z8/'VEU-6'!$AL8)-(('VEU-6'!$Y8*LF)/'VEU-6'!$K8)</f>
        <v>3.8325319184214862E-2</v>
      </c>
      <c r="BW8" s="236" cm="1">
        <f t="array" ref="BW8">BV8*BTLcool_Business_Metro_Cold*'VEU-6'!$T8</f>
        <v>0.12374287431603374</v>
      </c>
      <c r="BX8" s="236">
        <f>((BT8+BW8)*'VEU-6'!$AA8)</f>
        <v>2.4206699051914358</v>
      </c>
      <c r="BY8" s="236">
        <f>INDEX(Table_6.11[Deemed HSPFBase GEMS Cold Zone Business],MATCH('VEU-6'!$W8,Scenario,0))</f>
        <v>3.77</v>
      </c>
      <c r="BZ8" s="236">
        <f>('VEU-6'!$X8/BY8)-(('VEU-6'!$Y8*LF)/'VEU-6'!$I8)</f>
        <v>8.6997501995828286E-3</v>
      </c>
      <c r="CA8" s="236">
        <f>BZ8*BTLHeat_Business_Regional_Mild*'VEU-6'!$V8</f>
        <v>3.4216117534959262E-2</v>
      </c>
      <c r="CB8" s="236">
        <f>INDEX(Table_6.11[Deemed TCSPFBase GEMS Cold Zone BUSINESS],MATCH('VEU-6'!$W8,Scenario,0))</f>
        <v>5.98</v>
      </c>
      <c r="CC8" s="236">
        <f>('VEU-6'!$Z8/CB8)-(('VEU-6'!$Y8*LF)/'VEU-6'!$K8)</f>
        <v>7.3875084637954613E-3</v>
      </c>
      <c r="CD8" s="236">
        <f>CC8*BTLcool_Business_Regional_Mild*'VEU-6'!$T8</f>
        <v>2.3852417952479599E-2</v>
      </c>
      <c r="CE8" s="236">
        <f>((CA8+CD8)*'VEU-6'!$AA8)</f>
        <v>0.87102803231158288</v>
      </c>
      <c r="CF8" s="236">
        <f>INDEX(Table_6.11[Deemed HSPFBase GEMS Cold Zone Business],MATCH('VEU-6'!$W8,Scenario,0))</f>
        <v>3.77</v>
      </c>
      <c r="CG8" s="236">
        <f>('VEU-6'!$X8/CF8)-(('VEU-6'!$Y8*LF)/'VEU-6'!$I8)</f>
        <v>8.6997501995828286E-3</v>
      </c>
      <c r="CH8" s="236">
        <f>CG8*BTLHeat_Business_Regional_Cold*'VEU-6'!$V8</f>
        <v>3.7635119363395315E-2</v>
      </c>
      <c r="CI8" s="236">
        <f>INDEX(Table_6.11[Deemed TCSPFBase GEMS Cold Zone BUSINESS],MATCH('VEU-6'!$W8,Scenario,0))</f>
        <v>5.98</v>
      </c>
      <c r="CJ8" s="236">
        <f>('VEU-6'!$Z8/CI8)-(('VEU-6'!$Y8*LF)/'VEU-6'!$K8)</f>
        <v>7.3875084637954613E-3</v>
      </c>
      <c r="CK8" s="236">
        <f>CJ8*BTLcool_Business_Regional_Cold*'VEU-6'!$T8</f>
        <v>2.3852417952479599E-2</v>
      </c>
      <c r="CL8" s="236">
        <f>((CH8+CK8)*'VEU-6'!$AA8)</f>
        <v>0.92231305973812372</v>
      </c>
      <c r="CM8" s="236">
        <f>INDEX(Table_6.11[Deemed HSPFBase GEMS Mixed Zone Business],MATCH('VEU-6'!$W8,Scenario,0))</f>
        <v>4.3099999999999996</v>
      </c>
      <c r="CN8" s="236">
        <f>('VEU-6'!$X8/CM8)-(('VEU-6'!$Y8*LF)/'VEU-6'!$J8)</f>
        <v>7.498892500763632E-3</v>
      </c>
      <c r="CO8" s="236">
        <f>CN8*BTLHeat_Business_Regional_Hot*'VEU-6'!$V8</f>
        <v>2.2177974571008442E-2</v>
      </c>
      <c r="CP8" s="236">
        <f>INDEX(Table_6.11[Deemed TCSPFBase GEMS Mixed Zone BUSINESS],MATCH('VEU-6'!$W8,Scenario,0))</f>
        <v>5.52</v>
      </c>
      <c r="CQ8" s="236">
        <f>('VEU-6'!$Z8/CP8)-(('VEU-6'!$Y8*LF)/L8)</f>
        <v>8.0110627939062595E-3</v>
      </c>
      <c r="CR8" s="236">
        <f>CQ8*BTLcool_Business_Regional_Hot*'VEU-6'!$T8</f>
        <v>3.2120356272167153E-2</v>
      </c>
      <c r="CS8" s="236">
        <f>((CO8+CR8)*'VEU-6'!$AA8)</f>
        <v>0.81447496264763386</v>
      </c>
      <c r="CT8" s="242"/>
    </row>
    <row r="9" spans="1:98">
      <c r="A9" s="252" t="s">
        <v>580</v>
      </c>
      <c r="B9" s="252" t="s">
        <v>601</v>
      </c>
      <c r="C9" s="252">
        <v>15.5</v>
      </c>
      <c r="D9" s="252">
        <v>21</v>
      </c>
      <c r="E9" s="252">
        <v>3.6360000000000001</v>
      </c>
      <c r="F9" s="252">
        <v>4.3029999999999999</v>
      </c>
      <c r="G9" s="252">
        <v>4.8400999999999996</v>
      </c>
      <c r="H9" s="252">
        <v>4.7384000000000004</v>
      </c>
      <c r="I9" s="252">
        <v>4.0170000000000003</v>
      </c>
      <c r="J9" s="252">
        <v>4.5880000000000001</v>
      </c>
      <c r="K9" s="252">
        <v>6.52</v>
      </c>
      <c r="L9" s="252">
        <v>6.0190000000000001</v>
      </c>
      <c r="M9" s="252">
        <v>3.7665999999999999</v>
      </c>
      <c r="N9" s="252">
        <v>4.1055000000000001</v>
      </c>
      <c r="O9" s="252" t="s">
        <v>585</v>
      </c>
      <c r="P9" s="253">
        <f t="shared" si="0"/>
        <v>1</v>
      </c>
      <c r="Q9" s="252">
        <v>5.6</v>
      </c>
      <c r="R9" s="252">
        <v>6.3</v>
      </c>
      <c r="S9" s="253">
        <f>INDEX(Table_6.11[Max Cooling Capacity (kW)],MATCH('VEU-6'!$W9,Scenario,0))</f>
        <v>15.5</v>
      </c>
      <c r="T9" s="253">
        <f>MIN('VEU-6'!$P9*'VEU-6'!$Q9,'VEU-6'!$S9)</f>
        <v>5.6</v>
      </c>
      <c r="U9" s="253">
        <f>INDEX(Table_6.11[Max Heating Capacity (kW)],MATCH('VEU-6'!$W9,Scenario,0))</f>
        <v>21</v>
      </c>
      <c r="V9" s="253">
        <f>MIN('VEU-6'!$P9*'VEU-6'!$R9,'VEU-6'!$U9)</f>
        <v>6.3</v>
      </c>
      <c r="W9" s="253" t="str">
        <f t="shared" si="1"/>
        <v>(xi)</v>
      </c>
      <c r="X9" s="254">
        <f>INDEX(Table_6.11[],MATCH('VEU-6'!$W9,Scenario,0),MATCH('VEU-6'!$X$5,Table_6.11[#Headers],0))</f>
        <v>0.53339999999999999</v>
      </c>
      <c r="Y9" s="254">
        <f>INDEX(Table_6.11[],MATCH('VEU-6'!$W9,Scenario,0),MATCH('VEU-6'!$Y$5,Table_6.11[#Headers],0))</f>
        <v>0.53339999999999999</v>
      </c>
      <c r="Z9" s="254">
        <f>INDEX(Table_6.11[],MATCH('VEU-6'!$W9,Scenario,0),MATCH('VEU-6'!$Z$5,Table_6.11[#Headers],0))</f>
        <v>0.53339999999999999</v>
      </c>
      <c r="AA9" s="254">
        <f>VLOOKUP('VEU-6'!$W9,Table_6.5[],2,FALSE)</f>
        <v>15</v>
      </c>
      <c r="AB9" s="234" cm="1">
        <f t="array" ref="AB9">INDEX(Table_6.11[],MATCH('VEU-6'!$W9,Scenario,0),MATCH(AB$4,GEMS_2019_Climate_Zone_hspf,0)+2)</f>
        <v>3.43</v>
      </c>
      <c r="AC9" s="234">
        <f>('VEU-6'!$X9/'VEU-6'!$AB9)-(('VEU-6'!$Y9*LF)/'VEU-6'!$E9)</f>
        <v>8.8105341146359484E-3</v>
      </c>
      <c r="AD9" s="234">
        <f>'VEU-6'!$AC9*BTLHeat_Residential_Metro_Mild*'VEU-6'!$V9</f>
        <v>7.2957566053748188E-2</v>
      </c>
      <c r="AE9" s="234">
        <f>INDEX(Table_6.11[Deemed TCSPFBase GEMS Cold Zone],MATCH('VEU-6'!$W9,Scenario,0))</f>
        <v>4.4400000000000004</v>
      </c>
      <c r="AF9" s="234">
        <f>('VEU-6'!$Z9/'VEU-6'!$AE9)-(('VEU-6'!$Y9*LF)/'VEU-6'!$G9)</f>
        <v>9.9308005139495947E-3</v>
      </c>
      <c r="AG9" s="234">
        <f>'VEU-6'!$AF9*BTLcool_Metro_Mild*'VEU-6'!$T9</f>
        <v>1.4993125383940539E-2</v>
      </c>
      <c r="AH9" s="234">
        <f>(('VEU-6'!$AD9+'VEU-6'!$AG9)*'VEU-6'!$AA9)</f>
        <v>1.319260371565331</v>
      </c>
      <c r="AI9" s="234" cm="1">
        <f t="array" ref="AI9">INDEX(Table_6.11[],MATCH('VEU-6'!$W9,Scenario,0),MATCH(AI$4,GEMS_2019_Climate_Zone_hspf,0)+2)</f>
        <v>3.43</v>
      </c>
      <c r="AJ9" s="234">
        <f>('VEU-6'!$X9/'VEU-6'!$AI9)-(('VEU-6'!$Y9*LF)/'VEU-6'!$E9)</f>
        <v>8.8105341146359484E-3</v>
      </c>
      <c r="AK9" s="234">
        <f>'VEU-6'!$AJ9*BTLHeat_Residential_Metro_Cold*'VEU-6'!$V9</f>
        <v>8.0251102404526112E-2</v>
      </c>
      <c r="AL9" s="234">
        <f>INDEX(Table_6.11[Deemed TCSPFBase GEMS Cold Zone],MATCH('VEU-6'!$W9,Scenario,0))</f>
        <v>4.4400000000000004</v>
      </c>
      <c r="AM9" s="234">
        <f>('VEU-6'!$Z9/'VEU-6'!$AL9)-(('VEU-6'!$Y9*LF)/'VEU-6'!$G9)</f>
        <v>9.9308005139495947E-3</v>
      </c>
      <c r="AN9" s="234">
        <f>'VEU-6'!$AM9*BTLcool_Metro_Cold*'VEU-6'!$T9</f>
        <v>1.4993125383940539E-2</v>
      </c>
      <c r="AO9" s="234">
        <f>(('VEU-6'!$AK9+'VEU-6'!$AN9)*'VEU-6'!$AA9)</f>
        <v>1.4286634168269998</v>
      </c>
      <c r="AP9" s="234" cm="1">
        <f t="array" ref="AP9">INDEX(Table_6.11[],MATCH('VEU-6'!$W9,Scenario,0),MATCH(AP$4,GEMS_2019_Climate_Zone_hspf,0)+2)</f>
        <v>3.43</v>
      </c>
      <c r="AQ9" s="234">
        <f>('VEU-6'!$X9/'VEU-6'!$AP9)-(('VEU-6'!$Y9*LF)/'VEU-6'!$E9)</f>
        <v>8.8105341146359484E-3</v>
      </c>
      <c r="AR9" s="234">
        <f>'VEU-6'!$AQ9*BTLHeat_Residential_Regional_Mild*'VEU-6'!$V9</f>
        <v>7.2957566053748188E-2</v>
      </c>
      <c r="AS9" s="234">
        <f>INDEX(Table_6.11[Deemed TCSPFBase GEMS Cold Zone],MATCH('VEU-6'!$W9,Scenario,0))</f>
        <v>4.4400000000000004</v>
      </c>
      <c r="AT9" s="234">
        <f>('VEU-6'!$Z9/'VEU-6'!$AS9)-(('VEU-6'!$Y9*LF)/'VEU-6'!$G9)</f>
        <v>9.9308005139495947E-3</v>
      </c>
      <c r="AU9" s="234">
        <f>'VEU-6'!$AT9*BTLcool_Regional_Mild*'VEU-6'!$T9</f>
        <v>1.4993125383940539E-2</v>
      </c>
      <c r="AV9" s="234">
        <f>(('VEU-6'!$AR9+'VEU-6'!$AU9)*'VEU-6'!$AA9)</f>
        <v>1.319260371565331</v>
      </c>
      <c r="AW9" s="234" cm="1">
        <f t="array" ref="AW9">INDEX(Table_6.11[],MATCH('VEU-6'!$W9,Scenario,0),MATCH(AW$4,GEMS_2019_Climate_Zone_hspf,0)+2)</f>
        <v>3.43</v>
      </c>
      <c r="AX9" s="234">
        <f>('VEU-6'!$X9/'VEU-6'!$AW9)-(('VEU-6'!$Y9*LF)/E9)</f>
        <v>8.8105341146359484E-3</v>
      </c>
      <c r="AY9" s="234">
        <f>'VEU-6'!$AX9*BTLHeat_Residential_Regional_Cold*'VEU-6'!$V9</f>
        <v>8.0251102404526112E-2</v>
      </c>
      <c r="AZ9" s="234" cm="1">
        <f t="array" ref="AZ9">INDEX(Table_6.11[],MATCH('VEU-6'!$W9,Scenario,0),MATCH(AW$4,GEMS_2019_Climate_Zone_TCSPF,0)+5)</f>
        <v>4.3099999999999996</v>
      </c>
      <c r="BA9" s="234">
        <f>('VEU-6'!$Z9/'VEU-6'!$AZ9)-(('VEU-6'!$Y9*LF)/G9)</f>
        <v>1.3554366074870178E-2</v>
      </c>
      <c r="BB9" s="234">
        <f>'VEU-6'!$BA9*BTLcool_Regional_Cold*'VEU-6'!$T9</f>
        <v>2.0463839725195998E-2</v>
      </c>
      <c r="BC9" s="234">
        <f>(('VEU-6'!$AY9+'VEU-6'!$BB9)*'VEU-6'!$AA9)</f>
        <v>1.5107241319458315</v>
      </c>
      <c r="BD9" s="234" cm="1">
        <f t="array" ref="BD9">INDEX(Table_6.11[],MATCH('VEU-6'!$W9,Scenario,0),MATCH(BD$4,GEMS_2019_Climate_Zone_hspf,0)+2)</f>
        <v>3.98</v>
      </c>
      <c r="BE9" s="234">
        <f>('VEU-6'!$X9/'VEU-6'!$BD9)-(('VEU-6'!$Y9*LF)/F9)</f>
        <v>1.0060072614992227E-2</v>
      </c>
      <c r="BF9" s="234">
        <f>'VEU-6'!$BE9*BTLHeat_Residential_Regional_Hot*'VEU-6'!$V9</f>
        <v>4.5702205684826636E-2</v>
      </c>
      <c r="BG9" s="234">
        <f>INDEX(Table_6.11[Deemed TCSPFBase GEMS Mixed Zone],MATCH('VEU-6'!$W9,Scenario,0))</f>
        <v>4.3499999999999996</v>
      </c>
      <c r="BH9" s="234">
        <f>('VEU-6'!$Z9/'VEU-6'!$BG9)-(('VEU-6'!$Y9*LF)/H9)</f>
        <v>1.0051045893565133E-2</v>
      </c>
      <c r="BI9" s="234">
        <f>'VEU-6'!$BH9*BTLcool_Regional_Hot*'VEU-6'!$T9</f>
        <v>2.4180404168903252E-2</v>
      </c>
      <c r="BJ9" s="235">
        <f>(('VEU-6'!$BF9+'VEU-6'!$BI9)*'VEU-6'!$AA9)</f>
        <v>1.0482391478059483</v>
      </c>
      <c r="BK9" s="236">
        <f>INDEX(Table_6.11[Deemed HSPFBase GEMS Cold Zone Business],MATCH('VEU-6'!$W9,Scenario,0))</f>
        <v>3.77</v>
      </c>
      <c r="BL9" s="236">
        <f>('VEU-6'!$X9/BK9)-(('VEU-6'!$Y9*LF)/'VEU-6'!$I9)</f>
        <v>8.6997501995828286E-3</v>
      </c>
      <c r="BM9" s="236">
        <f>BL9*BTLHeat_Business_Metro_Mild*'VEU-6'!$V9</f>
        <v>4.3112308094048674E-2</v>
      </c>
      <c r="BN9" s="236">
        <f>INDEX(Table_6.11[Deemed TCSPFBase GEMS Cold Zone BUSINESS],MATCH('VEU-6'!$W9,Scenario,0))</f>
        <v>5.98</v>
      </c>
      <c r="BO9" s="236">
        <f>('VEU-6'!$Z9/BN9)-(('VEU-6'!$Y9*LF)/'VEU-6'!$K9)</f>
        <v>7.3875084637954613E-3</v>
      </c>
      <c r="BP9" s="236">
        <f>BO9*BTLCool_Business_Metro_Mild*'VEU-6'!$T9</f>
        <v>2.9683009007530164E-2</v>
      </c>
      <c r="BQ9" s="236">
        <f>((BM9+BP9)*'VEU-6'!$AA9)</f>
        <v>1.0919297565236825</v>
      </c>
      <c r="BR9" s="236">
        <f>INDEX(Table_6.11[Deemed HSPFBase GEMS Cold Zone Business],MATCH('VEU-6'!$W9,Scenario,0))</f>
        <v>3.77</v>
      </c>
      <c r="BS9" s="236">
        <f>('VEU-6'!$X9/BR9)-(('VEU-6'!$Y9*LF)/'VEU-6'!$I9)</f>
        <v>8.6997501995828286E-3</v>
      </c>
      <c r="BT9" s="236">
        <f>BS9*BTLHeat_Business_Metro_Cold*'VEU-6'!$V9</f>
        <v>4.7420250397878096E-2</v>
      </c>
      <c r="BU9" s="236">
        <f>INDEX(Table_6.11[Deemed TCSPFBase GEMS Cold Zone BUSINESS],MATCH('VEU-6'!$W9,Scenario,0))</f>
        <v>5.98</v>
      </c>
      <c r="BV9" s="236">
        <f>('VEU-6'!$Z9/'VEU-6'!$AL9)-(('VEU-6'!$Y9*LF)/'VEU-6'!$K9)</f>
        <v>3.8325319184214862E-2</v>
      </c>
      <c r="BW9" s="236" cm="1">
        <f t="array" ref="BW9">BV9*BTLcool_Business_Metro_Cold*'VEU-6'!$T9</f>
        <v>0.15399113248217533</v>
      </c>
      <c r="BX9" s="236">
        <f>((BT9+BW9)*'VEU-6'!$AA9)</f>
        <v>3.0211707432008015</v>
      </c>
      <c r="BY9" s="236">
        <f>INDEX(Table_6.11[Deemed HSPFBase GEMS Cold Zone Business],MATCH('VEU-6'!$W9,Scenario,0))</f>
        <v>3.77</v>
      </c>
      <c r="BZ9" s="236">
        <f>('VEU-6'!$X9/BY9)-(('VEU-6'!$Y9*LF)/'VEU-6'!$I9)</f>
        <v>8.6997501995828286E-3</v>
      </c>
      <c r="CA9" s="236">
        <f>BZ9*BTLHeat_Business_Regional_Mild*'VEU-6'!$V9</f>
        <v>4.3112308094048674E-2</v>
      </c>
      <c r="CB9" s="236">
        <f>INDEX(Table_6.11[Deemed TCSPFBase GEMS Cold Zone BUSINESS],MATCH('VEU-6'!$W9,Scenario,0))</f>
        <v>5.98</v>
      </c>
      <c r="CC9" s="236">
        <f>('VEU-6'!$Z9/CB9)-(('VEU-6'!$Y9*LF)/'VEU-6'!$K9)</f>
        <v>7.3875084637954613E-3</v>
      </c>
      <c r="CD9" s="236">
        <f>CC9*BTLcool_Business_Regional_Mild*'VEU-6'!$T9</f>
        <v>2.9683009007530164E-2</v>
      </c>
      <c r="CE9" s="236">
        <f>((CA9+CD9)*'VEU-6'!$AA9)</f>
        <v>1.0919297565236825</v>
      </c>
      <c r="CF9" s="236">
        <f>INDEX(Table_6.11[Deemed HSPFBase GEMS Cold Zone Business],MATCH('VEU-6'!$W9,Scenario,0))</f>
        <v>3.77</v>
      </c>
      <c r="CG9" s="236">
        <f>('VEU-6'!$X9/CF9)-(('VEU-6'!$Y9*LF)/'VEU-6'!$I9)</f>
        <v>8.6997501995828286E-3</v>
      </c>
      <c r="CH9" s="236">
        <f>CG9*BTLHeat_Business_Regional_Cold*'VEU-6'!$V9</f>
        <v>4.7420250397878096E-2</v>
      </c>
      <c r="CI9" s="236">
        <f>INDEX(Table_6.11[Deemed TCSPFBase GEMS Cold Zone BUSINESS],MATCH('VEU-6'!$W9,Scenario,0))</f>
        <v>5.98</v>
      </c>
      <c r="CJ9" s="236">
        <f>('VEU-6'!$Z9/CI9)-(('VEU-6'!$Y9*LF)/'VEU-6'!$K9)</f>
        <v>7.3875084637954613E-3</v>
      </c>
      <c r="CK9" s="236">
        <f>CJ9*BTLcool_Business_Regional_Cold*'VEU-6'!$T9</f>
        <v>2.9683009007530164E-2</v>
      </c>
      <c r="CL9" s="236">
        <f>((CH9+CK9)*'VEU-6'!$AA9)</f>
        <v>1.1565488910811239</v>
      </c>
      <c r="CM9" s="236">
        <f>INDEX(Table_6.11[Deemed HSPFBase GEMS Mixed Zone Business],MATCH('VEU-6'!$W9,Scenario,0))</f>
        <v>4.3099999999999996</v>
      </c>
      <c r="CN9" s="236">
        <f>('VEU-6'!$X9/CM9)-(('VEU-6'!$Y9*LF)/'VEU-6'!$J9)</f>
        <v>7.498892500763632E-3</v>
      </c>
      <c r="CO9" s="236">
        <f>CN9*BTLHeat_Business_Regional_Hot*'VEU-6'!$V9</f>
        <v>2.7944247959470637E-2</v>
      </c>
      <c r="CP9" s="236">
        <f>INDEX(Table_6.11[Deemed TCSPFBase GEMS Mixed Zone BUSINESS],MATCH('VEU-6'!$W9,Scenario,0))</f>
        <v>5.52</v>
      </c>
      <c r="CQ9" s="236">
        <f>('VEU-6'!$Z9/CP9)-(('VEU-6'!$Y9*LF)/L9)</f>
        <v>8.0110627939062595E-3</v>
      </c>
      <c r="CR9" s="236">
        <f>CQ9*BTLcool_Business_Regional_Hot*'VEU-6'!$T9</f>
        <v>3.9971998916474676E-2</v>
      </c>
      <c r="CS9" s="236">
        <f>((CO9+CR9)*'VEU-6'!$AA9)</f>
        <v>1.0187437031391797</v>
      </c>
      <c r="CT9" s="242"/>
    </row>
    <row r="10" spans="1:98">
      <c r="A10" s="252" t="s">
        <v>580</v>
      </c>
      <c r="B10" s="252" t="s">
        <v>601</v>
      </c>
      <c r="C10" s="252">
        <v>15.5</v>
      </c>
      <c r="D10" s="252">
        <v>21</v>
      </c>
      <c r="E10" s="252">
        <v>3.6360000000000001</v>
      </c>
      <c r="F10" s="252">
        <v>4.3029999999999999</v>
      </c>
      <c r="G10" s="252">
        <v>4.8400999999999996</v>
      </c>
      <c r="H10" s="252">
        <v>4.7384000000000004</v>
      </c>
      <c r="I10" s="252">
        <v>4.0170000000000003</v>
      </c>
      <c r="J10" s="252">
        <v>4.5880000000000001</v>
      </c>
      <c r="K10" s="252">
        <v>6.52</v>
      </c>
      <c r="L10" s="252">
        <v>6.0190000000000001</v>
      </c>
      <c r="M10" s="252">
        <v>3.7665999999999999</v>
      </c>
      <c r="N10" s="252">
        <v>4.1055000000000001</v>
      </c>
      <c r="O10" s="252" t="s">
        <v>584</v>
      </c>
      <c r="P10" s="253">
        <f t="shared" si="0"/>
        <v>1</v>
      </c>
      <c r="Q10" s="252">
        <v>7.1</v>
      </c>
      <c r="R10" s="252">
        <v>8</v>
      </c>
      <c r="S10" s="253">
        <f>INDEX(Table_6.11[Max Cooling Capacity (kW)],MATCH('VEU-6'!$W10,Scenario,0))</f>
        <v>15.5</v>
      </c>
      <c r="T10" s="253">
        <f>MIN('VEU-6'!$P10*'VEU-6'!$Q10,'VEU-6'!$S10)</f>
        <v>7.1</v>
      </c>
      <c r="U10" s="253">
        <f>INDEX(Table_6.11[Max Heating Capacity (kW)],MATCH('VEU-6'!$W10,Scenario,0))</f>
        <v>21</v>
      </c>
      <c r="V10" s="253">
        <f>MIN('VEU-6'!$P10*'VEU-6'!$R10,'VEU-6'!$U10)</f>
        <v>8</v>
      </c>
      <c r="W10" s="253" t="str">
        <f t="shared" si="1"/>
        <v>(xi)</v>
      </c>
      <c r="X10" s="254">
        <f>INDEX(Table_6.11[],MATCH('VEU-6'!$W10,Scenario,0),MATCH('VEU-6'!$X$5,Table_6.11[#Headers],0))</f>
        <v>0.53339999999999999</v>
      </c>
      <c r="Y10" s="254">
        <f>INDEX(Table_6.11[],MATCH('VEU-6'!$W10,Scenario,0),MATCH('VEU-6'!$Y$5,Table_6.11[#Headers],0))</f>
        <v>0.53339999999999999</v>
      </c>
      <c r="Z10" s="254">
        <f>INDEX(Table_6.11[],MATCH('VEU-6'!$W10,Scenario,0),MATCH('VEU-6'!$Z$5,Table_6.11[#Headers],0))</f>
        <v>0.53339999999999999</v>
      </c>
      <c r="AA10" s="254">
        <f>VLOOKUP('VEU-6'!$W10,Table_6.5[],2,FALSE)</f>
        <v>15</v>
      </c>
      <c r="AB10" s="234" cm="1">
        <f t="array" ref="AB10">INDEX(Table_6.11[],MATCH('VEU-6'!$W10,Scenario,0),MATCH(AB$4,GEMS_2019_Climate_Zone_hspf,0)+2)</f>
        <v>3.43</v>
      </c>
      <c r="AC10" s="234">
        <f>('VEU-6'!$X10/'VEU-6'!$AB10)-(('VEU-6'!$Y10*LF)/'VEU-6'!$E10)</f>
        <v>8.8105341146359484E-3</v>
      </c>
      <c r="AD10" s="234">
        <f>'VEU-6'!$AC10*BTLHeat_Residential_Metro_Mild*'VEU-6'!$V10</f>
        <v>9.2644528322219921E-2</v>
      </c>
      <c r="AE10" s="234">
        <f>INDEX(Table_6.11[Deemed TCSPFBase GEMS Cold Zone],MATCH('VEU-6'!$W10,Scenario,0))</f>
        <v>4.4400000000000004</v>
      </c>
      <c r="AF10" s="234">
        <f>('VEU-6'!$Z10/'VEU-6'!$AE10)-(('VEU-6'!$Y10*LF)/'VEU-6'!$G10)</f>
        <v>9.9308005139495947E-3</v>
      </c>
      <c r="AG10" s="234">
        <f>'VEU-6'!$AF10*BTLcool_Metro_Mild*'VEU-6'!$T10</f>
        <v>1.9009141111781754E-2</v>
      </c>
      <c r="AH10" s="234">
        <f>(('VEU-6'!$AD10+'VEU-6'!$AG10)*'VEU-6'!$AA10)</f>
        <v>1.6748050415100253</v>
      </c>
      <c r="AI10" s="234" cm="1">
        <f t="array" ref="AI10">INDEX(Table_6.11[],MATCH('VEU-6'!$W10,Scenario,0),MATCH(AI$4,GEMS_2019_Climate_Zone_hspf,0)+2)</f>
        <v>3.43</v>
      </c>
      <c r="AJ10" s="234">
        <f>('VEU-6'!$X10/'VEU-6'!$AI10)-(('VEU-6'!$Y10*LF)/'VEU-6'!$E10)</f>
        <v>8.8105341146359484E-3</v>
      </c>
      <c r="AK10" s="234">
        <f>'VEU-6'!$AJ10*BTLHeat_Residential_Metro_Cold*'VEU-6'!$V10</f>
        <v>0.10190616178352523</v>
      </c>
      <c r="AL10" s="234">
        <f>INDEX(Table_6.11[Deemed TCSPFBase GEMS Cold Zone],MATCH('VEU-6'!$W10,Scenario,0))</f>
        <v>4.4400000000000004</v>
      </c>
      <c r="AM10" s="234">
        <f>('VEU-6'!$Z10/'VEU-6'!$AL10)-(('VEU-6'!$Y10*LF)/'VEU-6'!$G10)</f>
        <v>9.9308005139495947E-3</v>
      </c>
      <c r="AN10" s="234">
        <f>'VEU-6'!$AM10*BTLcool_Metro_Cold*'VEU-6'!$T10</f>
        <v>1.9009141111781754E-2</v>
      </c>
      <c r="AO10" s="234">
        <f>(('VEU-6'!$AK10+'VEU-6'!$AN10)*'VEU-6'!$AA10)</f>
        <v>1.8137295434296048</v>
      </c>
      <c r="AP10" s="234" cm="1">
        <f t="array" ref="AP10">INDEX(Table_6.11[],MATCH('VEU-6'!$W10,Scenario,0),MATCH(AP$4,GEMS_2019_Climate_Zone_hspf,0)+2)</f>
        <v>3.43</v>
      </c>
      <c r="AQ10" s="234">
        <f>('VEU-6'!$X10/'VEU-6'!$AP10)-(('VEU-6'!$Y10*LF)/'VEU-6'!$E10)</f>
        <v>8.8105341146359484E-3</v>
      </c>
      <c r="AR10" s="234">
        <f>'VEU-6'!$AQ10*BTLHeat_Residential_Regional_Mild*'VEU-6'!$V10</f>
        <v>9.2644528322219921E-2</v>
      </c>
      <c r="AS10" s="234">
        <f>INDEX(Table_6.11[Deemed TCSPFBase GEMS Cold Zone],MATCH('VEU-6'!$W10,Scenario,0))</f>
        <v>4.4400000000000004</v>
      </c>
      <c r="AT10" s="234">
        <f>('VEU-6'!$Z10/'VEU-6'!$AS10)-(('VEU-6'!$Y10*LF)/'VEU-6'!$G10)</f>
        <v>9.9308005139495947E-3</v>
      </c>
      <c r="AU10" s="234">
        <f>'VEU-6'!$AT10*BTLcool_Regional_Mild*'VEU-6'!$T10</f>
        <v>1.9009141111781754E-2</v>
      </c>
      <c r="AV10" s="234">
        <f>(('VEU-6'!$AR10+'VEU-6'!$AU10)*'VEU-6'!$AA10)</f>
        <v>1.6748050415100253</v>
      </c>
      <c r="AW10" s="234" cm="1">
        <f t="array" ref="AW10">INDEX(Table_6.11[],MATCH('VEU-6'!$W10,Scenario,0),MATCH(AW$4,GEMS_2019_Climate_Zone_hspf,0)+2)</f>
        <v>3.43</v>
      </c>
      <c r="AX10" s="234">
        <f>('VEU-6'!$X10/'VEU-6'!$AW10)-(('VEU-6'!$Y10*LF)/E10)</f>
        <v>8.8105341146359484E-3</v>
      </c>
      <c r="AY10" s="234">
        <f>'VEU-6'!$AX10*BTLHeat_Residential_Regional_Cold*'VEU-6'!$V10</f>
        <v>0.10190616178352523</v>
      </c>
      <c r="AZ10" s="234" cm="1">
        <f t="array" ref="AZ10">INDEX(Table_6.11[],MATCH('VEU-6'!$W10,Scenario,0),MATCH(AW$4,GEMS_2019_Climate_Zone_TCSPF,0)+5)</f>
        <v>4.3099999999999996</v>
      </c>
      <c r="BA10" s="234">
        <f>('VEU-6'!$Z10/'VEU-6'!$AZ10)-(('VEU-6'!$Y10*LF)/G10)</f>
        <v>1.3554366074870178E-2</v>
      </c>
      <c r="BB10" s="234">
        <f>'VEU-6'!$BA10*BTLcool_Regional_Cold*'VEU-6'!$T10</f>
        <v>2.5945225365873497E-2</v>
      </c>
      <c r="BC10" s="234">
        <f>(('VEU-6'!$AY10+'VEU-6'!$BB10)*'VEU-6'!$AA10)</f>
        <v>1.9177708072409809</v>
      </c>
      <c r="BD10" s="234" cm="1">
        <f t="array" ref="BD10">INDEX(Table_6.11[],MATCH('VEU-6'!$W10,Scenario,0),MATCH(BD$4,GEMS_2019_Climate_Zone_hspf,0)+2)</f>
        <v>3.98</v>
      </c>
      <c r="BE10" s="234">
        <f>('VEU-6'!$X10/'VEU-6'!$BD10)-(('VEU-6'!$Y10*LF)/F10)</f>
        <v>1.0060072614992227E-2</v>
      </c>
      <c r="BF10" s="234">
        <f>'VEU-6'!$BE10*BTLHeat_Residential_Regional_Hot*'VEU-6'!$V10</f>
        <v>5.8034546901367154E-2</v>
      </c>
      <c r="BG10" s="234">
        <f>INDEX(Table_6.11[Deemed TCSPFBase GEMS Mixed Zone],MATCH('VEU-6'!$W10,Scenario,0))</f>
        <v>4.3499999999999996</v>
      </c>
      <c r="BH10" s="234">
        <f>('VEU-6'!$Z10/'VEU-6'!$BG10)-(('VEU-6'!$Y10*LF)/H10)</f>
        <v>1.0051045893565133E-2</v>
      </c>
      <c r="BI10" s="234">
        <f>'VEU-6'!$BH10*BTLcool_Regional_Hot*'VEU-6'!$T10</f>
        <v>3.0657298142716623E-2</v>
      </c>
      <c r="BJ10" s="235">
        <f>(('VEU-6'!$BF10+'VEU-6'!$BI10)*'VEU-6'!$AA10)</f>
        <v>1.3303776756612566</v>
      </c>
      <c r="BK10" s="236">
        <f>INDEX(Table_6.11[Deemed HSPFBase GEMS Cold Zone Business],MATCH('VEU-6'!$W10,Scenario,0))</f>
        <v>3.77</v>
      </c>
      <c r="BL10" s="236">
        <f>('VEU-6'!$X10/BK10)-(('VEU-6'!$Y10*LF)/'VEU-6'!$I10)</f>
        <v>8.6997501995828286E-3</v>
      </c>
      <c r="BM10" s="236">
        <f>BL10*BTLHeat_Business_Metro_Mild*'VEU-6'!$V10</f>
        <v>5.4745788055934823E-2</v>
      </c>
      <c r="BN10" s="236">
        <f>INDEX(Table_6.11[Deemed TCSPFBase GEMS Cold Zone BUSINESS],MATCH('VEU-6'!$W10,Scenario,0))</f>
        <v>5.98</v>
      </c>
      <c r="BO10" s="236">
        <f>('VEU-6'!$Z10/BN10)-(('VEU-6'!$Y10*LF)/'VEU-6'!$K10)</f>
        <v>7.3875084637954613E-3</v>
      </c>
      <c r="BP10" s="236">
        <f>BO10*BTLCool_Business_Metro_Mild*'VEU-6'!$T10</f>
        <v>3.763381499169003E-2</v>
      </c>
      <c r="BQ10" s="236">
        <f>((BM10+BP10)*'VEU-6'!$AA10)</f>
        <v>1.3856940457143727</v>
      </c>
      <c r="BR10" s="236">
        <f>INDEX(Table_6.11[Deemed HSPFBase GEMS Cold Zone Business],MATCH('VEU-6'!$W10,Scenario,0))</f>
        <v>3.77</v>
      </c>
      <c r="BS10" s="236">
        <f>('VEU-6'!$X10/BR10)-(('VEU-6'!$Y10*LF)/'VEU-6'!$I10)</f>
        <v>8.6997501995828286E-3</v>
      </c>
      <c r="BT10" s="236">
        <f>BS10*BTLHeat_Business_Metro_Cold*'VEU-6'!$V10</f>
        <v>6.0216190981432507E-2</v>
      </c>
      <c r="BU10" s="236">
        <f>INDEX(Table_6.11[Deemed TCSPFBase GEMS Cold Zone BUSINESS],MATCH('VEU-6'!$W10,Scenario,0))</f>
        <v>5.98</v>
      </c>
      <c r="BV10" s="236">
        <f>('VEU-6'!$Z10/'VEU-6'!$AL10)-(('VEU-6'!$Y10*LF)/'VEU-6'!$K10)</f>
        <v>3.8325319184214862E-2</v>
      </c>
      <c r="BW10" s="236" cm="1">
        <f t="array" ref="BW10">BV10*BTLcool_Business_Metro_Cold*'VEU-6'!$T10</f>
        <v>0.19523875725418657</v>
      </c>
      <c r="BX10" s="236">
        <f>((BT10+BW10)*'VEU-6'!$AA10)</f>
        <v>3.8318242235342863</v>
      </c>
      <c r="BY10" s="236">
        <f>INDEX(Table_6.11[Deemed HSPFBase GEMS Cold Zone Business],MATCH('VEU-6'!$W10,Scenario,0))</f>
        <v>3.77</v>
      </c>
      <c r="BZ10" s="236">
        <f>('VEU-6'!$X10/BY10)-(('VEU-6'!$Y10*LF)/'VEU-6'!$I10)</f>
        <v>8.6997501995828286E-3</v>
      </c>
      <c r="CA10" s="236">
        <f>BZ10*BTLHeat_Business_Regional_Mild*'VEU-6'!$V10</f>
        <v>5.4745788055934823E-2</v>
      </c>
      <c r="CB10" s="236">
        <f>INDEX(Table_6.11[Deemed TCSPFBase GEMS Cold Zone BUSINESS],MATCH('VEU-6'!$W10,Scenario,0))</f>
        <v>5.98</v>
      </c>
      <c r="CC10" s="236">
        <f>('VEU-6'!$Z10/CB10)-(('VEU-6'!$Y10*LF)/'VEU-6'!$K10)</f>
        <v>7.3875084637954613E-3</v>
      </c>
      <c r="CD10" s="236">
        <f>CC10*BTLcool_Business_Regional_Mild*'VEU-6'!$T10</f>
        <v>3.763381499169003E-2</v>
      </c>
      <c r="CE10" s="236">
        <f>((CA10+CD10)*'VEU-6'!$AA10)</f>
        <v>1.3856940457143727</v>
      </c>
      <c r="CF10" s="236">
        <f>INDEX(Table_6.11[Deemed HSPFBase GEMS Cold Zone Business],MATCH('VEU-6'!$W10,Scenario,0))</f>
        <v>3.77</v>
      </c>
      <c r="CG10" s="236">
        <f>('VEU-6'!$X10/CF10)-(('VEU-6'!$Y10*LF)/'VEU-6'!$I10)</f>
        <v>8.6997501995828286E-3</v>
      </c>
      <c r="CH10" s="236">
        <f>CG10*BTLHeat_Business_Regional_Cold*'VEU-6'!$V10</f>
        <v>6.0216190981432507E-2</v>
      </c>
      <c r="CI10" s="236">
        <f>INDEX(Table_6.11[Deemed TCSPFBase GEMS Cold Zone BUSINESS],MATCH('VEU-6'!$W10,Scenario,0))</f>
        <v>5.98</v>
      </c>
      <c r="CJ10" s="236">
        <f>('VEU-6'!$Z10/CI10)-(('VEU-6'!$Y10*LF)/'VEU-6'!$K10)</f>
        <v>7.3875084637954613E-3</v>
      </c>
      <c r="CK10" s="236">
        <f>CJ10*BTLcool_Business_Regional_Cold*'VEU-6'!$T10</f>
        <v>3.763381499169003E-2</v>
      </c>
      <c r="CL10" s="236">
        <f>((CH10+CK10)*'VEU-6'!$AA10)</f>
        <v>1.4677500895968381</v>
      </c>
      <c r="CM10" s="236">
        <f>INDEX(Table_6.11[Deemed HSPFBase GEMS Mixed Zone Business],MATCH('VEU-6'!$W10,Scenario,0))</f>
        <v>4.3099999999999996</v>
      </c>
      <c r="CN10" s="236">
        <f>('VEU-6'!$X10/CM10)-(('VEU-6'!$Y10*LF)/'VEU-6'!$J10)</f>
        <v>7.498892500763632E-3</v>
      </c>
      <c r="CO10" s="236">
        <f>CN10*BTLHeat_Business_Regional_Hot*'VEU-6'!$V10</f>
        <v>3.5484759313613508E-2</v>
      </c>
      <c r="CP10" s="236">
        <f>INDEX(Table_6.11[Deemed TCSPFBase GEMS Mixed Zone BUSINESS],MATCH('VEU-6'!$W10,Scenario,0))</f>
        <v>5.52</v>
      </c>
      <c r="CQ10" s="236">
        <f>('VEU-6'!$Z10/CP10)-(('VEU-6'!$Y10*LF)/L10)</f>
        <v>8.0110627939062595E-3</v>
      </c>
      <c r="CR10" s="236">
        <f>CQ10*BTLcool_Business_Regional_Hot*'VEU-6'!$T10</f>
        <v>5.0678784340530393E-2</v>
      </c>
      <c r="CS10" s="236">
        <f>((CO10+CR10)*'VEU-6'!$AA10)</f>
        <v>1.2924531548121585</v>
      </c>
      <c r="CT10" s="242"/>
    </row>
    <row r="11" spans="1:98">
      <c r="A11" s="252" t="s">
        <v>580</v>
      </c>
      <c r="B11" s="252" t="s">
        <v>601</v>
      </c>
      <c r="C11" s="252">
        <v>15.5</v>
      </c>
      <c r="D11" s="252">
        <v>21</v>
      </c>
      <c r="E11" s="252">
        <v>3.6360000000000001</v>
      </c>
      <c r="F11" s="252">
        <v>4.3029999999999999</v>
      </c>
      <c r="G11" s="252">
        <v>4.8400999999999996</v>
      </c>
      <c r="H11" s="252">
        <v>4.7384000000000004</v>
      </c>
      <c r="I11" s="252">
        <v>4.0170000000000003</v>
      </c>
      <c r="J11" s="252">
        <v>4.5880000000000001</v>
      </c>
      <c r="K11" s="252">
        <v>6.52</v>
      </c>
      <c r="L11" s="252">
        <v>6.0190000000000001</v>
      </c>
      <c r="M11" s="252">
        <v>3.7665999999999999</v>
      </c>
      <c r="N11" s="252">
        <v>4.1055000000000001</v>
      </c>
      <c r="O11" s="252" t="s">
        <v>583</v>
      </c>
      <c r="P11" s="253">
        <f t="shared" si="0"/>
        <v>1</v>
      </c>
      <c r="Q11" s="252">
        <v>8</v>
      </c>
      <c r="R11" s="252">
        <v>9</v>
      </c>
      <c r="S11" s="253">
        <f>INDEX(Table_6.11[Max Cooling Capacity (kW)],MATCH('VEU-6'!$W11,Scenario,0))</f>
        <v>15.5</v>
      </c>
      <c r="T11" s="253">
        <f>MIN('VEU-6'!$P11*'VEU-6'!$Q11,'VEU-6'!$S11)</f>
        <v>8</v>
      </c>
      <c r="U11" s="253">
        <f>INDEX(Table_6.11[Max Heating Capacity (kW)],MATCH('VEU-6'!$W11,Scenario,0))</f>
        <v>21</v>
      </c>
      <c r="V11" s="253">
        <f>MIN('VEU-6'!$P11*'VEU-6'!$R11,'VEU-6'!$U11)</f>
        <v>9</v>
      </c>
      <c r="W11" s="253" t="str">
        <f t="shared" si="1"/>
        <v>(xi)</v>
      </c>
      <c r="X11" s="254">
        <f>INDEX(Table_6.11[],MATCH('VEU-6'!$W11,Scenario,0),MATCH('VEU-6'!$X$5,Table_6.11[#Headers],0))</f>
        <v>0.53339999999999999</v>
      </c>
      <c r="Y11" s="254">
        <f>INDEX(Table_6.11[],MATCH('VEU-6'!$W11,Scenario,0),MATCH('VEU-6'!$Y$5,Table_6.11[#Headers],0))</f>
        <v>0.53339999999999999</v>
      </c>
      <c r="Z11" s="254">
        <f>INDEX(Table_6.11[],MATCH('VEU-6'!$W11,Scenario,0),MATCH('VEU-6'!$Z$5,Table_6.11[#Headers],0))</f>
        <v>0.53339999999999999</v>
      </c>
      <c r="AA11" s="254">
        <f>VLOOKUP('VEU-6'!$W11,Table_6.5[],2,FALSE)</f>
        <v>15</v>
      </c>
      <c r="AB11" s="237" cm="1">
        <f t="array" ref="AB11">INDEX(Table_6.11[],MATCH('VEU-6'!$W11,Scenario,0),MATCH(AB$4,GEMS_2019_Climate_Zone_hspf,0)+2)</f>
        <v>3.43</v>
      </c>
      <c r="AC11" s="237">
        <f>('VEU-6'!$X11/'VEU-6'!$AB11)-(('VEU-6'!$Y11*LF)/'VEU-6'!$E11)</f>
        <v>8.8105341146359484E-3</v>
      </c>
      <c r="AD11" s="237">
        <f>'VEU-6'!$AC11*BTLHeat_Residential_Metro_Mild*'VEU-6'!$V11</f>
        <v>0.10422509436249741</v>
      </c>
      <c r="AE11" s="237">
        <f>INDEX(Table_6.11[Deemed TCSPFBase GEMS Cold Zone],MATCH('VEU-6'!$W11,Scenario,0))</f>
        <v>4.4400000000000004</v>
      </c>
      <c r="AF11" s="237">
        <f>('VEU-6'!$Z11/'VEU-6'!$AE11)-(('VEU-6'!$Y11*LF)/'VEU-6'!$G11)</f>
        <v>9.9308005139495947E-3</v>
      </c>
      <c r="AG11" s="237">
        <f>'VEU-6'!$AF11*BTLcool_Metro_Mild*'VEU-6'!$T11</f>
        <v>2.1418750548486486E-2</v>
      </c>
      <c r="AH11" s="237">
        <f>(('VEU-6'!$AD11+'VEU-6'!$AG11)*'VEU-6'!$AA11)</f>
        <v>1.8846576736647584</v>
      </c>
      <c r="AI11" s="237" cm="1">
        <f t="array" ref="AI11">INDEX(Table_6.11[],MATCH('VEU-6'!$W11,Scenario,0),MATCH(AI$4,GEMS_2019_Climate_Zone_hspf,0)+2)</f>
        <v>3.43</v>
      </c>
      <c r="AJ11" s="237">
        <f>('VEU-6'!$X11/'VEU-6'!$AI11)-(('VEU-6'!$Y11*LF)/'VEU-6'!$E11)</f>
        <v>8.8105341146359484E-3</v>
      </c>
      <c r="AK11" s="237">
        <f>'VEU-6'!$AJ11*BTLHeat_Residential_Metro_Cold*'VEU-6'!$V11</f>
        <v>0.11464443200646587</v>
      </c>
      <c r="AL11" s="237">
        <f>INDEX(Table_6.11[Deemed TCSPFBase GEMS Cold Zone],MATCH('VEU-6'!$W11,Scenario,0))</f>
        <v>4.4400000000000004</v>
      </c>
      <c r="AM11" s="237">
        <f>('VEU-6'!$Z11/'VEU-6'!$AL11)-(('VEU-6'!$Y11*LF)/'VEU-6'!$G11)</f>
        <v>9.9308005139495947E-3</v>
      </c>
      <c r="AN11" s="237">
        <f>'VEU-6'!$AM11*BTLcool_Metro_Cold*'VEU-6'!$T11</f>
        <v>2.1418750548486486E-2</v>
      </c>
      <c r="AO11" s="237">
        <f>(('VEU-6'!$AK11+'VEU-6'!$AN11)*'VEU-6'!$AA11)</f>
        <v>2.0409477383242853</v>
      </c>
      <c r="AP11" s="237" cm="1">
        <f t="array" ref="AP11">INDEX(Table_6.11[],MATCH('VEU-6'!$W11,Scenario,0),MATCH(AP$4,GEMS_2019_Climate_Zone_hspf,0)+2)</f>
        <v>3.43</v>
      </c>
      <c r="AQ11" s="237">
        <f>('VEU-6'!$X11/'VEU-6'!$AP11)-(('VEU-6'!$Y11*LF)/'VEU-6'!$E11)</f>
        <v>8.8105341146359484E-3</v>
      </c>
      <c r="AR11" s="237">
        <f>'VEU-6'!$AQ11*BTLHeat_Residential_Regional_Mild*'VEU-6'!$V11</f>
        <v>0.10422509436249741</v>
      </c>
      <c r="AS11" s="237">
        <f>INDEX(Table_6.11[Deemed TCSPFBase GEMS Cold Zone],MATCH('VEU-6'!$W11,Scenario,0))</f>
        <v>4.4400000000000004</v>
      </c>
      <c r="AT11" s="237">
        <f>('VEU-6'!$Z11/'VEU-6'!$AS11)-(('VEU-6'!$Y11*LF)/'VEU-6'!$G11)</f>
        <v>9.9308005139495947E-3</v>
      </c>
      <c r="AU11" s="237">
        <f>'VEU-6'!$AT11*BTLcool_Regional_Mild*'VEU-6'!$T11</f>
        <v>2.1418750548486486E-2</v>
      </c>
      <c r="AV11" s="237">
        <f>(('VEU-6'!$AR11+'VEU-6'!$AU11)*'VEU-6'!$AA11)</f>
        <v>1.8846576736647584</v>
      </c>
      <c r="AW11" s="237" cm="1">
        <f t="array" ref="AW11">INDEX(Table_6.11[],MATCH('VEU-6'!$W11,Scenario,0),MATCH(AW$4,GEMS_2019_Climate_Zone_hspf,0)+2)</f>
        <v>3.43</v>
      </c>
      <c r="AX11" s="237">
        <f>('VEU-6'!$X11/'VEU-6'!$AW11)-(('VEU-6'!$Y11*LF)/E11)</f>
        <v>8.8105341146359484E-3</v>
      </c>
      <c r="AY11" s="237">
        <f>'VEU-6'!$AX11*BTLHeat_Residential_Regional_Cold*'VEU-6'!$V11</f>
        <v>0.11464443200646587</v>
      </c>
      <c r="AZ11" s="237" cm="1">
        <f t="array" ref="AZ11">INDEX(Table_6.11[],MATCH('VEU-6'!$W11,Scenario,0),MATCH(AW$4,GEMS_2019_Climate_Zone_TCSPF,0)+5)</f>
        <v>4.3099999999999996</v>
      </c>
      <c r="BA11" s="237">
        <f>('VEU-6'!$Z11/'VEU-6'!$AZ11)-(('VEU-6'!$Y11*LF)/G11)</f>
        <v>1.3554366074870178E-2</v>
      </c>
      <c r="BB11" s="237">
        <f>'VEU-6'!$BA11*BTLcool_Regional_Cold*'VEU-6'!$T11</f>
        <v>2.9234056750279999E-2</v>
      </c>
      <c r="BC11" s="237">
        <f>(('VEU-6'!$AY11+'VEU-6'!$BB11)*'VEU-6'!$AA11)</f>
        <v>2.1581773313511881</v>
      </c>
      <c r="BD11" s="237" cm="1">
        <f t="array" ref="BD11">INDEX(Table_6.11[],MATCH('VEU-6'!$W11,Scenario,0),MATCH(BD$4,GEMS_2019_Climate_Zone_hspf,0)+2)</f>
        <v>3.98</v>
      </c>
      <c r="BE11" s="237">
        <f>('VEU-6'!$X11/'VEU-6'!$BD11)-(('VEU-6'!$Y11*LF)/F11)</f>
        <v>1.0060072614992227E-2</v>
      </c>
      <c r="BF11" s="237">
        <f>'VEU-6'!$BE11*BTLHeat_Residential_Regional_Hot*'VEU-6'!$V11</f>
        <v>6.5288865264038043E-2</v>
      </c>
      <c r="BG11" s="237">
        <f>INDEX(Table_6.11[Deemed TCSPFBase GEMS Mixed Zone],MATCH('VEU-6'!$W11,Scenario,0))</f>
        <v>4.3499999999999996</v>
      </c>
      <c r="BH11" s="237">
        <f>('VEU-6'!$Z11/'VEU-6'!$BG11)-(('VEU-6'!$Y11*LF)/H11)</f>
        <v>1.0051045893565133E-2</v>
      </c>
      <c r="BI11" s="237">
        <f>'VEU-6'!$BH11*BTLcool_Regional_Hot*'VEU-6'!$T11</f>
        <v>3.4543434527004646E-2</v>
      </c>
      <c r="BJ11" s="236">
        <f>(('VEU-6'!$BF11+'VEU-6'!$BI11)*'VEU-6'!$AA11)</f>
        <v>1.4974844968656402</v>
      </c>
      <c r="BK11" s="236">
        <f>INDEX(Table_6.11[Deemed HSPFBase GEMS Cold Zone Business],MATCH('VEU-6'!$W11,Scenario,0))</f>
        <v>3.77</v>
      </c>
      <c r="BL11" s="236">
        <f>('VEU-6'!$X11/BK11)-(('VEU-6'!$Y11*LF)/'VEU-6'!$I11)</f>
        <v>8.6997501995828286E-3</v>
      </c>
      <c r="BM11" s="236">
        <f>BL11*BTLHeat_Business_Metro_Mild*'VEU-6'!$V11</f>
        <v>6.1589011562926677E-2</v>
      </c>
      <c r="BN11" s="236">
        <f>INDEX(Table_6.11[Deemed TCSPFBase GEMS Cold Zone BUSINESS],MATCH('VEU-6'!$W11,Scenario,0))</f>
        <v>5.98</v>
      </c>
      <c r="BO11" s="236">
        <f>('VEU-6'!$Z11/BN11)-(('VEU-6'!$Y11*LF)/'VEU-6'!$K11)</f>
        <v>7.3875084637954613E-3</v>
      </c>
      <c r="BP11" s="236">
        <f>BO11*BTLCool_Business_Metro_Mild*'VEU-6'!$T11</f>
        <v>4.2404298582185952E-2</v>
      </c>
      <c r="BQ11" s="236">
        <f>((BM11+BP11)*'VEU-6'!$AA11)</f>
        <v>1.5598996521766892</v>
      </c>
      <c r="BR11" s="236">
        <f>INDEX(Table_6.11[Deemed HSPFBase GEMS Cold Zone Business],MATCH('VEU-6'!$W11,Scenario,0))</f>
        <v>3.77</v>
      </c>
      <c r="BS11" s="236">
        <f>('VEU-6'!$X11/BR11)-(('VEU-6'!$Y11*LF)/'VEU-6'!$I11)</f>
        <v>8.6997501995828286E-3</v>
      </c>
      <c r="BT11" s="236">
        <f>BS11*BTLHeat_Business_Metro_Cold*'VEU-6'!$V11</f>
        <v>6.7743214854111569E-2</v>
      </c>
      <c r="BU11" s="236">
        <f>INDEX(Table_6.11[Deemed TCSPFBase GEMS Cold Zone BUSINESS],MATCH('VEU-6'!$W11,Scenario,0))</f>
        <v>5.98</v>
      </c>
      <c r="BV11" s="236">
        <f>('VEU-6'!$Z11/'VEU-6'!$AL11)-(('VEU-6'!$Y11*LF)/'VEU-6'!$K11)</f>
        <v>3.8325319184214862E-2</v>
      </c>
      <c r="BW11" s="236" cm="1">
        <f t="array" ref="BW11">BV11*BTLcool_Business_Metro_Cold*'VEU-6'!$T11</f>
        <v>0.21998733211739332</v>
      </c>
      <c r="BX11" s="236">
        <f>((BT11+BW11)*'VEU-6'!$AA11)</f>
        <v>4.3159582045725733</v>
      </c>
      <c r="BY11" s="236">
        <f>INDEX(Table_6.11[Deemed HSPFBase GEMS Cold Zone Business],MATCH('VEU-6'!$W11,Scenario,0))</f>
        <v>3.77</v>
      </c>
      <c r="BZ11" s="236">
        <f>('VEU-6'!$X11/BY11)-(('VEU-6'!$Y11*LF)/'VEU-6'!$I11)</f>
        <v>8.6997501995828286E-3</v>
      </c>
      <c r="CA11" s="236">
        <f>BZ11*BTLHeat_Business_Regional_Mild*'VEU-6'!$V11</f>
        <v>6.1589011562926677E-2</v>
      </c>
      <c r="CB11" s="236">
        <f>INDEX(Table_6.11[Deemed TCSPFBase GEMS Cold Zone BUSINESS],MATCH('VEU-6'!$W11,Scenario,0))</f>
        <v>5.98</v>
      </c>
      <c r="CC11" s="236">
        <f>('VEU-6'!$Z11/CB11)-(('VEU-6'!$Y11*LF)/'VEU-6'!$K11)</f>
        <v>7.3875084637954613E-3</v>
      </c>
      <c r="CD11" s="236">
        <f>CC11*BTLcool_Business_Regional_Mild*'VEU-6'!$T11</f>
        <v>4.2404298582185952E-2</v>
      </c>
      <c r="CE11" s="236">
        <f>((CA11+CD11)*'VEU-6'!$AA11)</f>
        <v>1.5598996521766892</v>
      </c>
      <c r="CF11" s="236">
        <f>INDEX(Table_6.11[Deemed HSPFBase GEMS Cold Zone Business],MATCH('VEU-6'!$W11,Scenario,0))</f>
        <v>3.77</v>
      </c>
      <c r="CG11" s="236">
        <f>('VEU-6'!$X11/CF11)-(('VEU-6'!$Y11*LF)/'VEU-6'!$I11)</f>
        <v>8.6997501995828286E-3</v>
      </c>
      <c r="CH11" s="236">
        <f>CG11*BTLHeat_Business_Regional_Cold*'VEU-6'!$V11</f>
        <v>6.7743214854111569E-2</v>
      </c>
      <c r="CI11" s="236">
        <f>INDEX(Table_6.11[Deemed TCSPFBase GEMS Cold Zone BUSINESS],MATCH('VEU-6'!$W11,Scenario,0))</f>
        <v>5.98</v>
      </c>
      <c r="CJ11" s="236">
        <f>('VEU-6'!$Z11/CI11)-(('VEU-6'!$Y11*LF)/'VEU-6'!$K11)</f>
        <v>7.3875084637954613E-3</v>
      </c>
      <c r="CK11" s="236">
        <f>CJ11*BTLcool_Business_Regional_Cold*'VEU-6'!$T11</f>
        <v>4.2404298582185952E-2</v>
      </c>
      <c r="CL11" s="236">
        <f>((CH11+CK11)*'VEU-6'!$AA11)</f>
        <v>1.652212701544463</v>
      </c>
      <c r="CM11" s="236">
        <f>INDEX(Table_6.11[Deemed HSPFBase GEMS Mixed Zone Business],MATCH('VEU-6'!$W11,Scenario,0))</f>
        <v>4.3099999999999996</v>
      </c>
      <c r="CN11" s="236">
        <f>('VEU-6'!$X11/CM11)-(('VEU-6'!$Y11*LF)/'VEU-6'!$J11)</f>
        <v>7.498892500763632E-3</v>
      </c>
      <c r="CO11" s="236">
        <f>CN11*BTLHeat_Business_Regional_Hot*'VEU-6'!$V11</f>
        <v>3.9920354227815195E-2</v>
      </c>
      <c r="CP11" s="236">
        <f>INDEX(Table_6.11[Deemed TCSPFBase GEMS Mixed Zone BUSINESS],MATCH('VEU-6'!$W11,Scenario,0))</f>
        <v>5.52</v>
      </c>
      <c r="CQ11" s="236">
        <f>('VEU-6'!$Z11/CP11)-(('VEU-6'!$Y11*LF)/L11)</f>
        <v>8.0110627939062595E-3</v>
      </c>
      <c r="CR11" s="236">
        <f>CQ11*BTLcool_Business_Regional_Hot*'VEU-6'!$T11</f>
        <v>5.7102855594963822E-2</v>
      </c>
      <c r="CS11" s="236">
        <f>((CO11+CR11)*'VEU-6'!$AA11)</f>
        <v>1.4553481473416852</v>
      </c>
      <c r="CT11" s="242"/>
    </row>
    <row r="12" spans="1:98">
      <c r="A12" s="239"/>
      <c r="B12" s="239"/>
      <c r="C12" s="239"/>
      <c r="D12" s="239"/>
      <c r="E12" s="239"/>
      <c r="F12" s="239"/>
      <c r="G12" s="239"/>
      <c r="H12" s="239"/>
      <c r="I12" s="239"/>
      <c r="J12" s="239"/>
      <c r="K12" s="239"/>
      <c r="L12" s="239"/>
      <c r="M12" s="239"/>
      <c r="N12" s="239"/>
      <c r="O12" s="239"/>
      <c r="P12" s="239"/>
      <c r="Q12" s="239"/>
      <c r="R12" s="239"/>
      <c r="S12" s="239"/>
      <c r="T12" s="239"/>
      <c r="U12" s="239"/>
      <c r="V12" s="239"/>
      <c r="W12" s="239"/>
      <c r="X12" s="239"/>
      <c r="Y12" s="239"/>
      <c r="Z12" s="239"/>
      <c r="AA12" s="239"/>
      <c r="AB12" s="239"/>
      <c r="AC12" s="239"/>
      <c r="AD12" s="239"/>
      <c r="AE12" s="239"/>
      <c r="AF12" s="239"/>
      <c r="AG12" s="239"/>
      <c r="AH12" s="239"/>
      <c r="AI12" s="239"/>
      <c r="AJ12" s="239"/>
      <c r="AK12" s="239"/>
      <c r="AL12" s="239"/>
      <c r="AM12" s="239"/>
      <c r="AN12" s="239"/>
      <c r="AO12" s="239"/>
      <c r="AP12" s="239"/>
      <c r="AQ12" s="239"/>
      <c r="AR12" s="239"/>
      <c r="AS12" s="239"/>
      <c r="AT12" s="239"/>
      <c r="AU12" s="239"/>
      <c r="AV12" s="239"/>
      <c r="AW12" s="239"/>
      <c r="AX12" s="239"/>
      <c r="AY12" s="239"/>
      <c r="AZ12" s="239"/>
      <c r="BA12" s="239"/>
      <c r="BB12" s="239"/>
      <c r="BC12" s="239"/>
      <c r="BD12" s="239"/>
      <c r="BE12" s="239"/>
      <c r="BF12" s="239"/>
      <c r="BG12" s="239"/>
      <c r="BH12" s="239"/>
      <c r="BI12" s="239"/>
      <c r="BJ12" s="239"/>
      <c r="BK12" s="239"/>
      <c r="BL12" s="239"/>
      <c r="BM12" s="239"/>
      <c r="BN12" s="239"/>
      <c r="BO12" s="239"/>
      <c r="BP12" s="239"/>
      <c r="BQ12" s="239"/>
      <c r="BR12" s="239"/>
      <c r="BS12" s="239"/>
      <c r="BT12" s="239"/>
      <c r="BU12" s="239"/>
      <c r="BV12" s="239"/>
      <c r="BW12" s="239"/>
      <c r="BX12" s="239"/>
      <c r="BY12" s="239"/>
      <c r="BZ12" s="239"/>
      <c r="CA12" s="239"/>
      <c r="CB12" s="239"/>
      <c r="CC12" s="239"/>
      <c r="CD12" s="239"/>
      <c r="CE12" s="239"/>
      <c r="CF12" s="239"/>
      <c r="CG12" s="239"/>
      <c r="CH12" s="239"/>
      <c r="CI12" s="239"/>
      <c r="CJ12" s="239"/>
      <c r="CK12" s="239"/>
      <c r="CL12" s="239"/>
      <c r="CM12" s="239"/>
      <c r="CN12" s="239"/>
      <c r="CO12" s="239"/>
      <c r="CP12" s="239"/>
      <c r="CQ12" s="239"/>
      <c r="CR12" s="239"/>
      <c r="CS12" s="240"/>
    </row>
  </sheetData>
  <mergeCells count="26">
    <mergeCell ref="AB4:AH4"/>
    <mergeCell ref="AI4:AO4"/>
    <mergeCell ref="AP4:AV4"/>
    <mergeCell ref="AW4:BC4"/>
    <mergeCell ref="BD4:BJ4"/>
    <mergeCell ref="AB1:BJ1"/>
    <mergeCell ref="BK1:CS1"/>
    <mergeCell ref="BK2:BX2"/>
    <mergeCell ref="BY2:CS2"/>
    <mergeCell ref="BK3:BQ3"/>
    <mergeCell ref="BR3:BX3"/>
    <mergeCell ref="BY3:CE3"/>
    <mergeCell ref="CF3:CL3"/>
    <mergeCell ref="CM3:CS3"/>
    <mergeCell ref="AB2:AO2"/>
    <mergeCell ref="AP2:BJ2"/>
    <mergeCell ref="AB3:AH3"/>
    <mergeCell ref="AI3:AO3"/>
    <mergeCell ref="AP3:AV3"/>
    <mergeCell ref="AW3:BC3"/>
    <mergeCell ref="BD3:BJ3"/>
    <mergeCell ref="BK4:BQ4"/>
    <mergeCell ref="BR4:BX4"/>
    <mergeCell ref="BY4:CE4"/>
    <mergeCell ref="CF4:CL4"/>
    <mergeCell ref="CM4:CS4"/>
  </mergeCells>
  <phoneticPr fontId="14" type="noConversion"/>
  <dataValidations count="1">
    <dataValidation type="list" allowBlank="1" showInputMessage="1" showErrorMessage="1" sqref="W6:W11" xr:uid="{D978A170-CBC2-4308-913D-4C4312D4F7E1}">
      <formula1>Scenario</formula1>
    </dataValidation>
  </dataValidations>
  <pageMargins left="0.7" right="0.7" top="0.75" bottom="0.75" header="0.3" footer="0.3"/>
  <pageSetup orientation="portrait"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A798D3-5A66-4886-A4D2-34108BCB8500}">
  <sheetPr codeName="Sheet8">
    <tabColor theme="1"/>
  </sheetPr>
  <dimension ref="B2:D14"/>
  <sheetViews>
    <sheetView workbookViewId="0">
      <selection activeCell="C26" sqref="C26"/>
    </sheetView>
  </sheetViews>
  <sheetFormatPr defaultColWidth="8.76953125" defaultRowHeight="14.75"/>
  <cols>
    <col min="1" max="1" width="7.08984375" style="65" customWidth="1"/>
    <col min="2" max="2" width="3.6796875" style="65" bestFit="1" customWidth="1"/>
    <col min="3" max="3" width="70.453125" style="65" customWidth="1"/>
    <col min="4" max="4" width="79.54296875" style="65" customWidth="1"/>
    <col min="5" max="16384" width="8.76953125" style="65"/>
  </cols>
  <sheetData>
    <row r="2" spans="2:4">
      <c r="B2" s="98" t="s">
        <v>399</v>
      </c>
      <c r="C2" s="98" t="s">
        <v>415</v>
      </c>
      <c r="D2" s="98" t="s">
        <v>51</v>
      </c>
    </row>
    <row r="3" spans="2:4" ht="29.5">
      <c r="B3" s="158" t="s">
        <v>388</v>
      </c>
      <c r="C3" s="157" t="s">
        <v>708</v>
      </c>
      <c r="D3" s="38" t="s">
        <v>709</v>
      </c>
    </row>
    <row r="4" spans="2:4" ht="29.5">
      <c r="B4" s="158" t="s">
        <v>389</v>
      </c>
      <c r="C4" s="157" t="s">
        <v>400</v>
      </c>
      <c r="D4" s="38" t="s">
        <v>59</v>
      </c>
    </row>
    <row r="5" spans="2:4">
      <c r="B5" s="158" t="s">
        <v>390</v>
      </c>
      <c r="C5" s="122" t="s">
        <v>412</v>
      </c>
      <c r="D5" s="38" t="s">
        <v>65</v>
      </c>
    </row>
    <row r="6" spans="2:4" ht="48" customHeight="1">
      <c r="B6" s="158" t="s">
        <v>391</v>
      </c>
      <c r="C6" s="157" t="s">
        <v>413</v>
      </c>
      <c r="D6" s="38" t="s">
        <v>83</v>
      </c>
    </row>
    <row r="7" spans="2:4">
      <c r="B7" s="158" t="s">
        <v>392</v>
      </c>
      <c r="C7" s="157" t="s">
        <v>416</v>
      </c>
      <c r="D7" s="38" t="s">
        <v>286</v>
      </c>
    </row>
    <row r="8" spans="2:4">
      <c r="B8" s="158" t="s">
        <v>393</v>
      </c>
      <c r="C8" s="157" t="s">
        <v>417</v>
      </c>
      <c r="D8" s="38" t="s">
        <v>294</v>
      </c>
    </row>
    <row r="9" spans="2:4" ht="29.5">
      <c r="B9" s="158" t="s">
        <v>394</v>
      </c>
      <c r="C9" s="122" t="s">
        <v>414</v>
      </c>
      <c r="D9" s="38" t="s">
        <v>348</v>
      </c>
    </row>
    <row r="10" spans="2:4" ht="62.7" customHeight="1">
      <c r="B10" s="158" t="s">
        <v>395</v>
      </c>
      <c r="C10" s="157" t="s">
        <v>398</v>
      </c>
      <c r="D10" s="156" t="s">
        <v>387</v>
      </c>
    </row>
    <row r="11" spans="2:4" ht="59">
      <c r="B11" s="158" t="s">
        <v>396</v>
      </c>
      <c r="C11" s="157" t="s">
        <v>402</v>
      </c>
      <c r="D11" s="38" t="s">
        <v>403</v>
      </c>
    </row>
    <row r="12" spans="2:4">
      <c r="B12" s="158" t="s">
        <v>480</v>
      </c>
      <c r="C12" s="157" t="s">
        <v>481</v>
      </c>
      <c r="D12" s="38" t="s">
        <v>479</v>
      </c>
    </row>
    <row r="13" spans="2:4" ht="29.5">
      <c r="B13" s="158" t="s">
        <v>485</v>
      </c>
      <c r="C13" s="157" t="s">
        <v>486</v>
      </c>
      <c r="D13" s="38" t="s">
        <v>482</v>
      </c>
    </row>
    <row r="14" spans="2:4">
      <c r="B14" s="158" t="s">
        <v>542</v>
      </c>
      <c r="C14" s="157" t="s">
        <v>544</v>
      </c>
      <c r="D14" s="38" t="s">
        <v>543</v>
      </c>
    </row>
  </sheetData>
  <hyperlinks>
    <hyperlink ref="D3" r:id="rId1" xr:uid="{3319A8D2-692D-472E-B7C7-0C3DB5D229BF}"/>
    <hyperlink ref="D4" r:id="rId2" xr:uid="{3C6211EB-826C-4CF0-8335-7676FF79E7D1}"/>
    <hyperlink ref="D5" r:id="rId3" xr:uid="{B4CAA528-744E-4DA7-8FF3-5227049B0AF0}"/>
    <hyperlink ref="D6" r:id="rId4" xr:uid="{44B00FF8-1598-41C7-AFFA-F874CC308963}"/>
    <hyperlink ref="D7" r:id="rId5" xr:uid="{393EF345-C21E-474B-806C-560ED89D820A}"/>
    <hyperlink ref="D8" r:id="rId6" xr:uid="{15B7E743-6375-4A4B-A3C8-36A1362F9D20}"/>
    <hyperlink ref="D9" r:id="rId7" xr:uid="{F5BC0201-3FE6-49EF-B8C4-FA8CA402E87F}"/>
    <hyperlink ref="D10" r:id="rId8" xr:uid="{69DF8F22-1C81-4F9C-B86E-6FA34231F7FB}"/>
    <hyperlink ref="D11" r:id="rId9" xr:uid="{DC45A3FC-286B-4219-B97B-BF4E8A03D4FA}"/>
    <hyperlink ref="D14" r:id="rId10" xr:uid="{D92D7141-EBF9-4B57-B6CA-B86C6216051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C5B82-9584-4F72-8C62-D30CE96E6470}">
  <sheetPr codeName="Sheet45">
    <tabColor theme="1"/>
  </sheetPr>
  <dimension ref="A1:BO4756"/>
  <sheetViews>
    <sheetView topLeftCell="O30" zoomScale="110" zoomScaleNormal="110" workbookViewId="0">
      <selection activeCell="R37" sqref="R37"/>
    </sheetView>
  </sheetViews>
  <sheetFormatPr defaultColWidth="8.86328125" defaultRowHeight="14.75"/>
  <cols>
    <col min="1" max="1" width="12.2265625" bestFit="1" customWidth="1"/>
    <col min="2" max="2" width="39.54296875" bestFit="1" customWidth="1"/>
    <col min="3" max="3" width="11.453125" bestFit="1" customWidth="1"/>
    <col min="4" max="4" width="10.2265625" customWidth="1"/>
    <col min="5" max="5" width="12" customWidth="1"/>
    <col min="6" max="6" width="5.31640625" customWidth="1"/>
    <col min="7" max="7" width="5.6796875" customWidth="1"/>
    <col min="8" max="8" width="10.453125" bestFit="1" customWidth="1"/>
    <col min="9" max="9" width="13.76953125" customWidth="1"/>
    <col min="10" max="10" width="11.453125" bestFit="1" customWidth="1"/>
    <col min="11" max="11" width="10.54296875" bestFit="1" customWidth="1"/>
    <col min="12" max="12" width="9" bestFit="1" customWidth="1"/>
    <col min="13" max="13" width="22.31640625" bestFit="1" customWidth="1"/>
    <col min="14" max="14" width="15.76953125" bestFit="1" customWidth="1"/>
    <col min="15" max="15" width="22.31640625" bestFit="1" customWidth="1"/>
    <col min="16" max="16" width="13.76953125" bestFit="1" customWidth="1"/>
    <col min="18" max="18" width="18.76953125" customWidth="1"/>
    <col min="19" max="19" width="15.08984375" bestFit="1" customWidth="1"/>
    <col min="20" max="20" width="11.08984375" bestFit="1" customWidth="1"/>
    <col min="22" max="22" width="21.2265625" bestFit="1" customWidth="1"/>
    <col min="23" max="23" width="10.54296875" bestFit="1" customWidth="1"/>
    <col min="26" max="26" width="25.08984375" bestFit="1" customWidth="1"/>
    <col min="27" max="27" width="17.86328125" bestFit="1" customWidth="1"/>
    <col min="28" max="28" width="17.453125" bestFit="1" customWidth="1"/>
    <col min="29" max="29" width="18" bestFit="1" customWidth="1"/>
    <col min="30" max="30" width="11.453125" bestFit="1" customWidth="1"/>
    <col min="31" max="31" width="4.86328125" bestFit="1" customWidth="1"/>
    <col min="32" max="32" width="13.26953125" bestFit="1" customWidth="1"/>
    <col min="33" max="33" width="4.86328125" customWidth="1"/>
    <col min="34" max="34" width="13.54296875" bestFit="1" customWidth="1"/>
    <col min="35" max="35" width="35.2265625" customWidth="1"/>
    <col min="36" max="36" width="62.2265625" bestFit="1" customWidth="1"/>
    <col min="37" max="37" width="46.2265625" bestFit="1" customWidth="1"/>
    <col min="38" max="38" width="41.54296875" bestFit="1" customWidth="1"/>
    <col min="39" max="39" width="35.08984375" bestFit="1" customWidth="1"/>
    <col min="40" max="41" width="29.54296875" bestFit="1" customWidth="1"/>
    <col min="44" max="44" width="29.08984375" bestFit="1" customWidth="1"/>
    <col min="45" max="45" width="29.08984375" customWidth="1"/>
    <col min="46" max="46" width="55.54296875" customWidth="1"/>
    <col min="47" max="47" width="29.08984375" bestFit="1" customWidth="1"/>
    <col min="54" max="54" width="12.76953125" customWidth="1"/>
    <col min="55" max="55" width="32.453125" bestFit="1" customWidth="1"/>
    <col min="56" max="56" width="66.40625" bestFit="1" customWidth="1"/>
    <col min="57" max="57" width="41.58984375" bestFit="1" customWidth="1"/>
    <col min="58" max="58" width="31.58984375" bestFit="1" customWidth="1"/>
    <col min="59" max="59" width="42.81640625" bestFit="1" customWidth="1"/>
    <col min="60" max="60" width="41.58984375" bestFit="1" customWidth="1"/>
    <col min="61" max="61" width="43" bestFit="1" customWidth="1"/>
    <col min="62" max="62" width="44.58984375" bestFit="1" customWidth="1"/>
    <col min="63" max="63" width="30.86328125" bestFit="1" customWidth="1"/>
    <col min="64" max="64" width="32.31640625" bestFit="1" customWidth="1"/>
    <col min="65" max="65" width="26.1328125" bestFit="1" customWidth="1"/>
  </cols>
  <sheetData>
    <row r="1" spans="1:67">
      <c r="A1" s="1" t="s">
        <v>11</v>
      </c>
      <c r="I1" s="1" t="s">
        <v>477</v>
      </c>
      <c r="Y1" s="1" t="s">
        <v>63</v>
      </c>
      <c r="Z1" s="1"/>
      <c r="AA1" s="1"/>
      <c r="AI1" s="1" t="s">
        <v>223</v>
      </c>
    </row>
    <row r="2" spans="1:67">
      <c r="I2" s="161"/>
      <c r="J2" s="161" t="s">
        <v>3</v>
      </c>
      <c r="K2" s="161" t="s">
        <v>3</v>
      </c>
      <c r="L2" s="161" t="s">
        <v>4</v>
      </c>
      <c r="M2" s="161" t="s">
        <v>4</v>
      </c>
      <c r="N2" s="161" t="s">
        <v>5</v>
      </c>
      <c r="O2" s="161" t="s">
        <v>6</v>
      </c>
      <c r="P2" s="161" t="s">
        <v>24</v>
      </c>
      <c r="V2" s="1" t="s">
        <v>194</v>
      </c>
      <c r="Y2" s="30" t="s">
        <v>374</v>
      </c>
      <c r="Z2" s="30" t="s">
        <v>397</v>
      </c>
      <c r="AA2" s="30" t="s">
        <v>401</v>
      </c>
      <c r="AB2" s="30" t="s">
        <v>404</v>
      </c>
      <c r="AC2" s="30" t="s">
        <v>405</v>
      </c>
      <c r="AD2" s="30" t="s">
        <v>71</v>
      </c>
      <c r="AE2" s="30" t="s">
        <v>364</v>
      </c>
      <c r="AF2" s="30" t="s">
        <v>626</v>
      </c>
      <c r="AG2" s="30" t="s">
        <v>627</v>
      </c>
      <c r="AJ2" s="46" t="s">
        <v>230</v>
      </c>
      <c r="AK2" s="41">
        <v>0</v>
      </c>
      <c r="AL2">
        <v>5</v>
      </c>
      <c r="AM2">
        <v>10</v>
      </c>
    </row>
    <row r="3" spans="1:67" ht="15" customHeight="1">
      <c r="A3" s="26" t="s">
        <v>66</v>
      </c>
      <c r="B3" s="27" t="s">
        <v>70</v>
      </c>
      <c r="C3" s="27" t="s">
        <v>71</v>
      </c>
      <c r="D3" s="27" t="s">
        <v>72</v>
      </c>
      <c r="E3" s="27" t="s">
        <v>21</v>
      </c>
      <c r="F3" s="27" t="s">
        <v>22</v>
      </c>
      <c r="G3" s="28" t="s">
        <v>23</v>
      </c>
      <c r="I3" s="161"/>
      <c r="J3" s="161" t="s">
        <v>27</v>
      </c>
      <c r="K3" s="161" t="s">
        <v>28</v>
      </c>
      <c r="L3" s="161" t="s">
        <v>27</v>
      </c>
      <c r="M3" s="161" t="s">
        <v>28</v>
      </c>
      <c r="N3" s="161"/>
      <c r="O3" s="161"/>
      <c r="P3" s="161"/>
      <c r="V3" s="15" t="s">
        <v>195</v>
      </c>
      <c r="W3" s="10">
        <v>1</v>
      </c>
      <c r="Y3" s="28">
        <v>2600</v>
      </c>
      <c r="Z3" s="155" t="s">
        <v>407</v>
      </c>
      <c r="AA3" s="155" t="s">
        <v>247</v>
      </c>
      <c r="AB3" s="155" t="s">
        <v>247</v>
      </c>
      <c r="AC3" s="155" t="s">
        <v>247</v>
      </c>
      <c r="AD3" s="155" t="s">
        <v>1</v>
      </c>
      <c r="AE3" s="155" t="s">
        <v>375</v>
      </c>
      <c r="AF3" s="155" t="s">
        <v>247</v>
      </c>
      <c r="AG3" s="155" t="s">
        <v>247</v>
      </c>
      <c r="AI3" s="1" t="s">
        <v>224</v>
      </c>
      <c r="AJ3" s="46" t="s">
        <v>231</v>
      </c>
      <c r="AK3" s="41">
        <v>5</v>
      </c>
      <c r="AL3">
        <v>10</v>
      </c>
      <c r="AM3">
        <v>15</v>
      </c>
      <c r="BC3" s="208" t="s">
        <v>665</v>
      </c>
      <c r="BD3" s="221" t="s">
        <v>311</v>
      </c>
      <c r="BE3" s="221" t="s">
        <v>311</v>
      </c>
      <c r="BF3" s="221" t="s">
        <v>666</v>
      </c>
      <c r="BG3" s="221" t="s">
        <v>666</v>
      </c>
      <c r="BI3" s="221" t="s">
        <v>311</v>
      </c>
      <c r="BJ3" s="221" t="s">
        <v>311</v>
      </c>
      <c r="BK3" s="221" t="s">
        <v>666</v>
      </c>
      <c r="BL3" s="221" t="s">
        <v>666</v>
      </c>
    </row>
    <row r="4" spans="1:67">
      <c r="A4" s="25" t="s">
        <v>13</v>
      </c>
      <c r="B4" s="15" t="s">
        <v>34</v>
      </c>
      <c r="C4" s="15" t="s">
        <v>1</v>
      </c>
      <c r="D4" s="15" t="s">
        <v>27</v>
      </c>
      <c r="E4" s="10">
        <v>24.34</v>
      </c>
      <c r="F4" s="10">
        <v>3.27</v>
      </c>
      <c r="G4" s="10">
        <v>3.27</v>
      </c>
      <c r="I4" s="161" t="s">
        <v>16</v>
      </c>
      <c r="J4" s="133">
        <v>30.78</v>
      </c>
      <c r="K4" s="133">
        <v>50.76</v>
      </c>
      <c r="L4" s="133">
        <v>0</v>
      </c>
      <c r="M4" s="133">
        <v>0</v>
      </c>
      <c r="N4" s="133">
        <v>2.3199999999999998</v>
      </c>
      <c r="O4" s="133">
        <v>0</v>
      </c>
      <c r="P4" s="133">
        <v>12</v>
      </c>
      <c r="R4" s="8"/>
      <c r="S4" s="8"/>
      <c r="V4" s="15" t="s">
        <v>196</v>
      </c>
      <c r="W4" s="10">
        <v>1.03</v>
      </c>
      <c r="Y4" s="47">
        <v>2601</v>
      </c>
      <c r="Z4" s="52" t="s">
        <v>407</v>
      </c>
      <c r="AA4" s="52" t="s">
        <v>247</v>
      </c>
      <c r="AB4" s="52" t="s">
        <v>247</v>
      </c>
      <c r="AC4" s="52" t="s">
        <v>247</v>
      </c>
      <c r="AD4" s="52" t="s">
        <v>1</v>
      </c>
      <c r="AE4" s="52" t="s">
        <v>375</v>
      </c>
      <c r="AF4" s="155" t="s">
        <v>247</v>
      </c>
      <c r="AG4" s="155" t="s">
        <v>247</v>
      </c>
      <c r="AI4" s="42" t="s">
        <v>225</v>
      </c>
      <c r="AJ4" s="43" t="s">
        <v>226</v>
      </c>
      <c r="AK4" s="43" t="s">
        <v>227</v>
      </c>
      <c r="AL4" s="43" t="s">
        <v>228</v>
      </c>
      <c r="AM4" s="44" t="s">
        <v>229</v>
      </c>
      <c r="AQ4" s="98" t="s">
        <v>66</v>
      </c>
      <c r="AR4" s="98" t="s">
        <v>517</v>
      </c>
      <c r="AS4" s="98" t="s">
        <v>300</v>
      </c>
      <c r="AT4" s="98" t="s">
        <v>302</v>
      </c>
      <c r="AU4" s="98" t="s">
        <v>303</v>
      </c>
      <c r="AV4" s="98" t="s">
        <v>308</v>
      </c>
      <c r="AW4" s="199" t="s">
        <v>532</v>
      </c>
      <c r="BB4" s="1" t="s">
        <v>616</v>
      </c>
      <c r="BC4" s="208" t="s">
        <v>562</v>
      </c>
      <c r="BD4" s="161" t="s">
        <v>607</v>
      </c>
      <c r="BE4" s="161" t="s">
        <v>606</v>
      </c>
      <c r="BF4" s="161" t="s">
        <v>607</v>
      </c>
      <c r="BG4" s="161" t="s">
        <v>606</v>
      </c>
      <c r="BI4" s="161" t="s">
        <v>607</v>
      </c>
      <c r="BJ4" s="161" t="s">
        <v>606</v>
      </c>
      <c r="BK4" s="161" t="s">
        <v>607</v>
      </c>
      <c r="BL4" s="161" t="s">
        <v>606</v>
      </c>
      <c r="BM4" s="1" t="s">
        <v>615</v>
      </c>
    </row>
    <row r="5" spans="1:67">
      <c r="A5" s="25" t="s">
        <v>13</v>
      </c>
      <c r="B5" s="15" t="s">
        <v>34</v>
      </c>
      <c r="C5" s="15" t="s">
        <v>2</v>
      </c>
      <c r="D5" s="15" t="s">
        <v>27</v>
      </c>
      <c r="E5" s="10">
        <v>25.83</v>
      </c>
      <c r="F5" s="10">
        <v>3.47</v>
      </c>
      <c r="G5" s="10">
        <v>3.47</v>
      </c>
      <c r="I5" s="161" t="s">
        <v>17</v>
      </c>
      <c r="J5" s="133">
        <v>38.47</v>
      </c>
      <c r="K5" s="133">
        <v>63.45</v>
      </c>
      <c r="L5" s="133">
        <v>0</v>
      </c>
      <c r="M5" s="133">
        <v>0</v>
      </c>
      <c r="N5" s="133">
        <v>2.355</v>
      </c>
      <c r="O5" s="133">
        <v>0</v>
      </c>
      <c r="P5" s="133">
        <v>15</v>
      </c>
      <c r="R5" s="9" t="s">
        <v>33</v>
      </c>
      <c r="S5" s="6"/>
      <c r="V5" s="15" t="s">
        <v>197</v>
      </c>
      <c r="W5" s="10">
        <v>12</v>
      </c>
      <c r="Y5" s="47">
        <v>2602</v>
      </c>
      <c r="Z5" s="52" t="s">
        <v>407</v>
      </c>
      <c r="AA5" s="52" t="s">
        <v>247</v>
      </c>
      <c r="AB5" s="52" t="s">
        <v>247</v>
      </c>
      <c r="AC5" s="52" t="s">
        <v>247</v>
      </c>
      <c r="AD5" s="52" t="s">
        <v>1</v>
      </c>
      <c r="AE5" s="52" t="s">
        <v>375</v>
      </c>
      <c r="AF5" s="155" t="s">
        <v>247</v>
      </c>
      <c r="AG5" s="155" t="s">
        <v>247</v>
      </c>
      <c r="AI5" s="45" t="s">
        <v>220</v>
      </c>
      <c r="AJ5" s="15" t="s">
        <v>211</v>
      </c>
      <c r="AK5" s="54">
        <v>0.52</v>
      </c>
      <c r="AL5" s="54">
        <v>0.44</v>
      </c>
      <c r="AM5" s="55">
        <v>0.35</v>
      </c>
      <c r="AQ5" s="47" t="s">
        <v>215</v>
      </c>
      <c r="AR5" s="47" t="s">
        <v>520</v>
      </c>
      <c r="AS5" s="47" t="s">
        <v>287</v>
      </c>
      <c r="AT5" s="201" t="s">
        <v>262</v>
      </c>
      <c r="AU5" s="11"/>
      <c r="AV5" s="11"/>
      <c r="AW5" s="65" t="s">
        <v>533</v>
      </c>
      <c r="AX5" s="65" t="s">
        <v>534</v>
      </c>
      <c r="BB5" s="42" t="s">
        <v>576</v>
      </c>
      <c r="BC5" s="43" t="s">
        <v>577</v>
      </c>
      <c r="BD5" s="43" t="s">
        <v>633</v>
      </c>
      <c r="BE5" s="43" t="s">
        <v>634</v>
      </c>
      <c r="BF5" s="43" t="s">
        <v>677</v>
      </c>
      <c r="BG5" s="43" t="s">
        <v>678</v>
      </c>
      <c r="BH5" s="43" t="s">
        <v>579</v>
      </c>
      <c r="BI5" s="43" t="s">
        <v>635</v>
      </c>
      <c r="BJ5" s="43" t="s">
        <v>636</v>
      </c>
      <c r="BK5" s="43" t="s">
        <v>668</v>
      </c>
      <c r="BL5" s="43" t="s">
        <v>669</v>
      </c>
      <c r="BM5" s="43" t="s">
        <v>578</v>
      </c>
      <c r="BN5" s="43" t="s">
        <v>572</v>
      </c>
      <c r="BO5" s="44" t="s">
        <v>570</v>
      </c>
    </row>
    <row r="6" spans="1:67">
      <c r="A6" s="25" t="s">
        <v>13</v>
      </c>
      <c r="B6" s="15" t="s">
        <v>34</v>
      </c>
      <c r="C6" s="15" t="s">
        <v>1</v>
      </c>
      <c r="D6" s="15" t="s">
        <v>28</v>
      </c>
      <c r="E6" s="10">
        <v>33.4</v>
      </c>
      <c r="F6" s="10">
        <v>3.27</v>
      </c>
      <c r="G6" s="10">
        <v>3.27</v>
      </c>
      <c r="I6" s="161" t="s">
        <v>18</v>
      </c>
      <c r="J6" s="133">
        <v>0.57999999999999996</v>
      </c>
      <c r="K6" s="133">
        <v>0.57999999999999996</v>
      </c>
      <c r="L6" s="133">
        <v>48.68</v>
      </c>
      <c r="M6" s="133">
        <v>69.05</v>
      </c>
      <c r="N6" s="133">
        <v>2.3199999999999998</v>
      </c>
      <c r="O6" s="133">
        <v>0</v>
      </c>
      <c r="P6" s="133">
        <v>12</v>
      </c>
      <c r="R6" s="21" t="s">
        <v>483</v>
      </c>
      <c r="S6" s="10">
        <v>1.06</v>
      </c>
      <c r="V6" s="15" t="s">
        <v>81</v>
      </c>
      <c r="W6" s="10">
        <v>0.78800000000000003</v>
      </c>
      <c r="Y6" s="47">
        <v>2603</v>
      </c>
      <c r="Z6" s="52" t="s">
        <v>407</v>
      </c>
      <c r="AA6" s="52" t="s">
        <v>247</v>
      </c>
      <c r="AB6" s="52" t="s">
        <v>247</v>
      </c>
      <c r="AC6" s="52" t="s">
        <v>247</v>
      </c>
      <c r="AD6" s="52" t="s">
        <v>1</v>
      </c>
      <c r="AE6" s="52" t="s">
        <v>375</v>
      </c>
      <c r="AF6" s="155" t="s">
        <v>247</v>
      </c>
      <c r="AG6" s="155" t="s">
        <v>247</v>
      </c>
      <c r="AI6" s="25" t="str">
        <f>AI5</f>
        <v>Tungsten halogen lamp (ELV)</v>
      </c>
      <c r="AJ6" s="15" t="s">
        <v>289</v>
      </c>
      <c r="AK6" s="54">
        <v>0.54</v>
      </c>
      <c r="AL6" s="54">
        <v>0.46</v>
      </c>
      <c r="AM6" s="55">
        <v>0.39</v>
      </c>
      <c r="AQ6" s="47" t="s">
        <v>244</v>
      </c>
      <c r="AR6" s="47" t="s">
        <v>521</v>
      </c>
      <c r="AS6" s="47" t="s">
        <v>232</v>
      </c>
      <c r="AT6" s="11" t="str">
        <f>_xlfn.IFNA("LCP must be a whole number between " &amp;AV6&amp;"W and " &amp; AU6 &amp;"W","")</f>
        <v>LCP must be a whole number between 80W and 160W</v>
      </c>
      <c r="AU6" s="11">
        <v>160</v>
      </c>
      <c r="AV6" s="11">
        <v>80</v>
      </c>
      <c r="AW6" t="s">
        <v>535</v>
      </c>
      <c r="AX6" t="s">
        <v>536</v>
      </c>
      <c r="BB6" s="94" t="s">
        <v>599</v>
      </c>
      <c r="BC6" s="52">
        <f t="shared" ref="BC6:BC11" si="0">EEF_AC</f>
        <v>0.53339999999999999</v>
      </c>
      <c r="BD6" s="52">
        <v>1</v>
      </c>
      <c r="BE6" s="52">
        <v>1</v>
      </c>
      <c r="BF6" s="52">
        <v>1</v>
      </c>
      <c r="BG6" s="52">
        <v>1</v>
      </c>
      <c r="BH6" s="52">
        <f t="shared" ref="BH6:BH11" si="1">EEF_AC</f>
        <v>0.53339999999999999</v>
      </c>
      <c r="BI6" s="223">
        <f>INDEX($BD$56:$BH$56,MATCH(Table_6.11[[#Headers],[Deemed TCSPFBase GEMS Cold Zone]],$BD$48:$BH$48,0))</f>
        <v>4.4400000000000004</v>
      </c>
      <c r="BJ6" s="223">
        <f>INDEX($BD$56:$BH$56,MATCH(Table_6.11[[#Headers],[Deemed TCSPFBase GEMS Mixed Zone]],$BD$48:$BH$48,0))</f>
        <v>4.3499999999999996</v>
      </c>
      <c r="BK6" s="223">
        <f>INDEX($BI$56:$BM$56,MATCH(Table_6.11[[#Headers],[Deemed TCSPFBase GEMS Cold Zone]],$BI$48:$BM$48,0))</f>
        <v>5.98</v>
      </c>
      <c r="BL6" s="223">
        <f>INDEX($BI$56:$BM$56,MATCH(Table_6.11[[#Headers],[Deemed TCSPFBase GEMS Mixed Zone]],$BI$48:$BM$48,0))</f>
        <v>5.52</v>
      </c>
      <c r="BM6" s="52">
        <f t="shared" ref="BM6:BM11" si="2">EEF_AC</f>
        <v>0.53339999999999999</v>
      </c>
      <c r="BN6" s="52">
        <v>2.4</v>
      </c>
      <c r="BO6" s="52">
        <v>2.4</v>
      </c>
    </row>
    <row r="7" spans="1:67">
      <c r="A7" s="29" t="s">
        <v>13</v>
      </c>
      <c r="B7" s="30" t="s">
        <v>34</v>
      </c>
      <c r="C7" s="30" t="s">
        <v>2</v>
      </c>
      <c r="D7" s="30" t="s">
        <v>28</v>
      </c>
      <c r="E7" s="10">
        <v>35.44</v>
      </c>
      <c r="F7" s="10">
        <v>3.47</v>
      </c>
      <c r="G7" s="10">
        <v>3.47</v>
      </c>
      <c r="I7" s="161" t="s">
        <v>19</v>
      </c>
      <c r="J7" s="133">
        <v>0.57999999999999996</v>
      </c>
      <c r="K7" s="133">
        <v>0.57999999999999996</v>
      </c>
      <c r="L7" s="133">
        <v>60.85</v>
      </c>
      <c r="M7" s="133">
        <v>86.32</v>
      </c>
      <c r="N7" s="133">
        <v>2.355</v>
      </c>
      <c r="O7" s="133">
        <v>0</v>
      </c>
      <c r="P7" s="133">
        <v>15</v>
      </c>
      <c r="R7" s="21" t="s">
        <v>484</v>
      </c>
      <c r="S7" s="10">
        <v>0.47</v>
      </c>
      <c r="V7" s="15" t="s">
        <v>193</v>
      </c>
      <c r="W7" s="79">
        <v>0.85</v>
      </c>
      <c r="Y7" s="47">
        <v>2604</v>
      </c>
      <c r="Z7" s="52" t="s">
        <v>407</v>
      </c>
      <c r="AA7" s="52" t="s">
        <v>247</v>
      </c>
      <c r="AB7" s="52" t="s">
        <v>247</v>
      </c>
      <c r="AC7" s="52" t="s">
        <v>247</v>
      </c>
      <c r="AD7" s="52" t="s">
        <v>1</v>
      </c>
      <c r="AE7" s="52" t="s">
        <v>375</v>
      </c>
      <c r="AF7" s="155" t="s">
        <v>247</v>
      </c>
      <c r="AG7" s="155" t="s">
        <v>247</v>
      </c>
      <c r="AI7" s="25" t="str">
        <f>AI6</f>
        <v>Tungsten halogen lamp (ELV)</v>
      </c>
      <c r="AJ7" s="15" t="s">
        <v>290</v>
      </c>
      <c r="AK7" s="54">
        <f>AK6</f>
        <v>0.54</v>
      </c>
      <c r="AL7" s="54">
        <f>AL6</f>
        <v>0.46</v>
      </c>
      <c r="AM7" s="55">
        <f>AM6</f>
        <v>0.39</v>
      </c>
      <c r="AQ7" s="47" t="s">
        <v>236</v>
      </c>
      <c r="AR7" s="47" t="s">
        <v>523</v>
      </c>
      <c r="AS7" s="47" t="s">
        <v>269</v>
      </c>
      <c r="AT7" s="11" t="str">
        <f>_xlfn.IFNA("Length must be a whole number between " &amp; AV7 &amp; "mm and " &amp; AU7 &amp; "mm","")</f>
        <v>Length must be a whole number between 550mm and 1500mm</v>
      </c>
      <c r="AU7" s="11">
        <v>1500</v>
      </c>
      <c r="AV7" s="11">
        <v>550</v>
      </c>
      <c r="AW7" t="s">
        <v>536</v>
      </c>
      <c r="AX7" t="s">
        <v>537</v>
      </c>
      <c r="BB7" s="94" t="s">
        <v>598</v>
      </c>
      <c r="BC7" s="52">
        <f t="shared" si="0"/>
        <v>0.53339999999999999</v>
      </c>
      <c r="BD7" s="52">
        <v>1</v>
      </c>
      <c r="BE7" s="52">
        <v>1</v>
      </c>
      <c r="BF7" s="52">
        <v>1</v>
      </c>
      <c r="BG7" s="52">
        <v>1</v>
      </c>
      <c r="BH7" s="52">
        <f t="shared" si="1"/>
        <v>0.53339999999999999</v>
      </c>
      <c r="BI7" s="52" t="s">
        <v>614</v>
      </c>
      <c r="BJ7" s="52" t="s">
        <v>613</v>
      </c>
      <c r="BK7" s="52" t="s">
        <v>614</v>
      </c>
      <c r="BL7" s="52" t="s">
        <v>613</v>
      </c>
      <c r="BM7" s="52">
        <f t="shared" si="2"/>
        <v>0.53339999999999999</v>
      </c>
      <c r="BN7" s="52">
        <v>2.4</v>
      </c>
      <c r="BO7" s="52">
        <v>2.4</v>
      </c>
    </row>
    <row r="8" spans="1:67">
      <c r="A8" s="29" t="s">
        <v>12</v>
      </c>
      <c r="B8" s="30" t="s">
        <v>67</v>
      </c>
      <c r="C8" s="15" t="s">
        <v>1</v>
      </c>
      <c r="D8" s="15" t="s">
        <v>27</v>
      </c>
      <c r="E8" s="10">
        <v>30.42</v>
      </c>
      <c r="F8" s="10">
        <v>2.41</v>
      </c>
      <c r="G8" s="10">
        <v>2.41</v>
      </c>
      <c r="I8" s="161" t="s">
        <v>20</v>
      </c>
      <c r="J8" s="133">
        <v>0.73</v>
      </c>
      <c r="K8" s="133">
        <v>0.73</v>
      </c>
      <c r="L8" s="133">
        <v>60.85</v>
      </c>
      <c r="M8" s="133">
        <v>86.32</v>
      </c>
      <c r="N8" s="133">
        <v>2.173</v>
      </c>
      <c r="O8" s="133">
        <v>4.1669999999999998</v>
      </c>
      <c r="P8" s="133">
        <v>15</v>
      </c>
      <c r="R8" s="8"/>
      <c r="S8" s="8"/>
      <c r="Y8" s="47">
        <v>2605</v>
      </c>
      <c r="Z8" s="52" t="s">
        <v>407</v>
      </c>
      <c r="AA8" s="52" t="s">
        <v>247</v>
      </c>
      <c r="AB8" s="52" t="s">
        <v>247</v>
      </c>
      <c r="AC8" s="52" t="s">
        <v>247</v>
      </c>
      <c r="AD8" s="52" t="s">
        <v>1</v>
      </c>
      <c r="AE8" s="52" t="s">
        <v>375</v>
      </c>
      <c r="AF8" s="155" t="s">
        <v>247</v>
      </c>
      <c r="AG8" s="155" t="s">
        <v>247</v>
      </c>
      <c r="AI8" s="45" t="s">
        <v>217</v>
      </c>
      <c r="AJ8" s="15" t="s">
        <v>211</v>
      </c>
      <c r="AK8" s="54">
        <v>0.52</v>
      </c>
      <c r="AL8" s="54">
        <v>0.44</v>
      </c>
      <c r="AM8" s="55">
        <v>0.35</v>
      </c>
      <c r="AQ8" s="47" t="s">
        <v>241</v>
      </c>
      <c r="AR8" s="47" t="s">
        <v>522</v>
      </c>
      <c r="AS8" s="47" t="s">
        <v>297</v>
      </c>
      <c r="AT8" s="201" t="s">
        <v>262</v>
      </c>
      <c r="AU8" s="11"/>
      <c r="AV8" s="11">
        <v>0</v>
      </c>
      <c r="AW8" s="200" t="s">
        <v>536</v>
      </c>
      <c r="AX8" s="200" t="s">
        <v>537</v>
      </c>
      <c r="BB8" s="94" t="s">
        <v>597</v>
      </c>
      <c r="BC8" s="52">
        <f t="shared" si="0"/>
        <v>0.53339999999999999</v>
      </c>
      <c r="BD8" s="52">
        <v>0.84699999999999998</v>
      </c>
      <c r="BE8" s="52">
        <v>0.84699999999999998</v>
      </c>
      <c r="BF8" s="52">
        <v>0.84699999999999998</v>
      </c>
      <c r="BG8" s="52">
        <v>0.84699999999999998</v>
      </c>
      <c r="BH8" s="52">
        <f t="shared" si="1"/>
        <v>0.53339999999999999</v>
      </c>
      <c r="BI8" s="222">
        <f>INDEX($BD$56:$BH$56,MATCH(Table_6.11[[#Headers],[Deemed TCSPFBase GEMS Cold Zone]],$BD$48:$BH$48,0))</f>
        <v>4.4400000000000004</v>
      </c>
      <c r="BJ8" s="222">
        <f>INDEX($BD$56:$BH$56,MATCH(Table_6.11[[#Headers],[Deemed TCSPFBase GEMS Mixed Zone]],$BD$48:$BH$48,0))</f>
        <v>4.3499999999999996</v>
      </c>
      <c r="BK8" s="223">
        <f>INDEX($BI$56:$BM$56,MATCH(Table_6.11[[#Headers],[Deemed TCSPFBase GEMS Cold Zone]],$BI$48:$BM$48,0))</f>
        <v>5.98</v>
      </c>
      <c r="BL8" s="223">
        <f>INDEX($BI$56:$BM$56,MATCH(Table_6.11[[#Headers],[Deemed TCSPFBase GEMS Mixed Zone]],$BI$48:$BM$48,0))</f>
        <v>5.52</v>
      </c>
      <c r="BM8" s="52">
        <f t="shared" si="2"/>
        <v>0.53339999999999999</v>
      </c>
      <c r="BN8" s="52">
        <v>15</v>
      </c>
      <c r="BO8" s="52">
        <v>15</v>
      </c>
    </row>
    <row r="9" spans="1:67">
      <c r="A9" s="29" t="s">
        <v>12</v>
      </c>
      <c r="B9" s="30" t="s">
        <v>67</v>
      </c>
      <c r="C9" s="15" t="s">
        <v>2</v>
      </c>
      <c r="D9" s="15" t="s">
        <v>27</v>
      </c>
      <c r="E9" s="10">
        <v>32.29</v>
      </c>
      <c r="F9" s="10">
        <v>2.56</v>
      </c>
      <c r="G9" s="10">
        <v>2.56</v>
      </c>
      <c r="I9" s="3"/>
      <c r="J9" s="3"/>
      <c r="K9" s="3"/>
      <c r="L9" s="3"/>
      <c r="M9" s="3"/>
      <c r="N9" s="3"/>
      <c r="O9" s="3"/>
      <c r="P9" s="3"/>
      <c r="Q9" s="9" t="s">
        <v>35</v>
      </c>
      <c r="R9" s="226"/>
      <c r="V9" s="1" t="s">
        <v>309</v>
      </c>
      <c r="Y9" s="47">
        <v>2606</v>
      </c>
      <c r="Z9" s="52" t="s">
        <v>407</v>
      </c>
      <c r="AA9" s="52" t="s">
        <v>247</v>
      </c>
      <c r="AB9" s="52" t="s">
        <v>247</v>
      </c>
      <c r="AC9" s="52" t="s">
        <v>247</v>
      </c>
      <c r="AD9" s="52" t="s">
        <v>1</v>
      </c>
      <c r="AE9" s="52" t="s">
        <v>375</v>
      </c>
      <c r="AF9" s="155" t="s">
        <v>247</v>
      </c>
      <c r="AG9" s="155" t="s">
        <v>247</v>
      </c>
      <c r="AI9" s="25" t="str">
        <f>AI8</f>
        <v>Infrared coated (IRC) halogen Lamp (ELV)</v>
      </c>
      <c r="AJ9" s="15" t="s">
        <v>289</v>
      </c>
      <c r="AK9" s="54">
        <v>0.54</v>
      </c>
      <c r="AL9" s="54">
        <v>0.46</v>
      </c>
      <c r="AM9" s="55">
        <v>0.39</v>
      </c>
      <c r="BB9" s="94" t="s">
        <v>596</v>
      </c>
      <c r="BC9" s="52">
        <f t="shared" si="0"/>
        <v>0.53339999999999999</v>
      </c>
      <c r="BD9" s="52">
        <v>0.84699999999999998</v>
      </c>
      <c r="BE9" s="52">
        <v>0.84699999999999998</v>
      </c>
      <c r="BF9" s="52">
        <v>0.84699999999999998</v>
      </c>
      <c r="BG9" s="52">
        <v>0.84699999999999998</v>
      </c>
      <c r="BH9" s="52">
        <f t="shared" si="1"/>
        <v>0.53339999999999999</v>
      </c>
      <c r="BI9" s="161" t="s">
        <v>612</v>
      </c>
      <c r="BJ9" s="161" t="s">
        <v>611</v>
      </c>
      <c r="BK9" s="161" t="s">
        <v>612</v>
      </c>
      <c r="BL9" s="161" t="s">
        <v>611</v>
      </c>
      <c r="BM9" s="52">
        <f t="shared" si="2"/>
        <v>0.53339999999999999</v>
      </c>
      <c r="BN9" s="52">
        <v>15</v>
      </c>
      <c r="BO9" s="52">
        <v>15</v>
      </c>
    </row>
    <row r="10" spans="1:67">
      <c r="A10" s="29" t="s">
        <v>12</v>
      </c>
      <c r="B10" s="30" t="s">
        <v>67</v>
      </c>
      <c r="C10" s="15" t="s">
        <v>1</v>
      </c>
      <c r="D10" s="15" t="s">
        <v>28</v>
      </c>
      <c r="E10" s="10">
        <v>41.75</v>
      </c>
      <c r="F10" s="10">
        <v>1.96</v>
      </c>
      <c r="G10" s="10">
        <v>1.96</v>
      </c>
      <c r="I10" s="3"/>
      <c r="J10" s="3"/>
      <c r="K10" s="191"/>
      <c r="L10" s="3"/>
      <c r="M10" s="191"/>
      <c r="N10" s="191"/>
      <c r="O10" s="3"/>
      <c r="P10" s="3"/>
      <c r="Q10" s="227" t="s">
        <v>699</v>
      </c>
      <c r="R10" s="134" t="s">
        <v>700</v>
      </c>
      <c r="S10" s="134" t="s">
        <v>701</v>
      </c>
      <c r="T10" s="134" t="s">
        <v>73</v>
      </c>
      <c r="V10" s="96" t="s">
        <v>307</v>
      </c>
      <c r="W10" s="97" t="s">
        <v>78</v>
      </c>
      <c r="Y10" s="47">
        <v>2607</v>
      </c>
      <c r="Z10" s="52" t="s">
        <v>407</v>
      </c>
      <c r="AA10" s="52" t="s">
        <v>247</v>
      </c>
      <c r="AB10" s="52" t="s">
        <v>247</v>
      </c>
      <c r="AC10" s="52" t="s">
        <v>247</v>
      </c>
      <c r="AD10" s="52" t="s">
        <v>1</v>
      </c>
      <c r="AE10" s="52" t="s">
        <v>375</v>
      </c>
      <c r="AF10" s="155" t="s">
        <v>247</v>
      </c>
      <c r="AG10" s="155" t="s">
        <v>247</v>
      </c>
      <c r="AI10" s="25" t="str">
        <f>AI9</f>
        <v>Infrared coated (IRC) halogen Lamp (ELV)</v>
      </c>
      <c r="AJ10" s="15" t="s">
        <v>290</v>
      </c>
      <c r="AK10" s="54">
        <f>AK9</f>
        <v>0.54</v>
      </c>
      <c r="AL10" s="54">
        <f>AL9</f>
        <v>0.46</v>
      </c>
      <c r="AM10" s="55">
        <f>AM9</f>
        <v>0.39</v>
      </c>
      <c r="BB10" s="94" t="s">
        <v>582</v>
      </c>
      <c r="BC10" s="52">
        <f t="shared" si="0"/>
        <v>0.53339999999999999</v>
      </c>
      <c r="BD10" s="52">
        <v>2.3580000000000001</v>
      </c>
      <c r="BE10" s="52">
        <v>2.5939999999999999</v>
      </c>
      <c r="BF10" s="52">
        <v>2.3580000000000001</v>
      </c>
      <c r="BG10" s="52">
        <v>2.5939999999999999</v>
      </c>
      <c r="BH10" s="52">
        <f t="shared" si="1"/>
        <v>0.53339999999999999</v>
      </c>
      <c r="BI10" s="161" t="s">
        <v>612</v>
      </c>
      <c r="BJ10" s="161" t="s">
        <v>611</v>
      </c>
      <c r="BK10" s="161" t="s">
        <v>612</v>
      </c>
      <c r="BL10" s="161" t="s">
        <v>611</v>
      </c>
      <c r="BM10" s="52">
        <f t="shared" si="2"/>
        <v>0.53339999999999999</v>
      </c>
      <c r="BN10" s="52">
        <f t="shared" ref="BN10:BN16" si="3">CompressorHeatingCapacity</f>
        <v>21</v>
      </c>
      <c r="BO10" s="52">
        <f t="shared" ref="BO10:BO16" si="4">Compressor_Cooling_Capacity</f>
        <v>15.5</v>
      </c>
    </row>
    <row r="11" spans="1:67">
      <c r="A11" s="29" t="s">
        <v>12</v>
      </c>
      <c r="B11" s="30" t="s">
        <v>67</v>
      </c>
      <c r="C11" s="30" t="s">
        <v>2</v>
      </c>
      <c r="D11" s="30" t="s">
        <v>28</v>
      </c>
      <c r="E11" s="10">
        <v>44.3</v>
      </c>
      <c r="F11" s="10">
        <v>2.08</v>
      </c>
      <c r="G11" s="10">
        <v>2.08</v>
      </c>
      <c r="I11" s="98" t="s">
        <v>64</v>
      </c>
      <c r="J11" s="98" t="s">
        <v>39</v>
      </c>
      <c r="K11" s="98" t="s">
        <v>50</v>
      </c>
      <c r="L11" s="3"/>
      <c r="M11" s="3"/>
      <c r="N11" s="3"/>
      <c r="O11" s="3"/>
      <c r="P11" s="3"/>
      <c r="Q11" s="228" t="s">
        <v>698</v>
      </c>
      <c r="R11" s="225">
        <v>44592</v>
      </c>
      <c r="S11" s="10">
        <v>0.9546</v>
      </c>
      <c r="T11" s="113"/>
      <c r="V11" s="94" t="s">
        <v>86</v>
      </c>
      <c r="W11" s="10">
        <v>5</v>
      </c>
      <c r="Y11" s="47">
        <v>2608</v>
      </c>
      <c r="Z11" s="52" t="s">
        <v>407</v>
      </c>
      <c r="AA11" s="52" t="s">
        <v>247</v>
      </c>
      <c r="AB11" s="52" t="s">
        <v>247</v>
      </c>
      <c r="AC11" s="52" t="s">
        <v>247</v>
      </c>
      <c r="AD11" s="52" t="s">
        <v>1</v>
      </c>
      <c r="AE11" s="52" t="s">
        <v>375</v>
      </c>
      <c r="AF11" s="155" t="s">
        <v>247</v>
      </c>
      <c r="AG11" s="155" t="s">
        <v>247</v>
      </c>
      <c r="AI11" s="25" t="s">
        <v>212</v>
      </c>
      <c r="AJ11" s="15" t="s">
        <v>290</v>
      </c>
      <c r="AK11" s="54">
        <v>0.68</v>
      </c>
      <c r="AL11" s="54">
        <v>0.6</v>
      </c>
      <c r="AM11" s="55">
        <v>0.53</v>
      </c>
      <c r="BB11" s="94" t="s">
        <v>595</v>
      </c>
      <c r="BC11" s="52">
        <f t="shared" si="0"/>
        <v>0.53339999999999999</v>
      </c>
      <c r="BD11" s="52">
        <v>2.8919999999999999</v>
      </c>
      <c r="BE11" s="52">
        <v>3.2679999999999998</v>
      </c>
      <c r="BF11" s="52">
        <v>2.8919999999999999</v>
      </c>
      <c r="BG11" s="52">
        <v>3.2679999999999998</v>
      </c>
      <c r="BH11" s="52">
        <f t="shared" si="1"/>
        <v>0.53339999999999999</v>
      </c>
      <c r="BI11" s="161" t="s">
        <v>610</v>
      </c>
      <c r="BJ11" s="161" t="s">
        <v>609</v>
      </c>
      <c r="BK11" s="161" t="s">
        <v>610</v>
      </c>
      <c r="BL11" s="161" t="s">
        <v>609</v>
      </c>
      <c r="BM11" s="52">
        <f t="shared" si="2"/>
        <v>0.53339999999999999</v>
      </c>
      <c r="BN11" s="52">
        <f t="shared" si="3"/>
        <v>21</v>
      </c>
      <c r="BO11" s="52">
        <f t="shared" si="4"/>
        <v>15.5</v>
      </c>
    </row>
    <row r="12" spans="1:67" ht="14.9" customHeight="1">
      <c r="A12" s="29" t="s">
        <v>68</v>
      </c>
      <c r="B12" s="30" t="s">
        <v>69</v>
      </c>
      <c r="C12" s="15" t="s">
        <v>1</v>
      </c>
      <c r="D12" s="15" t="s">
        <v>28</v>
      </c>
      <c r="E12" s="10">
        <v>13.23</v>
      </c>
      <c r="F12" s="10">
        <v>4.17</v>
      </c>
      <c r="G12" s="10">
        <v>4.17</v>
      </c>
      <c r="I12" s="161">
        <v>2022</v>
      </c>
      <c r="J12" s="161" t="s">
        <v>41</v>
      </c>
      <c r="K12" s="161">
        <v>0.9</v>
      </c>
      <c r="L12" s="3"/>
      <c r="M12" s="3"/>
      <c r="N12" s="3"/>
      <c r="O12" s="3"/>
      <c r="P12" s="3"/>
      <c r="Q12" s="229">
        <f>R11+1</f>
        <v>44593</v>
      </c>
      <c r="R12" s="225">
        <v>44957</v>
      </c>
      <c r="S12" s="10">
        <v>0.81420000000000003</v>
      </c>
      <c r="T12" s="10">
        <v>0.51600000000000001</v>
      </c>
      <c r="V12" s="94" t="s">
        <v>88</v>
      </c>
      <c r="W12" s="10">
        <v>5</v>
      </c>
      <c r="Y12" s="47">
        <v>2609</v>
      </c>
      <c r="Z12" s="52" t="s">
        <v>407</v>
      </c>
      <c r="AA12" s="52" t="s">
        <v>247</v>
      </c>
      <c r="AB12" s="52" t="s">
        <v>247</v>
      </c>
      <c r="AC12" s="52" t="s">
        <v>247</v>
      </c>
      <c r="AD12" s="52" t="s">
        <v>1</v>
      </c>
      <c r="AE12" s="52" t="s">
        <v>375</v>
      </c>
      <c r="AF12" s="155" t="s">
        <v>247</v>
      </c>
      <c r="AG12" s="155" t="s">
        <v>247</v>
      </c>
      <c r="AI12" s="29" t="s">
        <v>212</v>
      </c>
      <c r="AJ12" s="15" t="s">
        <v>289</v>
      </c>
      <c r="AK12" s="54">
        <v>0.68</v>
      </c>
      <c r="AL12" s="54">
        <v>0.6</v>
      </c>
      <c r="AM12" s="55">
        <v>0.53</v>
      </c>
      <c r="BB12" s="94" t="s">
        <v>594</v>
      </c>
      <c r="BC12" s="52">
        <v>0.19800000000000001</v>
      </c>
      <c r="BD12" s="52">
        <v>0.55100000000000005</v>
      </c>
      <c r="BE12" s="52">
        <v>0.55100000000000005</v>
      </c>
      <c r="BF12" s="52">
        <v>0.55100000000000005</v>
      </c>
      <c r="BG12" s="52">
        <v>0.55100000000000005</v>
      </c>
      <c r="BH12" s="52">
        <f>EEFm_AC</f>
        <v>0.433</v>
      </c>
      <c r="BI12" s="222">
        <f>INDEX($BD$56:$BH$56,MATCH(Table_6.11[[#Headers],[Deemed TCSPFBase GEMS Cold Zone]],$BD$48:$BH$48,0))</f>
        <v>4.4400000000000004</v>
      </c>
      <c r="BJ12" s="222">
        <f>INDEX($BD$56:$BH$56,MATCH(Table_6.11[[#Headers],[Deemed TCSPFBase GEMS Mixed Zone]],$BD$48:$BH$48,0))</f>
        <v>4.3499999999999996</v>
      </c>
      <c r="BK12" s="223">
        <f>INDEX($BI$56:$BM$56,MATCH(Table_6.11[[#Headers],[Deemed TCSPFBase GEMS Cold Zone]],$BI$48:$BM$48,0))</f>
        <v>5.98</v>
      </c>
      <c r="BL12" s="223">
        <f>INDEX($BI$56:$BM$56,MATCH(Table_6.11[[#Headers],[Deemed TCSPFBase GEMS Mixed Zone]],$BI$48:$BM$48,0))</f>
        <v>5.52</v>
      </c>
      <c r="BM12" s="52">
        <f>EEFm_AC</f>
        <v>0.433</v>
      </c>
      <c r="BN12" s="52">
        <f t="shared" si="3"/>
        <v>21</v>
      </c>
      <c r="BO12" s="52">
        <f t="shared" si="4"/>
        <v>15.5</v>
      </c>
    </row>
    <row r="13" spans="1:67">
      <c r="A13" s="29" t="s">
        <v>68</v>
      </c>
      <c r="B13" s="30" t="s">
        <v>69</v>
      </c>
      <c r="C13" s="30" t="s">
        <v>2</v>
      </c>
      <c r="D13" s="30" t="s">
        <v>28</v>
      </c>
      <c r="E13" s="10">
        <v>13.23</v>
      </c>
      <c r="F13" s="10">
        <v>4.17</v>
      </c>
      <c r="G13" s="10">
        <v>4.17</v>
      </c>
      <c r="I13" s="161">
        <v>2023</v>
      </c>
      <c r="J13" s="161" t="s">
        <v>42</v>
      </c>
      <c r="K13" s="161">
        <v>0.8</v>
      </c>
      <c r="L13" s="3"/>
      <c r="M13" s="3"/>
      <c r="N13" s="3"/>
      <c r="O13" s="3"/>
      <c r="P13" s="3"/>
      <c r="Q13" s="229">
        <f t="shared" ref="Q13:Q15" si="5">R12+1</f>
        <v>44958</v>
      </c>
      <c r="R13" s="225">
        <v>45322</v>
      </c>
      <c r="S13" s="10">
        <v>0.67379999999999995</v>
      </c>
      <c r="T13" s="10">
        <v>0.47299999999999998</v>
      </c>
      <c r="V13" s="94" t="s">
        <v>90</v>
      </c>
      <c r="W13" s="10">
        <v>3500</v>
      </c>
      <c r="Y13" s="47">
        <v>2610</v>
      </c>
      <c r="Z13" s="52" t="s">
        <v>407</v>
      </c>
      <c r="AA13" s="52" t="s">
        <v>247</v>
      </c>
      <c r="AB13" s="52" t="s">
        <v>247</v>
      </c>
      <c r="AC13" s="52" t="s">
        <v>247</v>
      </c>
      <c r="AD13" s="52" t="s">
        <v>1</v>
      </c>
      <c r="AE13" s="52" t="s">
        <v>375</v>
      </c>
      <c r="AF13" s="155" t="s">
        <v>247</v>
      </c>
      <c r="AG13" s="155" t="s">
        <v>247</v>
      </c>
      <c r="AK13" t="s">
        <v>256</v>
      </c>
      <c r="AL13">
        <v>0</v>
      </c>
      <c r="AM13">
        <f>AL14</f>
        <v>15</v>
      </c>
      <c r="AN13">
        <f t="shared" ref="AN13:AO13" si="6">AM14</f>
        <v>25</v>
      </c>
      <c r="AO13">
        <f t="shared" si="6"/>
        <v>30</v>
      </c>
      <c r="BB13" s="94" t="s">
        <v>593</v>
      </c>
      <c r="BC13" s="52">
        <v>0.19800000000000001</v>
      </c>
      <c r="BD13" s="52">
        <v>0.55100000000000005</v>
      </c>
      <c r="BE13" s="52">
        <v>0.55100000000000005</v>
      </c>
      <c r="BF13" s="52">
        <v>0.55100000000000005</v>
      </c>
      <c r="BG13" s="52">
        <v>0.55100000000000005</v>
      </c>
      <c r="BH13" s="52">
        <f>EEFm_AC</f>
        <v>0.433</v>
      </c>
      <c r="BI13" s="161" t="s">
        <v>612</v>
      </c>
      <c r="BJ13" s="161" t="s">
        <v>611</v>
      </c>
      <c r="BK13" s="161" t="s">
        <v>612</v>
      </c>
      <c r="BL13" s="161" t="s">
        <v>611</v>
      </c>
      <c r="BM13" s="52">
        <f>EEFm_AC</f>
        <v>0.433</v>
      </c>
      <c r="BN13" s="52">
        <f t="shared" si="3"/>
        <v>21</v>
      </c>
      <c r="BO13" s="52">
        <f t="shared" si="4"/>
        <v>15.5</v>
      </c>
    </row>
    <row r="14" spans="1:67">
      <c r="I14" s="161">
        <v>2024</v>
      </c>
      <c r="J14" s="161" t="s">
        <v>43</v>
      </c>
      <c r="K14" s="161">
        <v>0.7</v>
      </c>
      <c r="L14" s="3"/>
      <c r="M14" s="3"/>
      <c r="N14" s="3"/>
      <c r="O14" s="3"/>
      <c r="P14" s="3"/>
      <c r="Q14" s="229">
        <f t="shared" si="5"/>
        <v>45323</v>
      </c>
      <c r="R14" s="225">
        <v>45688</v>
      </c>
      <c r="S14" s="10">
        <v>0.53339999999999999</v>
      </c>
      <c r="T14" s="10">
        <v>0.433</v>
      </c>
      <c r="V14" s="94" t="s">
        <v>92</v>
      </c>
      <c r="W14" s="10">
        <v>5</v>
      </c>
      <c r="Y14" s="47">
        <v>2611</v>
      </c>
      <c r="Z14" s="52" t="s">
        <v>407</v>
      </c>
      <c r="AA14" s="52">
        <v>7</v>
      </c>
      <c r="AB14" s="52">
        <v>5</v>
      </c>
      <c r="AC14" s="52" t="s">
        <v>247</v>
      </c>
      <c r="AD14" s="52" t="s">
        <v>2</v>
      </c>
      <c r="AE14" s="52" t="s">
        <v>375</v>
      </c>
      <c r="AF14" s="155" t="s">
        <v>247</v>
      </c>
      <c r="AG14" s="155" t="s">
        <v>247</v>
      </c>
      <c r="AI14" s="1" t="s">
        <v>246</v>
      </c>
      <c r="AK14" t="s">
        <v>257</v>
      </c>
      <c r="AL14" s="48">
        <v>15</v>
      </c>
      <c r="AM14" s="48">
        <v>25</v>
      </c>
      <c r="AN14" s="48">
        <v>30</v>
      </c>
      <c r="AO14" s="48">
        <v>40</v>
      </c>
      <c r="BB14" s="94" t="s">
        <v>592</v>
      </c>
      <c r="BC14" s="52">
        <v>0.19800000000000001</v>
      </c>
      <c r="BD14" s="52">
        <v>0.76</v>
      </c>
      <c r="BE14" s="52">
        <v>0.76</v>
      </c>
      <c r="BF14" s="52">
        <v>0.76</v>
      </c>
      <c r="BG14" s="52">
        <v>0.76</v>
      </c>
      <c r="BH14" s="52">
        <f>EEFm_AC</f>
        <v>0.433</v>
      </c>
      <c r="BI14" s="222">
        <f>INDEX($BD$56:$BH$56,MATCH(Table_6.11[[#Headers],[Deemed TCSPFBase GEMS Cold Zone]],$BD$48:$BH$48,0))</f>
        <v>4.4400000000000004</v>
      </c>
      <c r="BJ14" s="222">
        <f>INDEX($BD$56:$BH$56,MATCH(Table_6.11[[#Headers],[Deemed TCSPFBase GEMS Mixed Zone]],$BD$48:$BH$48,0))</f>
        <v>4.3499999999999996</v>
      </c>
      <c r="BK14" s="223">
        <f>INDEX($BI$56:$BM$56,MATCH(Table_6.11[[#Headers],[Deemed TCSPFBase GEMS Cold Zone]],$BI$48:$BM$48,0))</f>
        <v>5.98</v>
      </c>
      <c r="BL14" s="223">
        <f>INDEX($BI$56:$BM$56,MATCH(Table_6.11[[#Headers],[Deemed TCSPFBase GEMS Mixed Zone]],$BI$48:$BM$48,0))</f>
        <v>5.52</v>
      </c>
      <c r="BM14" s="52">
        <f>EEFm_AC</f>
        <v>0.433</v>
      </c>
      <c r="BN14" s="52">
        <f t="shared" si="3"/>
        <v>21</v>
      </c>
      <c r="BO14" s="52">
        <f t="shared" si="4"/>
        <v>15.5</v>
      </c>
    </row>
    <row r="15" spans="1:67">
      <c r="I15" s="161">
        <v>2025</v>
      </c>
      <c r="J15" s="161" t="s">
        <v>44</v>
      </c>
      <c r="K15" s="161">
        <v>0.6</v>
      </c>
      <c r="L15" s="3"/>
      <c r="M15" s="3"/>
      <c r="N15" s="3"/>
      <c r="O15" s="3"/>
      <c r="P15" s="3"/>
      <c r="Q15" s="229">
        <f t="shared" si="5"/>
        <v>45689</v>
      </c>
      <c r="R15" s="225">
        <v>53327</v>
      </c>
      <c r="S15" s="10">
        <v>0.39300000000000002</v>
      </c>
      <c r="T15" s="10">
        <v>0.39300000000000002</v>
      </c>
      <c r="V15" s="94" t="s">
        <v>94</v>
      </c>
      <c r="W15" s="10">
        <v>5</v>
      </c>
      <c r="Y15" s="47">
        <v>2612</v>
      </c>
      <c r="Z15" s="52" t="s">
        <v>407</v>
      </c>
      <c r="AA15" s="52" t="s">
        <v>247</v>
      </c>
      <c r="AB15" s="52" t="s">
        <v>247</v>
      </c>
      <c r="AC15" s="52" t="s">
        <v>247</v>
      </c>
      <c r="AD15" s="52" t="s">
        <v>1</v>
      </c>
      <c r="AE15" s="52" t="s">
        <v>375</v>
      </c>
      <c r="AF15" s="155" t="s">
        <v>247</v>
      </c>
      <c r="AG15" s="155" t="s">
        <v>247</v>
      </c>
      <c r="AI15" s="42" t="s">
        <v>249</v>
      </c>
      <c r="AJ15" s="23" t="s">
        <v>248</v>
      </c>
      <c r="AK15" s="43" t="s">
        <v>250</v>
      </c>
      <c r="AL15" s="49" t="s">
        <v>252</v>
      </c>
      <c r="AM15" s="49" t="s">
        <v>253</v>
      </c>
      <c r="AN15" s="49" t="s">
        <v>254</v>
      </c>
      <c r="AO15" s="49" t="s">
        <v>255</v>
      </c>
      <c r="BB15" s="94" t="s">
        <v>591</v>
      </c>
      <c r="BC15" s="52">
        <v>0.19800000000000001</v>
      </c>
      <c r="BD15" s="52">
        <v>0.76</v>
      </c>
      <c r="BE15" s="52">
        <v>0.76</v>
      </c>
      <c r="BF15" s="52">
        <v>0.76</v>
      </c>
      <c r="BG15" s="52">
        <v>0.76</v>
      </c>
      <c r="BH15" s="52">
        <f>EEFm_AC</f>
        <v>0.433</v>
      </c>
      <c r="BI15" s="161" t="s">
        <v>610</v>
      </c>
      <c r="BJ15" s="161" t="s">
        <v>609</v>
      </c>
      <c r="BK15" s="161" t="s">
        <v>610</v>
      </c>
      <c r="BL15" s="161" t="s">
        <v>609</v>
      </c>
      <c r="BM15" s="52">
        <f>EEFm_AC</f>
        <v>0.433</v>
      </c>
      <c r="BN15" s="52">
        <f t="shared" si="3"/>
        <v>21</v>
      </c>
      <c r="BO15" s="52">
        <f t="shared" si="4"/>
        <v>15.5</v>
      </c>
    </row>
    <row r="16" spans="1:67">
      <c r="I16" s="161">
        <v>2026</v>
      </c>
      <c r="J16" s="161" t="s">
        <v>45</v>
      </c>
      <c r="K16" s="161">
        <v>0.5</v>
      </c>
      <c r="L16" s="3"/>
      <c r="M16" s="3"/>
      <c r="N16" s="3"/>
      <c r="O16" s="3"/>
      <c r="P16" s="3"/>
      <c r="R16" s="3"/>
      <c r="S16" s="3"/>
      <c r="V16" s="94" t="s">
        <v>96</v>
      </c>
      <c r="W16" s="10">
        <v>1430</v>
      </c>
      <c r="Y16" s="47">
        <v>2613</v>
      </c>
      <c r="Z16" s="52" t="s">
        <v>407</v>
      </c>
      <c r="AA16" s="52" t="s">
        <v>247</v>
      </c>
      <c r="AB16" s="52" t="s">
        <v>247</v>
      </c>
      <c r="AC16" s="52" t="s">
        <v>247</v>
      </c>
      <c r="AD16" s="52" t="s">
        <v>1</v>
      </c>
      <c r="AE16" s="52" t="s">
        <v>375</v>
      </c>
      <c r="AF16" s="155" t="s">
        <v>247</v>
      </c>
      <c r="AG16" s="155" t="s">
        <v>247</v>
      </c>
      <c r="AI16" s="25">
        <v>80</v>
      </c>
      <c r="AJ16" s="15">
        <v>100</v>
      </c>
      <c r="AK16" s="47">
        <v>1200</v>
      </c>
      <c r="AL16" s="53">
        <v>0.6</v>
      </c>
      <c r="AM16" s="53" t="s">
        <v>247</v>
      </c>
      <c r="AN16" s="53" t="s">
        <v>247</v>
      </c>
      <c r="AO16" s="53" t="s">
        <v>247</v>
      </c>
      <c r="BB16" s="95" t="s">
        <v>590</v>
      </c>
      <c r="BC16" s="52">
        <f>EEF_AC</f>
        <v>0.53339999999999999</v>
      </c>
      <c r="BD16" s="223">
        <f>INDEX($BD$56:$BH$56,MATCH(Table_6.11[[#Headers],[Deemed HSPFBase GEMS Cold Zone]],$BD$48:$BH$48,0))</f>
        <v>3.43</v>
      </c>
      <c r="BE16" s="223">
        <f>INDEX($BD$56:$BH$56,MATCH(Table_6.11[[#Headers],[Deemed HSPFBase GEMS Mixed Zone]],$BD$48:$BH$48,0))</f>
        <v>3.98</v>
      </c>
      <c r="BF16" s="223">
        <f>INDEX($BI$56:$BM$56,MATCH(Table_6.11[[#Headers],[Deemed HSPFBase GEMS Cold Zone]],$BI$48:$BM$48,0))</f>
        <v>3.77</v>
      </c>
      <c r="BG16" s="223">
        <f>INDEX($BI$56:$BM$56,MATCH("Deemed HSPFBase GEMS Mixed Zone",$BI$48:$BM$48,0))</f>
        <v>4.3099999999999996</v>
      </c>
      <c r="BH16" s="52">
        <f t="shared" ref="BH16" si="7">EEF_AC</f>
        <v>0.53339999999999999</v>
      </c>
      <c r="BI16" s="223">
        <f>INDEX($BD$56:$BH$56,MATCH(Table_6.11[[#Headers],[Deemed TCSPFBase GEMS Cold Zone]],$BD$48:$BH$48,0))</f>
        <v>4.4400000000000004</v>
      </c>
      <c r="BJ16" s="223">
        <f>INDEX($BD$56:$BH$56,MATCH(Table_6.11[[#Headers],[Deemed TCSPFBase GEMS Mixed Zone]],$BD$48:$BH$48,0))</f>
        <v>4.3499999999999996</v>
      </c>
      <c r="BK16" s="223">
        <f>INDEX($BI$56:$BM$56,MATCH(Table_6.11[[#Headers],[Deemed TCSPFBase GEMS Cold Zone]],$BI$48:$BM$48,0))</f>
        <v>5.98</v>
      </c>
      <c r="BL16" s="223">
        <f>INDEX($BI$56:$BM$56,MATCH(Table_6.11[[#Headers],[Deemed TCSPFBase GEMS Mixed Zone]],$BI$48:$BM$48,0))</f>
        <v>5.52</v>
      </c>
      <c r="BM16" s="52">
        <f t="shared" ref="BM16" si="8">EEF_AC</f>
        <v>0.53339999999999999</v>
      </c>
      <c r="BN16" s="52">
        <f t="shared" si="3"/>
        <v>21</v>
      </c>
      <c r="BO16" s="52">
        <f t="shared" si="4"/>
        <v>15.5</v>
      </c>
    </row>
    <row r="17" spans="9:59">
      <c r="I17" s="161">
        <v>2027</v>
      </c>
      <c r="J17" s="161" t="s">
        <v>46</v>
      </c>
      <c r="K17" s="161">
        <v>0.4</v>
      </c>
      <c r="L17" s="3"/>
      <c r="M17" s="3"/>
      <c r="N17" s="3"/>
      <c r="O17" s="3"/>
      <c r="P17" s="3"/>
      <c r="R17" s="3"/>
      <c r="S17" s="3" t="s">
        <v>311</v>
      </c>
      <c r="T17" t="s">
        <v>310</v>
      </c>
      <c r="V17" s="94" t="s">
        <v>98</v>
      </c>
      <c r="W17" s="10">
        <v>4470</v>
      </c>
      <c r="Y17" s="47">
        <v>2614</v>
      </c>
      <c r="Z17" s="52" t="s">
        <v>407</v>
      </c>
      <c r="AA17" s="52" t="s">
        <v>247</v>
      </c>
      <c r="AB17" s="52" t="s">
        <v>247</v>
      </c>
      <c r="AC17" s="52" t="s">
        <v>247</v>
      </c>
      <c r="AD17" s="52" t="s">
        <v>1</v>
      </c>
      <c r="AE17" s="52" t="s">
        <v>375</v>
      </c>
      <c r="AF17" s="155" t="s">
        <v>247</v>
      </c>
      <c r="AG17" s="155" t="s">
        <v>247</v>
      </c>
      <c r="AI17" s="25">
        <v>100</v>
      </c>
      <c r="AJ17" s="15">
        <v>120</v>
      </c>
      <c r="AK17" s="47">
        <v>1500</v>
      </c>
      <c r="AL17" s="53">
        <v>0.8</v>
      </c>
      <c r="AM17" s="53">
        <v>0.75</v>
      </c>
      <c r="AN17" s="53" t="s">
        <v>247</v>
      </c>
      <c r="AO17" s="53" t="s">
        <v>247</v>
      </c>
    </row>
    <row r="18" spans="9:59">
      <c r="I18" s="161">
        <v>2028</v>
      </c>
      <c r="J18" s="161" t="s">
        <v>47</v>
      </c>
      <c r="K18" s="161">
        <v>0.3</v>
      </c>
      <c r="L18" s="3"/>
      <c r="M18" s="3"/>
      <c r="N18" s="3"/>
      <c r="O18" s="3"/>
      <c r="P18" s="3"/>
      <c r="R18" s="24" t="s">
        <v>697</v>
      </c>
      <c r="S18" s="230">
        <f>'HP Residential Calculator'!$D$12</f>
        <v>45715</v>
      </c>
      <c r="T18" s="230">
        <f>'HP Commercial Calculator'!Commercial_Year</f>
        <v>45566</v>
      </c>
      <c r="V18" s="94" t="s">
        <v>100</v>
      </c>
      <c r="W18" s="10">
        <v>124</v>
      </c>
      <c r="Y18" s="47">
        <v>2615</v>
      </c>
      <c r="Z18" s="52" t="s">
        <v>407</v>
      </c>
      <c r="AA18" s="52" t="s">
        <v>247</v>
      </c>
      <c r="AB18" s="52" t="s">
        <v>247</v>
      </c>
      <c r="AC18" s="52" t="s">
        <v>247</v>
      </c>
      <c r="AD18" s="52" t="s">
        <v>1</v>
      </c>
      <c r="AE18" s="52" t="s">
        <v>375</v>
      </c>
      <c r="AF18" s="155" t="s">
        <v>247</v>
      </c>
      <c r="AG18" s="155" t="s">
        <v>247</v>
      </c>
      <c r="AI18" s="25">
        <v>120</v>
      </c>
      <c r="AJ18" s="15">
        <v>140</v>
      </c>
      <c r="AK18" s="47">
        <v>1900</v>
      </c>
      <c r="AL18" s="53">
        <v>1</v>
      </c>
      <c r="AM18" s="53">
        <v>0.95</v>
      </c>
      <c r="AN18" s="53">
        <v>0.9</v>
      </c>
      <c r="AO18" s="53" t="s">
        <v>247</v>
      </c>
      <c r="BB18" s="1" t="s">
        <v>608</v>
      </c>
    </row>
    <row r="19" spans="9:59">
      <c r="I19" s="161">
        <v>2029</v>
      </c>
      <c r="J19" s="161" t="s">
        <v>48</v>
      </c>
      <c r="K19" s="161">
        <v>0.2</v>
      </c>
      <c r="L19" s="3"/>
      <c r="M19" s="3"/>
      <c r="N19" s="3"/>
      <c r="O19" s="3"/>
      <c r="P19" s="3"/>
      <c r="R19" s="5" t="s">
        <v>36</v>
      </c>
      <c r="S19" s="5" cm="1">
        <f t="array" ref="S19">LOOKUP(2,1/(VEU_Electricity_Emissions_Factors[Start Date]&lt;=EEF_Year)/(VEU_Electricity_Emissions_Factors[End Date]&gt;=EEF_Year),VEU_Electricity_Emissions_Factors[EEFs])</f>
        <v>0.39300000000000002</v>
      </c>
      <c r="T19" s="5" t="e" cm="1">
        <f t="array" ref="T19">LOOKUP(2,1/(VEU_Electricity_Emissions_Factors[Start Date]&lt;=T18)/(VEU_Electricity_Emissions_Factors[End Date]&gt;=EEF_Year),VEU_Electricity_Emissions_Factors[EEFs])</f>
        <v>#N/A</v>
      </c>
      <c r="V19" s="94" t="s">
        <v>102</v>
      </c>
      <c r="W19" s="10">
        <v>5</v>
      </c>
      <c r="Y19" s="47">
        <v>2616</v>
      </c>
      <c r="Z19" s="52" t="s">
        <v>407</v>
      </c>
      <c r="AA19" s="52" t="s">
        <v>247</v>
      </c>
      <c r="AB19" s="52" t="s">
        <v>247</v>
      </c>
      <c r="AC19" s="52" t="s">
        <v>247</v>
      </c>
      <c r="AD19" s="52" t="s">
        <v>1</v>
      </c>
      <c r="AE19" s="52" t="s">
        <v>375</v>
      </c>
      <c r="AF19" s="155" t="s">
        <v>247</v>
      </c>
      <c r="AG19" s="155" t="s">
        <v>247</v>
      </c>
      <c r="AI19" s="25">
        <v>140</v>
      </c>
      <c r="AJ19" s="15">
        <v>160</v>
      </c>
      <c r="AK19" s="47">
        <v>2300</v>
      </c>
      <c r="AL19" s="53">
        <v>1.2</v>
      </c>
      <c r="AM19" s="53">
        <v>1.1499999999999999</v>
      </c>
      <c r="AN19" s="53">
        <v>1.1000000000000001</v>
      </c>
      <c r="AO19" s="53">
        <v>1</v>
      </c>
      <c r="BB19" s="42" t="s">
        <v>557</v>
      </c>
      <c r="BC19" s="42" t="s">
        <v>558</v>
      </c>
      <c r="BD19" s="42" t="s">
        <v>562</v>
      </c>
    </row>
    <row r="20" spans="9:59">
      <c r="I20" s="161">
        <v>2030</v>
      </c>
      <c r="J20" s="161" t="s">
        <v>49</v>
      </c>
      <c r="K20" s="161">
        <v>0.1</v>
      </c>
      <c r="L20" s="3"/>
      <c r="M20" s="3"/>
      <c r="N20" s="3"/>
      <c r="O20" s="3"/>
      <c r="P20" s="3"/>
      <c r="R20" s="5" t="s">
        <v>73</v>
      </c>
      <c r="S20" s="5" cm="1">
        <f t="array" ref="S20">LOOKUP(2,1/(VEU_Electricity_Emissions_Factors[Start Date]&lt;=EEF_Year)/(VEU_Electricity_Emissions_Factors[End Date]&gt;=EEF_Year),VEU_Electricity_Emissions_Factors[EEFm])</f>
        <v>0.39300000000000002</v>
      </c>
      <c r="T20" s="5" cm="1">
        <f t="array" ref="T20">LOOKUP(2,1/(VEU_Electricity_Emissions_Factors[Start Date]&lt;=T18)/(VEU_Electricity_Emissions_Factors[End Date]&gt;=T18),VEU_Electricity_Emissions_Factors[EEFm])</f>
        <v>0.433</v>
      </c>
      <c r="V20" s="94" t="s">
        <v>104</v>
      </c>
      <c r="W20" s="10">
        <v>3220</v>
      </c>
      <c r="Y20" s="47">
        <v>2617</v>
      </c>
      <c r="Z20" s="52" t="s">
        <v>407</v>
      </c>
      <c r="AA20" s="52" t="s">
        <v>247</v>
      </c>
      <c r="AB20" s="52" t="s">
        <v>247</v>
      </c>
      <c r="AC20" s="52" t="s">
        <v>247</v>
      </c>
      <c r="AD20" s="52" t="s">
        <v>1</v>
      </c>
      <c r="AE20" s="52" t="s">
        <v>375</v>
      </c>
      <c r="AF20" s="155" t="s">
        <v>247</v>
      </c>
      <c r="AG20" s="155" t="s">
        <v>247</v>
      </c>
      <c r="BB20" s="95" t="s">
        <v>1</v>
      </c>
      <c r="BC20" s="94" t="s">
        <v>559</v>
      </c>
      <c r="BD20" s="261" t="s">
        <v>607</v>
      </c>
    </row>
    <row r="21" spans="9:59">
      <c r="I21" s="3"/>
      <c r="J21" s="3"/>
      <c r="K21" s="3"/>
      <c r="L21" s="3"/>
      <c r="M21" s="3"/>
      <c r="N21" s="3"/>
      <c r="O21" s="3"/>
      <c r="P21" s="3"/>
      <c r="V21" s="94" t="s">
        <v>106</v>
      </c>
      <c r="W21" s="10">
        <v>5</v>
      </c>
      <c r="Y21" s="47">
        <v>2618</v>
      </c>
      <c r="Z21" s="52" t="s">
        <v>410</v>
      </c>
      <c r="AA21" s="52">
        <v>7</v>
      </c>
      <c r="AB21" s="52">
        <v>5</v>
      </c>
      <c r="AC21" s="52" t="s">
        <v>247</v>
      </c>
      <c r="AD21" s="52" t="s">
        <v>2</v>
      </c>
      <c r="AE21" s="52" t="s">
        <v>375</v>
      </c>
      <c r="AF21" s="155" t="s">
        <v>247</v>
      </c>
      <c r="AG21" s="155" t="s">
        <v>247</v>
      </c>
      <c r="AI21" s="1" t="s">
        <v>261</v>
      </c>
      <c r="AL21" t="s">
        <v>256</v>
      </c>
      <c r="AM21">
        <v>0</v>
      </c>
      <c r="AN21">
        <f>AM22</f>
        <v>10</v>
      </c>
      <c r="AO21">
        <f t="shared" ref="AO21:AY21" si="9">AN22</f>
        <v>15</v>
      </c>
      <c r="AP21">
        <f t="shared" si="9"/>
        <v>20</v>
      </c>
      <c r="AQ21">
        <f t="shared" si="9"/>
        <v>25</v>
      </c>
      <c r="AR21">
        <f t="shared" si="9"/>
        <v>30</v>
      </c>
      <c r="AS21">
        <f t="shared" si="9"/>
        <v>35</v>
      </c>
      <c r="AT21">
        <f t="shared" si="9"/>
        <v>40</v>
      </c>
      <c r="AU21">
        <f t="shared" si="9"/>
        <v>45</v>
      </c>
      <c r="AV21">
        <f t="shared" si="9"/>
        <v>50</v>
      </c>
      <c r="AW21">
        <f t="shared" si="9"/>
        <v>60</v>
      </c>
      <c r="AX21">
        <f t="shared" si="9"/>
        <v>70</v>
      </c>
      <c r="AY21">
        <f t="shared" si="9"/>
        <v>80</v>
      </c>
      <c r="BB21" s="95" t="s">
        <v>1</v>
      </c>
      <c r="BC21" s="94" t="s">
        <v>560</v>
      </c>
      <c r="BD21" s="261" t="s">
        <v>607</v>
      </c>
    </row>
    <row r="22" spans="9:59">
      <c r="I22" s="184" t="s">
        <v>488</v>
      </c>
      <c r="J22" s="3"/>
      <c r="K22" s="3"/>
      <c r="L22" s="3"/>
      <c r="M22" s="3"/>
      <c r="N22" s="3"/>
      <c r="O22" s="3"/>
      <c r="P22" s="3"/>
      <c r="S22" s="1" t="s">
        <v>370</v>
      </c>
      <c r="V22" s="94" t="s">
        <v>108</v>
      </c>
      <c r="W22" s="10">
        <v>14800</v>
      </c>
      <c r="Y22" s="47">
        <v>2900</v>
      </c>
      <c r="Z22" s="52" t="s">
        <v>407</v>
      </c>
      <c r="AA22" s="52" t="s">
        <v>247</v>
      </c>
      <c r="AB22" s="52" t="s">
        <v>247</v>
      </c>
      <c r="AC22" s="52" t="s">
        <v>247</v>
      </c>
      <c r="AD22" s="52" t="s">
        <v>1</v>
      </c>
      <c r="AE22" s="52" t="s">
        <v>375</v>
      </c>
      <c r="AF22" s="155" t="s">
        <v>247</v>
      </c>
      <c r="AG22" s="155" t="s">
        <v>247</v>
      </c>
      <c r="AI22" s="287" t="s">
        <v>267</v>
      </c>
      <c r="AJ22" s="396"/>
      <c r="AK22" s="397"/>
      <c r="AL22" t="s">
        <v>257</v>
      </c>
      <c r="AM22">
        <v>10</v>
      </c>
      <c r="AN22">
        <v>15</v>
      </c>
      <c r="AO22">
        <v>20</v>
      </c>
      <c r="AP22">
        <v>25</v>
      </c>
      <c r="AQ22">
        <v>30</v>
      </c>
      <c r="AR22">
        <v>35</v>
      </c>
      <c r="AS22">
        <v>40</v>
      </c>
      <c r="AT22">
        <v>45</v>
      </c>
      <c r="AU22">
        <v>50</v>
      </c>
      <c r="AV22">
        <v>60</v>
      </c>
      <c r="AW22">
        <v>70</v>
      </c>
      <c r="AX22">
        <v>80</v>
      </c>
      <c r="AY22">
        <v>90</v>
      </c>
      <c r="BB22" s="95" t="s">
        <v>2</v>
      </c>
      <c r="BC22" s="94" t="s">
        <v>559</v>
      </c>
      <c r="BD22" s="261" t="s">
        <v>607</v>
      </c>
    </row>
    <row r="23" spans="9:59">
      <c r="I23" s="98" t="s">
        <v>478</v>
      </c>
      <c r="J23" s="98" t="s">
        <v>66</v>
      </c>
      <c r="K23" s="98" t="s">
        <v>474</v>
      </c>
      <c r="L23" s="98" t="s">
        <v>489</v>
      </c>
      <c r="M23" s="98" t="s">
        <v>473</v>
      </c>
      <c r="N23" s="98" t="s">
        <v>476</v>
      </c>
      <c r="O23" s="98" t="s">
        <v>475</v>
      </c>
      <c r="P23" s="98" t="s">
        <v>24</v>
      </c>
      <c r="S23" s="148" t="s">
        <v>349</v>
      </c>
      <c r="V23" s="94" t="s">
        <v>110</v>
      </c>
      <c r="W23" s="10">
        <v>1340</v>
      </c>
      <c r="Y23" s="47">
        <v>2901</v>
      </c>
      <c r="Z23" s="52" t="s">
        <v>407</v>
      </c>
      <c r="AA23" s="52" t="s">
        <v>247</v>
      </c>
      <c r="AB23" s="52" t="s">
        <v>247</v>
      </c>
      <c r="AC23" s="52" t="s">
        <v>247</v>
      </c>
      <c r="AD23" s="52" t="s">
        <v>1</v>
      </c>
      <c r="AE23" s="52" t="s">
        <v>375</v>
      </c>
      <c r="AF23" s="155" t="s">
        <v>247</v>
      </c>
      <c r="AG23" s="155" t="s">
        <v>247</v>
      </c>
      <c r="AI23" s="42" t="s">
        <v>264</v>
      </c>
      <c r="AJ23" s="43" t="s">
        <v>268</v>
      </c>
      <c r="AK23" s="43" t="s">
        <v>265</v>
      </c>
      <c r="AL23" s="43" t="s">
        <v>284</v>
      </c>
      <c r="AM23" s="61" t="s">
        <v>271</v>
      </c>
      <c r="AN23" s="49" t="s">
        <v>272</v>
      </c>
      <c r="AO23" s="49" t="s">
        <v>273</v>
      </c>
      <c r="AP23" s="49" t="s">
        <v>274</v>
      </c>
      <c r="AQ23" s="49" t="s">
        <v>275</v>
      </c>
      <c r="AR23" s="49" t="s">
        <v>276</v>
      </c>
      <c r="AS23" s="49" t="s">
        <v>277</v>
      </c>
      <c r="AT23" s="49" t="s">
        <v>278</v>
      </c>
      <c r="AU23" s="49" t="s">
        <v>279</v>
      </c>
      <c r="AV23" s="49" t="s">
        <v>280</v>
      </c>
      <c r="AW23" s="49" t="s">
        <v>281</v>
      </c>
      <c r="AX23" s="49" t="s">
        <v>282</v>
      </c>
      <c r="AY23" s="49" t="s">
        <v>283</v>
      </c>
      <c r="BB23" s="95" t="s">
        <v>2</v>
      </c>
      <c r="BC23" s="94" t="s">
        <v>560</v>
      </c>
      <c r="BD23" s="261" t="s">
        <v>607</v>
      </c>
    </row>
    <row r="24" spans="9:59">
      <c r="I24" s="190">
        <v>45462</v>
      </c>
      <c r="J24" s="161" t="s">
        <v>16</v>
      </c>
      <c r="K24" s="161" t="s">
        <v>27</v>
      </c>
      <c r="L24" s="161">
        <v>3</v>
      </c>
      <c r="M24" s="133">
        <v>23.18</v>
      </c>
      <c r="N24" s="133">
        <v>0</v>
      </c>
      <c r="O24" s="133">
        <v>2.2909999999999999</v>
      </c>
      <c r="P24" s="133">
        <v>12</v>
      </c>
      <c r="S24" s="148" t="s">
        <v>350</v>
      </c>
      <c r="V24" s="94" t="s">
        <v>112</v>
      </c>
      <c r="W24" s="10">
        <v>1370</v>
      </c>
      <c r="Y24" s="47">
        <v>2902</v>
      </c>
      <c r="Z24" s="52" t="s">
        <v>407</v>
      </c>
      <c r="AA24" s="52" t="s">
        <v>247</v>
      </c>
      <c r="AB24" s="52" t="s">
        <v>247</v>
      </c>
      <c r="AC24" s="52" t="s">
        <v>247</v>
      </c>
      <c r="AD24" s="52" t="s">
        <v>1</v>
      </c>
      <c r="AE24" s="52" t="s">
        <v>375</v>
      </c>
      <c r="AF24" s="155" t="s">
        <v>247</v>
      </c>
      <c r="AG24" s="155" t="s">
        <v>247</v>
      </c>
      <c r="AI24" s="25">
        <v>550</v>
      </c>
      <c r="AJ24" s="15">
        <v>700</v>
      </c>
      <c r="AK24" s="15">
        <v>1</v>
      </c>
      <c r="AL24" s="47">
        <v>600</v>
      </c>
      <c r="AM24" s="52">
        <v>0.24</v>
      </c>
      <c r="AN24" s="52" t="s">
        <v>247</v>
      </c>
      <c r="AO24" s="52" t="s">
        <v>247</v>
      </c>
      <c r="AP24" s="52" t="s">
        <v>247</v>
      </c>
      <c r="AQ24" s="52" t="s">
        <v>247</v>
      </c>
      <c r="AR24" s="52" t="s">
        <v>247</v>
      </c>
      <c r="AS24" s="52" t="s">
        <v>247</v>
      </c>
      <c r="AT24" s="52" t="s">
        <v>247</v>
      </c>
      <c r="AU24" s="52" t="s">
        <v>247</v>
      </c>
      <c r="AV24" s="52" t="s">
        <v>247</v>
      </c>
      <c r="AW24" s="52" t="s">
        <v>247</v>
      </c>
      <c r="AX24" s="52" t="s">
        <v>247</v>
      </c>
      <c r="AY24" s="52" t="s">
        <v>247</v>
      </c>
      <c r="BB24" s="95" t="s">
        <v>2</v>
      </c>
      <c r="BC24" s="94" t="s">
        <v>561</v>
      </c>
      <c r="BD24" s="261" t="s">
        <v>606</v>
      </c>
    </row>
    <row r="25" spans="9:59">
      <c r="I25" s="190">
        <v>45462</v>
      </c>
      <c r="J25" s="161" t="s">
        <v>16</v>
      </c>
      <c r="K25" s="161" t="s">
        <v>27</v>
      </c>
      <c r="L25" s="161">
        <v>5</v>
      </c>
      <c r="M25" s="133">
        <v>25.43</v>
      </c>
      <c r="N25" s="133">
        <v>0</v>
      </c>
      <c r="O25" s="133">
        <v>2.31</v>
      </c>
      <c r="P25" s="133">
        <v>12</v>
      </c>
      <c r="S25" s="148" t="s">
        <v>371</v>
      </c>
      <c r="V25" s="94" t="s">
        <v>114</v>
      </c>
      <c r="W25" s="10">
        <v>9810</v>
      </c>
      <c r="Y25" s="47">
        <v>2903</v>
      </c>
      <c r="Z25" s="52" t="s">
        <v>407</v>
      </c>
      <c r="AA25" s="52" t="s">
        <v>247</v>
      </c>
      <c r="AB25" s="52" t="s">
        <v>247</v>
      </c>
      <c r="AC25" s="52" t="s">
        <v>247</v>
      </c>
      <c r="AD25" s="52" t="s">
        <v>1</v>
      </c>
      <c r="AE25" s="52" t="s">
        <v>375</v>
      </c>
      <c r="AF25" s="155" t="s">
        <v>247</v>
      </c>
      <c r="AG25" s="155" t="s">
        <v>247</v>
      </c>
      <c r="AI25" s="25">
        <v>700</v>
      </c>
      <c r="AJ25" s="15">
        <v>1150</v>
      </c>
      <c r="AK25" s="15">
        <v>1</v>
      </c>
      <c r="AL25" s="47">
        <v>1100</v>
      </c>
      <c r="AM25" s="52">
        <v>0.42</v>
      </c>
      <c r="AN25" s="52">
        <v>0.35</v>
      </c>
      <c r="AO25" s="52" t="s">
        <v>247</v>
      </c>
      <c r="AP25" s="52" t="s">
        <v>247</v>
      </c>
      <c r="AQ25" s="52" t="s">
        <v>247</v>
      </c>
      <c r="AR25" s="52" t="s">
        <v>247</v>
      </c>
      <c r="AS25" s="52" t="s">
        <v>247</v>
      </c>
      <c r="AT25" s="52" t="s">
        <v>247</v>
      </c>
      <c r="AU25" s="52" t="s">
        <v>247</v>
      </c>
      <c r="AV25" s="52" t="s">
        <v>247</v>
      </c>
      <c r="AW25" s="52" t="s">
        <v>247</v>
      </c>
      <c r="AX25" s="52" t="s">
        <v>247</v>
      </c>
      <c r="AY25" s="52" t="s">
        <v>247</v>
      </c>
    </row>
    <row r="26" spans="9:59">
      <c r="I26" s="190">
        <v>45462</v>
      </c>
      <c r="J26" s="161" t="s">
        <v>16</v>
      </c>
      <c r="K26" s="161" t="s">
        <v>28</v>
      </c>
      <c r="L26" s="161">
        <v>3</v>
      </c>
      <c r="M26" s="133">
        <v>35.14</v>
      </c>
      <c r="N26" s="133">
        <v>0</v>
      </c>
      <c r="O26" s="133">
        <v>2.2909999999999999</v>
      </c>
      <c r="P26" s="133">
        <v>12</v>
      </c>
      <c r="V26" s="94" t="s">
        <v>116</v>
      </c>
      <c r="W26" s="10">
        <v>693</v>
      </c>
      <c r="Y26" s="47">
        <v>2904</v>
      </c>
      <c r="Z26" s="52" t="s">
        <v>407</v>
      </c>
      <c r="AA26" s="52" t="s">
        <v>247</v>
      </c>
      <c r="AB26" s="52" t="s">
        <v>247</v>
      </c>
      <c r="AC26" s="52" t="s">
        <v>247</v>
      </c>
      <c r="AD26" s="52" t="s">
        <v>1</v>
      </c>
      <c r="AE26" s="52" t="s">
        <v>375</v>
      </c>
      <c r="AF26" s="155" t="s">
        <v>247</v>
      </c>
      <c r="AG26" s="155" t="s">
        <v>247</v>
      </c>
      <c r="AI26" s="25">
        <v>1150</v>
      </c>
      <c r="AJ26" s="15">
        <v>1350</v>
      </c>
      <c r="AK26" s="15">
        <v>1</v>
      </c>
      <c r="AL26" s="47">
        <v>1500</v>
      </c>
      <c r="AM26" s="52" t="s">
        <v>247</v>
      </c>
      <c r="AN26" s="52">
        <v>0.44</v>
      </c>
      <c r="AO26" s="52">
        <v>0.36</v>
      </c>
      <c r="AP26" s="52">
        <v>0.28999999999999998</v>
      </c>
      <c r="AQ26" s="52" t="s">
        <v>247</v>
      </c>
      <c r="AR26" s="52" t="s">
        <v>247</v>
      </c>
      <c r="AS26" s="52" t="s">
        <v>247</v>
      </c>
      <c r="AT26" s="52" t="s">
        <v>247</v>
      </c>
      <c r="AU26" s="52" t="s">
        <v>247</v>
      </c>
      <c r="AV26" s="52" t="s">
        <v>247</v>
      </c>
      <c r="AW26" s="52" t="s">
        <v>247</v>
      </c>
      <c r="AX26" s="52" t="s">
        <v>247</v>
      </c>
      <c r="AY26" s="52" t="s">
        <v>247</v>
      </c>
      <c r="BB26" s="1" t="s">
        <v>605</v>
      </c>
      <c r="BF26" s="1" t="s">
        <v>683</v>
      </c>
    </row>
    <row r="27" spans="9:59">
      <c r="I27" s="190">
        <v>45462</v>
      </c>
      <c r="J27" s="161" t="s">
        <v>16</v>
      </c>
      <c r="K27" s="161" t="s">
        <v>28</v>
      </c>
      <c r="L27" s="161">
        <v>5</v>
      </c>
      <c r="M27" s="133">
        <v>38.49</v>
      </c>
      <c r="N27" s="133">
        <v>0</v>
      </c>
      <c r="O27" s="133">
        <v>2.31</v>
      </c>
      <c r="P27" s="133">
        <v>12</v>
      </c>
      <c r="V27" s="94" t="s">
        <v>118</v>
      </c>
      <c r="W27" s="10">
        <v>1030</v>
      </c>
      <c r="Y27" s="47">
        <v>2905</v>
      </c>
      <c r="Z27" s="52" t="s">
        <v>407</v>
      </c>
      <c r="AA27" s="52" t="s">
        <v>247</v>
      </c>
      <c r="AB27" s="52" t="s">
        <v>247</v>
      </c>
      <c r="AC27" s="52" t="s">
        <v>247</v>
      </c>
      <c r="AD27" s="52" t="s">
        <v>1</v>
      </c>
      <c r="AE27" s="52" t="s">
        <v>375</v>
      </c>
      <c r="AF27" s="155" t="s">
        <v>247</v>
      </c>
      <c r="AG27" s="155" t="s">
        <v>247</v>
      </c>
      <c r="AI27" s="25">
        <v>1350</v>
      </c>
      <c r="AJ27" s="15">
        <v>1500</v>
      </c>
      <c r="AK27" s="15">
        <v>1</v>
      </c>
      <c r="AL27" s="47">
        <v>2400</v>
      </c>
      <c r="AM27" s="52" t="s">
        <v>247</v>
      </c>
      <c r="AN27" s="52" t="s">
        <v>247</v>
      </c>
      <c r="AO27" s="52">
        <v>0.69</v>
      </c>
      <c r="AP27" s="52">
        <v>0.62</v>
      </c>
      <c r="AQ27" s="52">
        <v>0.54</v>
      </c>
      <c r="AR27" s="52">
        <v>0.47</v>
      </c>
      <c r="AS27" s="52">
        <v>0.39</v>
      </c>
      <c r="AT27" s="52" t="s">
        <v>262</v>
      </c>
      <c r="AU27" s="52" t="s">
        <v>262</v>
      </c>
      <c r="AV27" s="52" t="s">
        <v>262</v>
      </c>
      <c r="AW27" s="52" t="s">
        <v>247</v>
      </c>
      <c r="AX27" s="52" t="s">
        <v>247</v>
      </c>
      <c r="AY27" s="52" t="s">
        <v>247</v>
      </c>
      <c r="BB27" s="262" t="s">
        <v>604</v>
      </c>
      <c r="BC27" s="262" t="s">
        <v>558</v>
      </c>
      <c r="BD27" s="262" t="s">
        <v>603</v>
      </c>
      <c r="BE27" s="262" t="s">
        <v>602</v>
      </c>
      <c r="BF27" s="262" t="s">
        <v>681</v>
      </c>
      <c r="BG27" s="262" t="s">
        <v>682</v>
      </c>
    </row>
    <row r="28" spans="9:59">
      <c r="I28" s="190">
        <v>45462</v>
      </c>
      <c r="J28" s="161" t="s">
        <v>18</v>
      </c>
      <c r="K28" s="161" t="s">
        <v>27</v>
      </c>
      <c r="L28" s="161">
        <v>3</v>
      </c>
      <c r="M28" s="133">
        <v>0.57999999999999996</v>
      </c>
      <c r="N28" s="133">
        <v>28.029</v>
      </c>
      <c r="O28" s="133">
        <v>2.2909999999999999</v>
      </c>
      <c r="P28" s="133">
        <v>12</v>
      </c>
      <c r="R28" s="1" t="s">
        <v>418</v>
      </c>
      <c r="V28" s="94" t="s">
        <v>76</v>
      </c>
      <c r="W28" s="10">
        <v>3</v>
      </c>
      <c r="Y28" s="47">
        <v>2906</v>
      </c>
      <c r="Z28" s="52" t="s">
        <v>407</v>
      </c>
      <c r="AA28" s="52" t="s">
        <v>247</v>
      </c>
      <c r="AB28" s="52" t="s">
        <v>247</v>
      </c>
      <c r="AC28" s="52" t="s">
        <v>247</v>
      </c>
      <c r="AD28" s="52" t="s">
        <v>1</v>
      </c>
      <c r="AE28" s="52" t="s">
        <v>375</v>
      </c>
      <c r="AF28" s="155" t="s">
        <v>247</v>
      </c>
      <c r="AG28" s="155" t="s">
        <v>247</v>
      </c>
      <c r="AI28" s="25">
        <v>550</v>
      </c>
      <c r="AJ28" s="15">
        <v>700</v>
      </c>
      <c r="AK28" s="15">
        <v>2</v>
      </c>
      <c r="AL28" s="47">
        <v>1200</v>
      </c>
      <c r="AM28" s="52">
        <v>0.63</v>
      </c>
      <c r="AN28" s="52">
        <v>0.56000000000000005</v>
      </c>
      <c r="AO28" s="52">
        <v>0.48</v>
      </c>
      <c r="AP28" s="52" t="s">
        <v>247</v>
      </c>
      <c r="AQ28" s="52" t="s">
        <v>247</v>
      </c>
      <c r="AR28" s="52" t="s">
        <v>247</v>
      </c>
      <c r="AS28" s="52" t="s">
        <v>247</v>
      </c>
      <c r="AT28" s="52" t="s">
        <v>247</v>
      </c>
      <c r="AU28" s="52" t="s">
        <v>247</v>
      </c>
      <c r="AV28" s="52" t="s">
        <v>247</v>
      </c>
      <c r="AW28" s="52" t="s">
        <v>247</v>
      </c>
      <c r="AX28" s="52" t="s">
        <v>247</v>
      </c>
      <c r="AY28" s="52" t="s">
        <v>247</v>
      </c>
      <c r="BB28" s="95" t="s">
        <v>601</v>
      </c>
      <c r="BC28" s="94" t="s">
        <v>560</v>
      </c>
      <c r="BD28" s="261">
        <v>0.89200000000000002</v>
      </c>
      <c r="BE28" s="261">
        <v>1.2849999999999999</v>
      </c>
      <c r="BF28" s="261">
        <v>0.98099999999999998</v>
      </c>
      <c r="BG28" s="261">
        <v>1.7310000000000001</v>
      </c>
    </row>
    <row r="29" spans="9:59">
      <c r="I29" s="190">
        <v>45462</v>
      </c>
      <c r="J29" s="161" t="s">
        <v>18</v>
      </c>
      <c r="K29" s="161" t="s">
        <v>27</v>
      </c>
      <c r="L29" s="161">
        <v>5</v>
      </c>
      <c r="M29" s="133">
        <v>0.57999999999999996</v>
      </c>
      <c r="N29" s="133">
        <v>31.65</v>
      </c>
      <c r="O29" s="133">
        <v>2.31</v>
      </c>
      <c r="P29" s="133">
        <v>12</v>
      </c>
      <c r="R29" s="161" t="s">
        <v>420</v>
      </c>
      <c r="S29" s="133">
        <v>12</v>
      </c>
      <c r="V29" s="94" t="s">
        <v>121</v>
      </c>
      <c r="W29" s="10">
        <v>675</v>
      </c>
      <c r="Y29" s="47">
        <v>2907</v>
      </c>
      <c r="Z29" s="52" t="s">
        <v>407</v>
      </c>
      <c r="AA29" s="52" t="s">
        <v>247</v>
      </c>
      <c r="AB29" s="52" t="s">
        <v>247</v>
      </c>
      <c r="AC29" s="52" t="s">
        <v>247</v>
      </c>
      <c r="AD29" s="52" t="s">
        <v>1</v>
      </c>
      <c r="AE29" s="52" t="s">
        <v>375</v>
      </c>
      <c r="AF29" s="155" t="s">
        <v>247</v>
      </c>
      <c r="AG29" s="155" t="s">
        <v>247</v>
      </c>
      <c r="AI29" s="25">
        <v>700</v>
      </c>
      <c r="AJ29" s="15">
        <v>1150</v>
      </c>
      <c r="AK29" s="15">
        <v>2</v>
      </c>
      <c r="AL29" s="47">
        <v>2200</v>
      </c>
      <c r="AM29" s="52" t="s">
        <v>247</v>
      </c>
      <c r="AN29" s="52">
        <v>0.92</v>
      </c>
      <c r="AO29" s="52">
        <v>0.84</v>
      </c>
      <c r="AP29" s="52">
        <v>0.77</v>
      </c>
      <c r="AQ29" s="52">
        <v>0.69</v>
      </c>
      <c r="AR29" s="52">
        <v>0.62</v>
      </c>
      <c r="AS29" s="52" t="s">
        <v>247</v>
      </c>
      <c r="AT29" s="52" t="s">
        <v>247</v>
      </c>
      <c r="AU29" s="52" t="s">
        <v>247</v>
      </c>
      <c r="AV29" s="52" t="s">
        <v>247</v>
      </c>
      <c r="AW29" s="52" t="s">
        <v>247</v>
      </c>
      <c r="AX29" s="52" t="s">
        <v>247</v>
      </c>
      <c r="AY29" s="52" t="s">
        <v>247</v>
      </c>
      <c r="BB29" s="95" t="s">
        <v>601</v>
      </c>
      <c r="BC29" s="94" t="s">
        <v>559</v>
      </c>
      <c r="BD29" s="261">
        <f>BD28</f>
        <v>0.89200000000000002</v>
      </c>
      <c r="BE29" s="261">
        <f>BE28</f>
        <v>1.2849999999999999</v>
      </c>
      <c r="BF29" s="261">
        <f>BF28</f>
        <v>0.98099999999999998</v>
      </c>
      <c r="BG29" s="261">
        <f>BG28</f>
        <v>1.7310000000000001</v>
      </c>
    </row>
    <row r="30" spans="9:59" ht="44.25">
      <c r="I30" s="190">
        <v>45462</v>
      </c>
      <c r="J30" s="161" t="s">
        <v>18</v>
      </c>
      <c r="K30" s="161" t="s">
        <v>28</v>
      </c>
      <c r="L30" s="161">
        <v>3</v>
      </c>
      <c r="M30" s="133">
        <v>0.57999999999999996</v>
      </c>
      <c r="N30" s="133">
        <v>47.337000000000003</v>
      </c>
      <c r="O30" s="133">
        <v>2.2909999999999999</v>
      </c>
      <c r="P30" s="133">
        <v>12</v>
      </c>
      <c r="R30" s="162" t="s">
        <v>422</v>
      </c>
      <c r="S30" s="133">
        <v>6</v>
      </c>
      <c r="V30" s="94" t="s">
        <v>123</v>
      </c>
      <c r="W30" s="10">
        <v>794</v>
      </c>
      <c r="Y30" s="47">
        <v>2908</v>
      </c>
      <c r="Z30" s="52" t="s">
        <v>407</v>
      </c>
      <c r="AA30" s="52" t="s">
        <v>247</v>
      </c>
      <c r="AB30" s="52" t="s">
        <v>247</v>
      </c>
      <c r="AC30" s="52" t="s">
        <v>247</v>
      </c>
      <c r="AD30" s="52" t="s">
        <v>1</v>
      </c>
      <c r="AE30" s="52" t="s">
        <v>375</v>
      </c>
      <c r="AF30" s="155" t="s">
        <v>247</v>
      </c>
      <c r="AG30" s="155" t="s">
        <v>247</v>
      </c>
      <c r="AI30" s="25">
        <v>1150</v>
      </c>
      <c r="AJ30" s="15">
        <v>1350</v>
      </c>
      <c r="AK30" s="15">
        <v>2</v>
      </c>
      <c r="AL30" s="47">
        <v>3000</v>
      </c>
      <c r="AM30" s="52" t="s">
        <v>247</v>
      </c>
      <c r="AN30" s="52" t="s">
        <v>247</v>
      </c>
      <c r="AO30" s="52" t="s">
        <v>247</v>
      </c>
      <c r="AP30" s="52">
        <v>0.95</v>
      </c>
      <c r="AQ30" s="52">
        <v>0.87</v>
      </c>
      <c r="AR30" s="52">
        <v>0.8</v>
      </c>
      <c r="AS30" s="52">
        <v>0.72</v>
      </c>
      <c r="AT30" s="52">
        <v>0.65</v>
      </c>
      <c r="AU30" s="52">
        <v>0.56999999999999995</v>
      </c>
      <c r="AV30" s="52" t="s">
        <v>247</v>
      </c>
      <c r="AW30" s="52" t="s">
        <v>247</v>
      </c>
      <c r="AX30" s="52" t="s">
        <v>247</v>
      </c>
      <c r="AY30" s="52" t="s">
        <v>247</v>
      </c>
      <c r="BB30" s="95" t="s">
        <v>601</v>
      </c>
      <c r="BC30" s="94" t="s">
        <v>561</v>
      </c>
      <c r="BD30" s="261">
        <v>1.0349999999999999</v>
      </c>
      <c r="BE30" s="261">
        <v>1.258</v>
      </c>
      <c r="BF30" s="261">
        <v>1.1220000000000001</v>
      </c>
      <c r="BG30" s="261">
        <v>1.5980000000000001</v>
      </c>
    </row>
    <row r="31" spans="9:59">
      <c r="I31" s="190">
        <v>45462</v>
      </c>
      <c r="J31" s="161" t="s">
        <v>18</v>
      </c>
      <c r="K31" s="161" t="s">
        <v>28</v>
      </c>
      <c r="L31" s="161">
        <v>5</v>
      </c>
      <c r="M31" s="133">
        <v>0.57999999999999996</v>
      </c>
      <c r="N31" s="133">
        <v>52.75</v>
      </c>
      <c r="O31" s="133">
        <v>2.31</v>
      </c>
      <c r="P31" s="133">
        <v>12</v>
      </c>
      <c r="R31" s="161" t="s">
        <v>423</v>
      </c>
      <c r="S31" s="133">
        <v>0.77</v>
      </c>
      <c r="V31" s="94" t="s">
        <v>87</v>
      </c>
      <c r="W31" s="10">
        <v>3922</v>
      </c>
      <c r="Y31" s="47">
        <v>2909</v>
      </c>
      <c r="Z31" s="52" t="s">
        <v>407</v>
      </c>
      <c r="AA31" s="52" t="s">
        <v>247</v>
      </c>
      <c r="AB31" s="52" t="s">
        <v>247</v>
      </c>
      <c r="AC31" s="52" t="s">
        <v>247</v>
      </c>
      <c r="AD31" s="52" t="s">
        <v>1</v>
      </c>
      <c r="AE31" s="52" t="s">
        <v>375</v>
      </c>
      <c r="AF31" s="155" t="s">
        <v>247</v>
      </c>
      <c r="AG31" s="155" t="s">
        <v>247</v>
      </c>
      <c r="AI31" s="25">
        <v>1350</v>
      </c>
      <c r="AJ31" s="15">
        <v>1500</v>
      </c>
      <c r="AK31" s="15">
        <v>2</v>
      </c>
      <c r="AL31" s="47">
        <v>4900</v>
      </c>
      <c r="AM31" s="52" t="s">
        <v>247</v>
      </c>
      <c r="AN31" s="52" t="s">
        <v>247</v>
      </c>
      <c r="AO31" s="52" t="s">
        <v>247</v>
      </c>
      <c r="AP31" s="52" t="s">
        <v>247</v>
      </c>
      <c r="AQ31" s="52" t="s">
        <v>247</v>
      </c>
      <c r="AR31" s="52">
        <v>1.46</v>
      </c>
      <c r="AS31" s="52">
        <v>1.38</v>
      </c>
      <c r="AT31" s="52">
        <v>1.31</v>
      </c>
      <c r="AU31" s="52">
        <v>1.23</v>
      </c>
      <c r="AV31" s="52">
        <v>1.08</v>
      </c>
      <c r="AW31" s="52">
        <v>0.93</v>
      </c>
      <c r="AX31" s="52">
        <v>0.78</v>
      </c>
      <c r="AY31" s="52" t="s">
        <v>262</v>
      </c>
    </row>
    <row r="32" spans="9:59">
      <c r="I32" s="3"/>
      <c r="J32" s="3"/>
      <c r="K32" s="3"/>
      <c r="L32" s="3"/>
      <c r="M32" s="3"/>
      <c r="N32" s="3"/>
      <c r="O32" s="3"/>
      <c r="P32" s="3"/>
      <c r="R32" s="161" t="s">
        <v>424</v>
      </c>
      <c r="S32" s="133">
        <v>1</v>
      </c>
      <c r="V32" s="94" t="s">
        <v>89</v>
      </c>
      <c r="W32" s="10">
        <v>2107</v>
      </c>
      <c r="Y32" s="47">
        <v>2910</v>
      </c>
      <c r="Z32" s="52" t="s">
        <v>407</v>
      </c>
      <c r="AA32" s="52" t="s">
        <v>247</v>
      </c>
      <c r="AB32" s="52" t="s">
        <v>247</v>
      </c>
      <c r="AC32" s="52" t="s">
        <v>247</v>
      </c>
      <c r="AD32" s="52" t="s">
        <v>1</v>
      </c>
      <c r="AE32" s="52" t="s">
        <v>375</v>
      </c>
      <c r="AF32" s="155" t="s">
        <v>247</v>
      </c>
      <c r="AG32" s="155" t="s">
        <v>247</v>
      </c>
      <c r="AI32" s="25">
        <v>550</v>
      </c>
      <c r="AJ32" s="15">
        <v>700</v>
      </c>
      <c r="AK32" s="15">
        <v>3</v>
      </c>
      <c r="AL32" s="47">
        <v>1900</v>
      </c>
      <c r="AM32" s="52" t="s">
        <v>247</v>
      </c>
      <c r="AN32" s="52">
        <v>0.95</v>
      </c>
      <c r="AO32" s="52">
        <v>0.87</v>
      </c>
      <c r="AP32" s="52">
        <v>0.8</v>
      </c>
      <c r="AQ32" s="52">
        <v>0.72</v>
      </c>
      <c r="AR32" s="52" t="s">
        <v>247</v>
      </c>
      <c r="AS32" s="52" t="s">
        <v>247</v>
      </c>
      <c r="AT32" s="52" t="s">
        <v>247</v>
      </c>
      <c r="AU32" s="52" t="s">
        <v>247</v>
      </c>
      <c r="AV32" s="52" t="s">
        <v>247</v>
      </c>
      <c r="AW32" s="52" t="s">
        <v>247</v>
      </c>
      <c r="AX32" s="52" t="s">
        <v>247</v>
      </c>
      <c r="AY32" s="52" t="s">
        <v>247</v>
      </c>
      <c r="BB32" s="1" t="s">
        <v>600</v>
      </c>
    </row>
    <row r="33" spans="18:65">
      <c r="R33" s="161" t="s">
        <v>425</v>
      </c>
      <c r="S33" s="133">
        <v>1</v>
      </c>
      <c r="V33" s="94" t="s">
        <v>91</v>
      </c>
      <c r="W33" s="10">
        <v>2804</v>
      </c>
      <c r="Y33" s="47">
        <v>2911</v>
      </c>
      <c r="Z33" s="52" t="s">
        <v>407</v>
      </c>
      <c r="AA33" s="52" t="s">
        <v>247</v>
      </c>
      <c r="AB33" s="52" t="s">
        <v>247</v>
      </c>
      <c r="AC33" s="52" t="s">
        <v>247</v>
      </c>
      <c r="AD33" s="52" t="s">
        <v>1</v>
      </c>
      <c r="AE33" s="52" t="s">
        <v>375</v>
      </c>
      <c r="AF33" s="155" t="s">
        <v>247</v>
      </c>
      <c r="AG33" s="155" t="s">
        <v>247</v>
      </c>
      <c r="AI33" s="25">
        <v>700</v>
      </c>
      <c r="AJ33" s="15">
        <v>1150</v>
      </c>
      <c r="AK33" s="15">
        <v>3</v>
      </c>
      <c r="AL33" s="47">
        <v>3300</v>
      </c>
      <c r="AM33" s="52" t="s">
        <v>247</v>
      </c>
      <c r="AN33" s="52" t="s">
        <v>247</v>
      </c>
      <c r="AO33" s="52"/>
      <c r="AP33" s="52">
        <v>1.34</v>
      </c>
      <c r="AQ33" s="52">
        <v>1.26</v>
      </c>
      <c r="AR33" s="52">
        <v>1.19</v>
      </c>
      <c r="AS33" s="52">
        <v>1.1100000000000001</v>
      </c>
      <c r="AT33" s="52">
        <v>1.04</v>
      </c>
      <c r="AU33" s="52">
        <v>0.96</v>
      </c>
      <c r="AV33" s="52" t="s">
        <v>247</v>
      </c>
      <c r="AW33" s="52" t="s">
        <v>247</v>
      </c>
      <c r="AX33" s="52" t="s">
        <v>247</v>
      </c>
      <c r="AY33" s="52" t="s">
        <v>247</v>
      </c>
      <c r="BB33" s="262" t="s">
        <v>576</v>
      </c>
      <c r="BC33" s="262" t="s">
        <v>24</v>
      </c>
      <c r="BD33" s="262" t="s">
        <v>370</v>
      </c>
    </row>
    <row r="34" spans="18:65">
      <c r="V34" s="94" t="s">
        <v>93</v>
      </c>
      <c r="W34" s="10">
        <v>1774</v>
      </c>
      <c r="Y34" s="47">
        <v>2912</v>
      </c>
      <c r="Z34" s="52" t="s">
        <v>407</v>
      </c>
      <c r="AA34" s="52" t="s">
        <v>247</v>
      </c>
      <c r="AB34" s="52" t="s">
        <v>247</v>
      </c>
      <c r="AC34" s="52" t="s">
        <v>247</v>
      </c>
      <c r="AD34" s="52" t="s">
        <v>1</v>
      </c>
      <c r="AE34" s="52" t="s">
        <v>375</v>
      </c>
      <c r="AF34" s="155" t="s">
        <v>247</v>
      </c>
      <c r="AG34" s="155" t="s">
        <v>247</v>
      </c>
      <c r="AI34" s="25">
        <v>1150</v>
      </c>
      <c r="AJ34" s="15">
        <v>1350</v>
      </c>
      <c r="AK34" s="15">
        <v>3</v>
      </c>
      <c r="AL34" s="47">
        <v>4500</v>
      </c>
      <c r="AM34" s="52" t="s">
        <v>247</v>
      </c>
      <c r="AN34" s="52" t="s">
        <v>247</v>
      </c>
      <c r="AO34" s="52" t="s">
        <v>247</v>
      </c>
      <c r="AP34" s="52" t="s">
        <v>247</v>
      </c>
      <c r="AQ34" s="52" t="s">
        <v>247</v>
      </c>
      <c r="AR34" s="52">
        <v>1.46</v>
      </c>
      <c r="AS34" s="52">
        <v>1.38</v>
      </c>
      <c r="AT34" s="52">
        <v>1.31</v>
      </c>
      <c r="AU34" s="52">
        <v>1.23</v>
      </c>
      <c r="AV34" s="52">
        <v>1.08</v>
      </c>
      <c r="AW34" s="52">
        <v>0.93</v>
      </c>
      <c r="AX34" s="52" t="s">
        <v>247</v>
      </c>
      <c r="AY34" s="52" t="s">
        <v>247</v>
      </c>
      <c r="BB34" s="94" t="s">
        <v>599</v>
      </c>
      <c r="BC34" s="261">
        <v>12</v>
      </c>
      <c r="BD34" s="263" t="s">
        <v>654</v>
      </c>
    </row>
    <row r="35" spans="18:65">
      <c r="R35" s="184" t="s">
        <v>467</v>
      </c>
      <c r="V35" s="94" t="s">
        <v>95</v>
      </c>
      <c r="W35" s="10">
        <v>1627</v>
      </c>
      <c r="Y35" s="47">
        <v>2913</v>
      </c>
      <c r="Z35" s="52" t="s">
        <v>407</v>
      </c>
      <c r="AA35" s="52" t="s">
        <v>247</v>
      </c>
      <c r="AB35" s="52" t="s">
        <v>247</v>
      </c>
      <c r="AC35" s="52" t="s">
        <v>247</v>
      </c>
      <c r="AD35" s="52" t="s">
        <v>1</v>
      </c>
      <c r="AE35" s="52" t="s">
        <v>375</v>
      </c>
      <c r="AF35" s="155" t="s">
        <v>247</v>
      </c>
      <c r="AG35" s="155" t="s">
        <v>247</v>
      </c>
      <c r="AI35" s="25">
        <v>1350</v>
      </c>
      <c r="AJ35" s="15">
        <v>1500</v>
      </c>
      <c r="AK35" s="15">
        <v>3</v>
      </c>
      <c r="AL35" s="47">
        <v>7300</v>
      </c>
      <c r="AM35" s="52" t="s">
        <v>247</v>
      </c>
      <c r="AN35" s="52" t="s">
        <v>247</v>
      </c>
      <c r="AO35" s="52" t="s">
        <v>247</v>
      </c>
      <c r="AP35" s="52" t="s">
        <v>247</v>
      </c>
      <c r="AQ35" s="52" t="s">
        <v>247</v>
      </c>
      <c r="AR35" s="52" t="s">
        <v>247</v>
      </c>
      <c r="AS35" s="52" t="s">
        <v>247</v>
      </c>
      <c r="AT35" s="52" t="s">
        <v>247</v>
      </c>
      <c r="AU35" s="52">
        <v>2.2200000000000002</v>
      </c>
      <c r="AV35" s="52">
        <v>2.0699999999999998</v>
      </c>
      <c r="AW35" s="52">
        <v>1.92</v>
      </c>
      <c r="AX35" s="52">
        <v>1.77</v>
      </c>
      <c r="AY35" s="52">
        <v>1.62</v>
      </c>
      <c r="BB35" s="94" t="s">
        <v>598</v>
      </c>
      <c r="BC35" s="261">
        <v>12</v>
      </c>
      <c r="BD35" s="263" t="s">
        <v>655</v>
      </c>
    </row>
    <row r="36" spans="18:65">
      <c r="R36" s="15" t="s">
        <v>468</v>
      </c>
      <c r="S36" s="30" t="s">
        <v>421</v>
      </c>
      <c r="V36" s="94" t="s">
        <v>97</v>
      </c>
      <c r="W36" s="10">
        <v>1552</v>
      </c>
      <c r="Y36" s="47">
        <v>2914</v>
      </c>
      <c r="Z36" s="52" t="s">
        <v>407</v>
      </c>
      <c r="AA36" s="52" t="s">
        <v>247</v>
      </c>
      <c r="AB36" s="52" t="s">
        <v>247</v>
      </c>
      <c r="AC36" s="52" t="s">
        <v>247</v>
      </c>
      <c r="AD36" s="52" t="s">
        <v>1</v>
      </c>
      <c r="AE36" s="52" t="s">
        <v>375</v>
      </c>
      <c r="AF36" s="155" t="s">
        <v>247</v>
      </c>
      <c r="AG36" s="155" t="s">
        <v>247</v>
      </c>
      <c r="BB36" s="94" t="s">
        <v>597</v>
      </c>
      <c r="BC36" s="261">
        <v>12</v>
      </c>
      <c r="BD36" s="263" t="s">
        <v>656</v>
      </c>
    </row>
    <row r="37" spans="18:65">
      <c r="R37" s="47" t="s">
        <v>469</v>
      </c>
      <c r="S37" s="52">
        <v>1.04</v>
      </c>
      <c r="V37" s="94" t="s">
        <v>99</v>
      </c>
      <c r="W37" s="10">
        <v>1825</v>
      </c>
      <c r="Y37" s="47">
        <v>2000</v>
      </c>
      <c r="Z37" s="52" t="s">
        <v>410</v>
      </c>
      <c r="AA37" s="52">
        <v>5</v>
      </c>
      <c r="AB37" s="52">
        <v>3</v>
      </c>
      <c r="AC37" s="52" t="s">
        <v>247</v>
      </c>
      <c r="AD37" s="52" t="s">
        <v>1</v>
      </c>
      <c r="AE37" s="52" t="s">
        <v>372</v>
      </c>
      <c r="AF37" s="155" t="s">
        <v>247</v>
      </c>
      <c r="AG37" s="155" t="s">
        <v>247</v>
      </c>
      <c r="BB37" s="94" t="s">
        <v>596</v>
      </c>
      <c r="BC37" s="261">
        <v>12</v>
      </c>
      <c r="BD37" s="263" t="s">
        <v>657</v>
      </c>
    </row>
    <row r="38" spans="18:65">
      <c r="R38" s="47" t="s">
        <v>472</v>
      </c>
      <c r="S38" s="52">
        <v>1.05</v>
      </c>
      <c r="V38" s="94" t="s">
        <v>101</v>
      </c>
      <c r="W38" s="10">
        <v>1463</v>
      </c>
      <c r="Y38" s="47">
        <v>2001</v>
      </c>
      <c r="Z38" s="52" t="s">
        <v>410</v>
      </c>
      <c r="AA38" s="52" t="s">
        <v>247</v>
      </c>
      <c r="AB38" s="52">
        <v>3</v>
      </c>
      <c r="AC38" s="52" t="s">
        <v>247</v>
      </c>
      <c r="AD38" s="52" t="s">
        <v>1</v>
      </c>
      <c r="AE38" s="52" t="s">
        <v>372</v>
      </c>
      <c r="AF38" s="155" t="s">
        <v>247</v>
      </c>
      <c r="AG38" s="155" t="s">
        <v>247</v>
      </c>
      <c r="BB38" s="94" t="s">
        <v>582</v>
      </c>
      <c r="BC38" s="261">
        <v>12</v>
      </c>
      <c r="BD38" s="263" t="s">
        <v>659</v>
      </c>
    </row>
    <row r="39" spans="18:65">
      <c r="R39" s="47" t="s">
        <v>470</v>
      </c>
      <c r="S39" s="52">
        <v>1.05</v>
      </c>
      <c r="V39" s="94" t="s">
        <v>103</v>
      </c>
      <c r="W39" s="10">
        <v>92</v>
      </c>
      <c r="Y39" s="47">
        <v>2002</v>
      </c>
      <c r="Z39" s="52" t="s">
        <v>410</v>
      </c>
      <c r="AA39" s="52" t="s">
        <v>247</v>
      </c>
      <c r="AB39" s="52">
        <v>3</v>
      </c>
      <c r="AC39" s="52" t="s">
        <v>247</v>
      </c>
      <c r="AD39" s="52" t="s">
        <v>1</v>
      </c>
      <c r="AE39" s="52" t="s">
        <v>372</v>
      </c>
      <c r="AF39" s="155" t="s">
        <v>247</v>
      </c>
      <c r="AG39" s="155" t="s">
        <v>247</v>
      </c>
      <c r="BB39" s="94" t="s">
        <v>595</v>
      </c>
      <c r="BC39" s="261">
        <v>12</v>
      </c>
      <c r="BD39" s="263" t="s">
        <v>660</v>
      </c>
    </row>
    <row r="40" spans="18:65">
      <c r="R40" s="47" t="s">
        <v>471</v>
      </c>
      <c r="S40" s="52">
        <v>1.05</v>
      </c>
      <c r="V40" s="94" t="s">
        <v>105</v>
      </c>
      <c r="W40" s="10">
        <v>2088</v>
      </c>
      <c r="Y40" s="47">
        <v>2003</v>
      </c>
      <c r="Z40" s="52" t="s">
        <v>410</v>
      </c>
      <c r="AA40" s="52" t="s">
        <v>247</v>
      </c>
      <c r="AB40" s="52">
        <v>3</v>
      </c>
      <c r="AC40" s="52" t="s">
        <v>247</v>
      </c>
      <c r="AD40" s="52" t="s">
        <v>1</v>
      </c>
      <c r="AE40" s="52" t="s">
        <v>372</v>
      </c>
      <c r="AF40" s="155" t="s">
        <v>247</v>
      </c>
      <c r="AG40" s="155" t="s">
        <v>247</v>
      </c>
      <c r="BB40" s="94" t="s">
        <v>594</v>
      </c>
      <c r="BC40" s="261">
        <v>12</v>
      </c>
      <c r="BD40" s="263" t="s">
        <v>661</v>
      </c>
    </row>
    <row r="41" spans="18:65">
      <c r="V41" s="94" t="s">
        <v>107</v>
      </c>
      <c r="W41" s="10">
        <v>2229</v>
      </c>
      <c r="Y41" s="47">
        <v>2004</v>
      </c>
      <c r="Z41" s="52" t="s">
        <v>410</v>
      </c>
      <c r="AA41" s="52" t="s">
        <v>247</v>
      </c>
      <c r="AB41" s="52">
        <v>3</v>
      </c>
      <c r="AC41" s="52" t="s">
        <v>247</v>
      </c>
      <c r="AD41" s="52" t="s">
        <v>1</v>
      </c>
      <c r="AE41" s="52" t="s">
        <v>372</v>
      </c>
      <c r="AF41" s="155" t="s">
        <v>247</v>
      </c>
      <c r="AG41" s="155" t="s">
        <v>247</v>
      </c>
      <c r="BB41" s="94" t="s">
        <v>593</v>
      </c>
      <c r="BC41" s="261">
        <v>12</v>
      </c>
      <c r="BD41" s="263" t="s">
        <v>662</v>
      </c>
    </row>
    <row r="42" spans="18:65">
      <c r="R42" s="1" t="s">
        <v>435</v>
      </c>
      <c r="V42" s="94" t="s">
        <v>109</v>
      </c>
      <c r="W42" s="10">
        <v>2053</v>
      </c>
      <c r="Y42" s="47">
        <v>2005</v>
      </c>
      <c r="Z42" s="52" t="s">
        <v>410</v>
      </c>
      <c r="AA42" s="52" t="s">
        <v>247</v>
      </c>
      <c r="AB42" s="52">
        <v>3</v>
      </c>
      <c r="AC42" s="52" t="s">
        <v>247</v>
      </c>
      <c r="AD42" s="52" t="s">
        <v>1</v>
      </c>
      <c r="AE42" s="52" t="s">
        <v>372</v>
      </c>
      <c r="AF42" s="155" t="s">
        <v>247</v>
      </c>
      <c r="AG42" s="155" t="s">
        <v>247</v>
      </c>
      <c r="BB42" s="94" t="s">
        <v>592</v>
      </c>
      <c r="BC42" s="261">
        <v>12</v>
      </c>
      <c r="BD42" s="263" t="s">
        <v>663</v>
      </c>
    </row>
    <row r="43" spans="18:65">
      <c r="R43" s="15" t="s">
        <v>436</v>
      </c>
      <c r="S43" s="174">
        <v>0.98</v>
      </c>
      <c r="V43" s="94" t="s">
        <v>111</v>
      </c>
      <c r="W43" s="10">
        <v>2346</v>
      </c>
      <c r="Y43" s="47">
        <v>2006</v>
      </c>
      <c r="Z43" s="52" t="s">
        <v>410</v>
      </c>
      <c r="AA43" s="52">
        <v>5</v>
      </c>
      <c r="AB43" s="52">
        <v>3</v>
      </c>
      <c r="AC43" s="52" t="s">
        <v>247</v>
      </c>
      <c r="AD43" s="52" t="s">
        <v>1</v>
      </c>
      <c r="AE43" s="52" t="s">
        <v>372</v>
      </c>
      <c r="AF43" s="155" t="s">
        <v>247</v>
      </c>
      <c r="AG43" s="155" t="s">
        <v>247</v>
      </c>
      <c r="BB43" s="94" t="s">
        <v>591</v>
      </c>
      <c r="BC43" s="261">
        <v>12</v>
      </c>
      <c r="BD43" s="263" t="s">
        <v>664</v>
      </c>
    </row>
    <row r="44" spans="18:65">
      <c r="R44" s="15" t="s">
        <v>437</v>
      </c>
      <c r="S44" s="174">
        <v>1.04</v>
      </c>
      <c r="V44" s="94" t="s">
        <v>113</v>
      </c>
      <c r="W44" s="10">
        <v>3027</v>
      </c>
      <c r="Y44" s="47">
        <v>2007</v>
      </c>
      <c r="Z44" s="52" t="s">
        <v>410</v>
      </c>
      <c r="AA44" s="52">
        <v>5</v>
      </c>
      <c r="AB44" s="52">
        <v>3</v>
      </c>
      <c r="AC44" s="52" t="s">
        <v>247</v>
      </c>
      <c r="AD44" s="52" t="s">
        <v>1</v>
      </c>
      <c r="AE44" s="52" t="s">
        <v>372</v>
      </c>
      <c r="AF44" s="155" t="s">
        <v>247</v>
      </c>
      <c r="AG44" s="155" t="s">
        <v>247</v>
      </c>
      <c r="BB44" s="94" t="s">
        <v>590</v>
      </c>
      <c r="BC44" s="261">
        <v>15</v>
      </c>
      <c r="BD44" s="263" t="s">
        <v>658</v>
      </c>
    </row>
    <row r="45" spans="18:65">
      <c r="R45" s="47" t="s">
        <v>438</v>
      </c>
      <c r="S45" s="52">
        <v>5.5230000000000001E-2</v>
      </c>
      <c r="V45" s="94" t="s">
        <v>115</v>
      </c>
      <c r="W45" s="10">
        <v>1809</v>
      </c>
      <c r="Y45" s="47">
        <v>2008</v>
      </c>
      <c r="Z45" s="52" t="s">
        <v>410</v>
      </c>
      <c r="AA45" s="52">
        <v>5</v>
      </c>
      <c r="AB45" s="52">
        <v>3</v>
      </c>
      <c r="AC45" s="52" t="s">
        <v>247</v>
      </c>
      <c r="AD45" s="52" t="s">
        <v>1</v>
      </c>
      <c r="AE45" s="52" t="s">
        <v>372</v>
      </c>
      <c r="AF45" s="155" t="s">
        <v>247</v>
      </c>
      <c r="AG45" s="155" t="s">
        <v>247</v>
      </c>
    </row>
    <row r="46" spans="18:65">
      <c r="R46" s="47" t="s">
        <v>439</v>
      </c>
      <c r="S46" s="175">
        <v>5.0000000000000001E-4</v>
      </c>
      <c r="V46" s="94" t="s">
        <v>117</v>
      </c>
      <c r="W46" s="10">
        <v>2967</v>
      </c>
      <c r="Y46" s="47">
        <v>2009</v>
      </c>
      <c r="Z46" s="52" t="s">
        <v>410</v>
      </c>
      <c r="AA46" s="52">
        <v>5</v>
      </c>
      <c r="AB46" s="52">
        <v>3</v>
      </c>
      <c r="AC46" s="52" t="s">
        <v>247</v>
      </c>
      <c r="AD46" s="52" t="s">
        <v>1</v>
      </c>
      <c r="AE46" s="52" t="s">
        <v>372</v>
      </c>
      <c r="AF46" s="155" t="s">
        <v>247</v>
      </c>
      <c r="AG46" s="155" t="s">
        <v>247</v>
      </c>
    </row>
    <row r="47" spans="18:65">
      <c r="V47" s="94" t="s">
        <v>119</v>
      </c>
      <c r="W47" s="10">
        <v>2384</v>
      </c>
      <c r="Y47" s="47">
        <v>2010</v>
      </c>
      <c r="Z47" s="52" t="s">
        <v>410</v>
      </c>
      <c r="AA47" s="52">
        <v>5</v>
      </c>
      <c r="AB47" s="52">
        <v>3</v>
      </c>
      <c r="AC47" s="52" t="s">
        <v>247</v>
      </c>
      <c r="AD47" s="52" t="s">
        <v>1</v>
      </c>
      <c r="AE47" s="52" t="s">
        <v>372</v>
      </c>
      <c r="AF47" s="155" t="s">
        <v>247</v>
      </c>
      <c r="AG47" s="155" t="s">
        <v>247</v>
      </c>
      <c r="BB47" s="9" t="s">
        <v>623</v>
      </c>
      <c r="BI47" s="1" t="s">
        <v>670</v>
      </c>
    </row>
    <row r="48" spans="18:65">
      <c r="R48" s="15" t="s">
        <v>433</v>
      </c>
      <c r="S48" s="30" t="s">
        <v>420</v>
      </c>
      <c r="V48" s="94" t="s">
        <v>120</v>
      </c>
      <c r="W48" s="10">
        <v>2631</v>
      </c>
      <c r="Y48" s="47">
        <v>2011</v>
      </c>
      <c r="Z48" s="52" t="s">
        <v>410</v>
      </c>
      <c r="AA48" s="52">
        <v>5</v>
      </c>
      <c r="AB48" s="52">
        <v>3</v>
      </c>
      <c r="AC48" s="52" t="s">
        <v>247</v>
      </c>
      <c r="AD48" s="52" t="s">
        <v>1</v>
      </c>
      <c r="AE48" s="52" t="s">
        <v>372</v>
      </c>
      <c r="AF48" s="155" t="s">
        <v>247</v>
      </c>
      <c r="AG48" s="155" t="s">
        <v>247</v>
      </c>
      <c r="BB48" s="21" t="s">
        <v>631</v>
      </c>
      <c r="BC48" s="21" t="s">
        <v>632</v>
      </c>
      <c r="BD48" s="21" t="s">
        <v>633</v>
      </c>
      <c r="BE48" s="21" t="s">
        <v>634</v>
      </c>
      <c r="BF48" s="21" t="s">
        <v>635</v>
      </c>
      <c r="BG48" s="21" t="s">
        <v>636</v>
      </c>
      <c r="BH48" s="21" t="s">
        <v>622</v>
      </c>
      <c r="BI48" s="21" t="s">
        <v>633</v>
      </c>
      <c r="BJ48" s="21" t="s">
        <v>634</v>
      </c>
      <c r="BK48" s="21" t="s">
        <v>635</v>
      </c>
      <c r="BL48" s="21" t="s">
        <v>636</v>
      </c>
      <c r="BM48" s="21" t="s">
        <v>622</v>
      </c>
    </row>
    <row r="49" spans="18:65">
      <c r="R49" s="176" t="s">
        <v>440</v>
      </c>
      <c r="S49" s="52">
        <v>10</v>
      </c>
      <c r="V49" s="94" t="s">
        <v>122</v>
      </c>
      <c r="W49" s="10">
        <v>3190</v>
      </c>
      <c r="Y49" s="47">
        <v>2012</v>
      </c>
      <c r="Z49" s="52" t="s">
        <v>410</v>
      </c>
      <c r="AA49" s="52" t="s">
        <v>247</v>
      </c>
      <c r="AB49" s="52">
        <v>3</v>
      </c>
      <c r="AC49" s="52" t="s">
        <v>247</v>
      </c>
      <c r="AD49" s="52" t="s">
        <v>1</v>
      </c>
      <c r="AE49" s="52" t="s">
        <v>372</v>
      </c>
      <c r="AF49" s="155" t="s">
        <v>247</v>
      </c>
      <c r="AG49" s="155" t="s">
        <v>247</v>
      </c>
      <c r="BB49" s="21" t="s">
        <v>637</v>
      </c>
      <c r="BC49" s="21" t="s">
        <v>671</v>
      </c>
      <c r="BD49" s="113">
        <v>3.03</v>
      </c>
      <c r="BE49" s="113">
        <v>3.42</v>
      </c>
      <c r="BF49" s="113">
        <v>3.66</v>
      </c>
      <c r="BG49" s="113">
        <v>3.59</v>
      </c>
      <c r="BH49" s="113">
        <v>1.18</v>
      </c>
      <c r="BI49" s="113">
        <v>3.24</v>
      </c>
      <c r="BJ49" s="113">
        <v>3.61</v>
      </c>
      <c r="BK49" s="113">
        <v>4.49</v>
      </c>
      <c r="BL49" s="113">
        <v>4.24</v>
      </c>
      <c r="BM49" s="113">
        <v>1.18</v>
      </c>
    </row>
    <row r="50" spans="18:65">
      <c r="R50" s="176" t="s">
        <v>441</v>
      </c>
      <c r="S50" s="52">
        <v>15</v>
      </c>
      <c r="V50" s="94" t="s">
        <v>124</v>
      </c>
      <c r="W50" s="10">
        <v>3143</v>
      </c>
      <c r="Y50" s="47">
        <v>2013</v>
      </c>
      <c r="Z50" s="52" t="s">
        <v>410</v>
      </c>
      <c r="AA50" s="52" t="s">
        <v>247</v>
      </c>
      <c r="AB50" s="52">
        <v>3</v>
      </c>
      <c r="AC50" s="52" t="s">
        <v>247</v>
      </c>
      <c r="AD50" s="52" t="s">
        <v>1</v>
      </c>
      <c r="AE50" s="52" t="s">
        <v>372</v>
      </c>
      <c r="AF50" s="155" t="s">
        <v>247</v>
      </c>
      <c r="AG50" s="155" t="s">
        <v>247</v>
      </c>
      <c r="BB50" s="21" t="s">
        <v>638</v>
      </c>
      <c r="BC50" s="21" t="s">
        <v>639</v>
      </c>
      <c r="BD50" s="113">
        <v>2.86</v>
      </c>
      <c r="BE50" s="113">
        <v>3.25</v>
      </c>
      <c r="BF50" s="113">
        <v>3.42</v>
      </c>
      <c r="BG50" s="113">
        <v>3.35</v>
      </c>
      <c r="BH50" s="113">
        <v>1.18</v>
      </c>
      <c r="BI50" s="113">
        <v>3.08</v>
      </c>
      <c r="BJ50" s="113">
        <v>3.46</v>
      </c>
      <c r="BK50" s="113">
        <v>4.3</v>
      </c>
      <c r="BL50" s="113">
        <v>4.04</v>
      </c>
      <c r="BM50" s="113">
        <v>1.18</v>
      </c>
    </row>
    <row r="51" spans="18:65">
      <c r="V51" s="94" t="s">
        <v>125</v>
      </c>
      <c r="W51" s="10">
        <v>2526</v>
      </c>
      <c r="Y51" s="47">
        <v>2014</v>
      </c>
      <c r="Z51" s="52" t="s">
        <v>410</v>
      </c>
      <c r="AA51" s="52" t="s">
        <v>247</v>
      </c>
      <c r="AB51" s="52">
        <v>3</v>
      </c>
      <c r="AC51" s="52" t="s">
        <v>247</v>
      </c>
      <c r="AD51" s="52" t="s">
        <v>1</v>
      </c>
      <c r="AE51" s="52" t="s">
        <v>372</v>
      </c>
      <c r="AF51" s="155" t="s">
        <v>247</v>
      </c>
      <c r="AG51" s="155" t="s">
        <v>247</v>
      </c>
      <c r="BB51" s="21" t="s">
        <v>640</v>
      </c>
      <c r="BC51" s="21" t="s">
        <v>641</v>
      </c>
      <c r="BD51" s="113">
        <v>2.86</v>
      </c>
      <c r="BE51" s="113">
        <v>3.22</v>
      </c>
      <c r="BF51" s="113">
        <v>3.22</v>
      </c>
      <c r="BG51" s="113">
        <v>3.05</v>
      </c>
      <c r="BH51" s="113">
        <v>1.18</v>
      </c>
      <c r="BI51" s="113">
        <v>3.08</v>
      </c>
      <c r="BJ51" s="113">
        <v>3.22</v>
      </c>
      <c r="BK51" s="113">
        <v>4.1500000000000004</v>
      </c>
      <c r="BL51" s="113">
        <v>3.73</v>
      </c>
      <c r="BM51" s="113">
        <v>1.18</v>
      </c>
    </row>
    <row r="52" spans="18:65">
      <c r="V52" s="94" t="s">
        <v>127</v>
      </c>
      <c r="W52" s="10">
        <v>3085</v>
      </c>
      <c r="Y52" s="47">
        <v>2015</v>
      </c>
      <c r="Z52" s="52" t="s">
        <v>410</v>
      </c>
      <c r="AA52" s="52">
        <v>5</v>
      </c>
      <c r="AB52" s="52">
        <v>3</v>
      </c>
      <c r="AC52" s="52" t="s">
        <v>247</v>
      </c>
      <c r="AD52" s="52" t="s">
        <v>1</v>
      </c>
      <c r="AE52" s="52" t="s">
        <v>372</v>
      </c>
      <c r="AF52" s="155" t="s">
        <v>247</v>
      </c>
      <c r="AG52" s="155" t="s">
        <v>247</v>
      </c>
      <c r="BB52" s="21" t="s">
        <v>672</v>
      </c>
      <c r="BC52" s="21" t="s">
        <v>673</v>
      </c>
      <c r="BD52" s="113" t="s">
        <v>247</v>
      </c>
      <c r="BE52" s="113" t="s">
        <v>247</v>
      </c>
      <c r="BF52" s="113" t="s">
        <v>247</v>
      </c>
      <c r="BG52" s="113" t="s">
        <v>247</v>
      </c>
      <c r="BH52" s="113" t="s">
        <v>247</v>
      </c>
      <c r="BI52" s="113">
        <v>2.88</v>
      </c>
      <c r="BJ52" s="113">
        <v>3.22</v>
      </c>
      <c r="BK52" s="113">
        <v>3.56</v>
      </c>
      <c r="BL52" s="113">
        <v>3.39</v>
      </c>
      <c r="BM52" s="113">
        <v>1.18</v>
      </c>
    </row>
    <row r="53" spans="18:65">
      <c r="V53" s="94" t="s">
        <v>129</v>
      </c>
      <c r="W53" s="10">
        <v>2729</v>
      </c>
      <c r="Y53" s="47">
        <v>2016</v>
      </c>
      <c r="Z53" s="52" t="s">
        <v>410</v>
      </c>
      <c r="AA53" s="52">
        <v>5</v>
      </c>
      <c r="AB53" s="52">
        <v>3</v>
      </c>
      <c r="AC53" s="52" t="s">
        <v>247</v>
      </c>
      <c r="AD53" s="52" t="s">
        <v>1</v>
      </c>
      <c r="AE53" s="52" t="s">
        <v>372</v>
      </c>
      <c r="AF53" s="155" t="s">
        <v>247</v>
      </c>
      <c r="AG53" s="155" t="s">
        <v>247</v>
      </c>
      <c r="BB53" s="21" t="s">
        <v>642</v>
      </c>
      <c r="BC53" s="21" t="s">
        <v>643</v>
      </c>
      <c r="BD53" s="113">
        <v>3.89</v>
      </c>
      <c r="BE53" s="113">
        <v>4.3600000000000003</v>
      </c>
      <c r="BF53" s="113">
        <v>5.38</v>
      </c>
      <c r="BG53" s="113">
        <v>5.23</v>
      </c>
      <c r="BH53" s="113">
        <v>1</v>
      </c>
      <c r="BI53" s="113">
        <v>4.13</v>
      </c>
      <c r="BJ53" s="113">
        <v>4.54</v>
      </c>
      <c r="BK53" s="113">
        <v>7.85</v>
      </c>
      <c r="BL53" s="113">
        <v>6.79</v>
      </c>
      <c r="BM53" s="113">
        <v>1</v>
      </c>
    </row>
    <row r="54" spans="18:65">
      <c r="V54" s="94" t="s">
        <v>131</v>
      </c>
      <c r="W54" s="10">
        <v>2592</v>
      </c>
      <c r="Y54" s="47">
        <v>2017</v>
      </c>
      <c r="Z54" s="52" t="s">
        <v>410</v>
      </c>
      <c r="AA54" s="52">
        <v>5</v>
      </c>
      <c r="AB54" s="52">
        <v>3</v>
      </c>
      <c r="AC54" s="52" t="s">
        <v>247</v>
      </c>
      <c r="AD54" s="52" t="s">
        <v>1</v>
      </c>
      <c r="AE54" s="52" t="s">
        <v>372</v>
      </c>
      <c r="AF54" s="155" t="s">
        <v>247</v>
      </c>
      <c r="AG54" s="155" t="s">
        <v>247</v>
      </c>
      <c r="BB54" s="21" t="s">
        <v>644</v>
      </c>
      <c r="BC54" s="21" t="s">
        <v>645</v>
      </c>
      <c r="BD54" s="113">
        <v>3.62</v>
      </c>
      <c r="BE54" s="113">
        <v>4.17</v>
      </c>
      <c r="BF54" s="113">
        <v>4.91</v>
      </c>
      <c r="BG54" s="113">
        <v>4.7300000000000004</v>
      </c>
      <c r="BH54" s="113">
        <v>1</v>
      </c>
      <c r="BI54" s="113">
        <v>3.93</v>
      </c>
      <c r="BJ54" s="113">
        <v>4.4400000000000004</v>
      </c>
      <c r="BK54" s="113">
        <v>6.62</v>
      </c>
      <c r="BL54" s="113">
        <v>5.93</v>
      </c>
      <c r="BM54" s="113">
        <v>1</v>
      </c>
    </row>
    <row r="55" spans="18:65">
      <c r="V55" s="94" t="s">
        <v>133</v>
      </c>
      <c r="W55" s="10">
        <v>2280</v>
      </c>
      <c r="Y55" s="47">
        <v>2018</v>
      </c>
      <c r="Z55" s="52" t="s">
        <v>410</v>
      </c>
      <c r="AA55" s="52">
        <v>5</v>
      </c>
      <c r="AB55" s="52">
        <v>3</v>
      </c>
      <c r="AC55" s="52" t="s">
        <v>247</v>
      </c>
      <c r="AD55" s="52" t="s">
        <v>1</v>
      </c>
      <c r="AE55" s="52" t="s">
        <v>372</v>
      </c>
      <c r="AF55" s="155" t="s">
        <v>247</v>
      </c>
      <c r="AG55" s="155" t="s">
        <v>247</v>
      </c>
      <c r="BB55" s="21" t="s">
        <v>646</v>
      </c>
      <c r="BC55" s="21" t="s">
        <v>647</v>
      </c>
      <c r="BD55" s="113">
        <v>3.5</v>
      </c>
      <c r="BE55" s="113">
        <v>4.17</v>
      </c>
      <c r="BF55" s="113">
        <v>4.8</v>
      </c>
      <c r="BG55" s="113">
        <v>4.7300000000000004</v>
      </c>
      <c r="BH55" s="113">
        <v>1</v>
      </c>
      <c r="BI55" s="113">
        <v>3.8</v>
      </c>
      <c r="BJ55" s="113">
        <v>4.4400000000000004</v>
      </c>
      <c r="BK55" s="113">
        <v>6.5</v>
      </c>
      <c r="BL55" s="113">
        <v>5.93</v>
      </c>
      <c r="BM55" s="113">
        <v>1</v>
      </c>
    </row>
    <row r="56" spans="18:65" ht="29.5">
      <c r="V56" s="94" t="s">
        <v>135</v>
      </c>
      <c r="W56" s="10">
        <v>2440</v>
      </c>
      <c r="Y56" s="47">
        <v>2019</v>
      </c>
      <c r="Z56" s="52" t="s">
        <v>410</v>
      </c>
      <c r="AA56" s="52">
        <v>5</v>
      </c>
      <c r="AB56" s="52">
        <v>3</v>
      </c>
      <c r="AC56" s="52" t="s">
        <v>247</v>
      </c>
      <c r="AD56" s="52" t="s">
        <v>1</v>
      </c>
      <c r="AE56" s="52" t="s">
        <v>372</v>
      </c>
      <c r="AF56" s="155" t="s">
        <v>247</v>
      </c>
      <c r="AG56" s="155" t="s">
        <v>247</v>
      </c>
      <c r="BB56" s="22" t="s">
        <v>674</v>
      </c>
      <c r="BC56" s="210" t="s">
        <v>648</v>
      </c>
      <c r="BD56" s="113">
        <v>3.43</v>
      </c>
      <c r="BE56" s="113">
        <v>3.98</v>
      </c>
      <c r="BF56" s="113">
        <v>4.4400000000000004</v>
      </c>
      <c r="BG56" s="113">
        <v>4.3499999999999996</v>
      </c>
      <c r="BH56" s="113">
        <v>1</v>
      </c>
      <c r="BI56" s="113">
        <v>3.77</v>
      </c>
      <c r="BJ56" s="113">
        <v>4.3099999999999996</v>
      </c>
      <c r="BK56" s="113">
        <v>5.98</v>
      </c>
      <c r="BL56" s="113">
        <v>5.52</v>
      </c>
      <c r="BM56" s="113">
        <v>1</v>
      </c>
    </row>
    <row r="57" spans="18:65" ht="29.5">
      <c r="V57" s="94" t="s">
        <v>137</v>
      </c>
      <c r="W57" s="10">
        <v>1505</v>
      </c>
      <c r="Y57" s="47">
        <v>2020</v>
      </c>
      <c r="Z57" s="52" t="s">
        <v>410</v>
      </c>
      <c r="AA57" s="52">
        <v>5</v>
      </c>
      <c r="AB57" s="52">
        <v>3</v>
      </c>
      <c r="AC57" s="52" t="s">
        <v>247</v>
      </c>
      <c r="AD57" s="52" t="s">
        <v>1</v>
      </c>
      <c r="AE57" s="52" t="s">
        <v>372</v>
      </c>
      <c r="AF57" s="155" t="s">
        <v>247</v>
      </c>
      <c r="AG57" s="155" t="s">
        <v>247</v>
      </c>
      <c r="BB57" s="22" t="s">
        <v>675</v>
      </c>
      <c r="BC57" s="210" t="s">
        <v>676</v>
      </c>
      <c r="BD57" s="113" t="s">
        <v>247</v>
      </c>
      <c r="BE57" s="113" t="s">
        <v>247</v>
      </c>
      <c r="BF57" s="113" t="s">
        <v>247</v>
      </c>
      <c r="BG57" s="113" t="s">
        <v>247</v>
      </c>
      <c r="BH57" s="113" t="s">
        <v>247</v>
      </c>
      <c r="BI57" s="113">
        <v>2.8</v>
      </c>
      <c r="BJ57" s="113">
        <v>3.3</v>
      </c>
      <c r="BK57" s="113">
        <v>5.3</v>
      </c>
      <c r="BL57" s="113">
        <v>4.9400000000000004</v>
      </c>
      <c r="BM57" s="113">
        <v>1</v>
      </c>
    </row>
    <row r="58" spans="18:65">
      <c r="V58" s="94" t="s">
        <v>139</v>
      </c>
      <c r="W58" s="10">
        <v>1508</v>
      </c>
      <c r="Y58" s="47">
        <v>2021</v>
      </c>
      <c r="Z58" s="52" t="s">
        <v>410</v>
      </c>
      <c r="AA58" s="52">
        <v>5</v>
      </c>
      <c r="AB58" s="52">
        <v>3</v>
      </c>
      <c r="AC58" s="52" t="s">
        <v>247</v>
      </c>
      <c r="AD58" s="52" t="s">
        <v>1</v>
      </c>
      <c r="AE58" s="52" t="s">
        <v>372</v>
      </c>
      <c r="AF58" s="155" t="s">
        <v>247</v>
      </c>
      <c r="AG58" s="155" t="s">
        <v>247</v>
      </c>
    </row>
    <row r="59" spans="18:65">
      <c r="V59" s="94" t="s">
        <v>141</v>
      </c>
      <c r="W59" s="10">
        <v>2138</v>
      </c>
      <c r="Y59" s="47">
        <v>2022</v>
      </c>
      <c r="Z59" s="52" t="s">
        <v>410</v>
      </c>
      <c r="AA59" s="52">
        <v>5</v>
      </c>
      <c r="AB59" s="52">
        <v>3</v>
      </c>
      <c r="AC59" s="52" t="s">
        <v>247</v>
      </c>
      <c r="AD59" s="52" t="s">
        <v>1</v>
      </c>
      <c r="AE59" s="52" t="s">
        <v>372</v>
      </c>
      <c r="AF59" s="155" t="s">
        <v>247</v>
      </c>
      <c r="AG59" s="155" t="s">
        <v>247</v>
      </c>
      <c r="BB59" s="1" t="s">
        <v>621</v>
      </c>
    </row>
    <row r="60" spans="18:65">
      <c r="V60" s="94" t="s">
        <v>143</v>
      </c>
      <c r="W60" s="10">
        <v>3607</v>
      </c>
      <c r="Y60" s="47">
        <v>2023</v>
      </c>
      <c r="Z60" s="52" t="s">
        <v>410</v>
      </c>
      <c r="AA60" s="52">
        <v>5</v>
      </c>
      <c r="AB60" s="52">
        <v>3</v>
      </c>
      <c r="AC60" s="52" t="s">
        <v>247</v>
      </c>
      <c r="AD60" s="52" t="s">
        <v>1</v>
      </c>
      <c r="AE60" s="52" t="s">
        <v>372</v>
      </c>
      <c r="AF60" s="155" t="s">
        <v>247</v>
      </c>
      <c r="AG60" s="155" t="s">
        <v>247</v>
      </c>
      <c r="BB60" s="209" t="s">
        <v>557</v>
      </c>
      <c r="BC60" s="209" t="s">
        <v>558</v>
      </c>
      <c r="BD60" s="209" t="s">
        <v>620</v>
      </c>
      <c r="BE60" s="209" t="s">
        <v>619</v>
      </c>
      <c r="BF60" s="209" t="s">
        <v>618</v>
      </c>
      <c r="BG60" s="209" t="s">
        <v>617</v>
      </c>
    </row>
    <row r="61" spans="18:65">
      <c r="V61" s="94" t="s">
        <v>145</v>
      </c>
      <c r="W61" s="10">
        <v>13</v>
      </c>
      <c r="Y61" s="47">
        <v>2024</v>
      </c>
      <c r="Z61" s="52" t="s">
        <v>410</v>
      </c>
      <c r="AA61" s="52">
        <v>5</v>
      </c>
      <c r="AB61" s="52">
        <v>3</v>
      </c>
      <c r="AC61" s="52" t="s">
        <v>247</v>
      </c>
      <c r="AD61" s="52" t="s">
        <v>1</v>
      </c>
      <c r="AE61" s="52" t="s">
        <v>372</v>
      </c>
      <c r="AF61" s="155" t="s">
        <v>247</v>
      </c>
      <c r="AG61" s="155" t="s">
        <v>247</v>
      </c>
      <c r="BB61" s="209" t="s">
        <v>1</v>
      </c>
      <c r="BC61" s="209" t="s">
        <v>559</v>
      </c>
      <c r="BD61" s="224">
        <v>1.3144</v>
      </c>
      <c r="BE61" s="224">
        <v>0.26960000000000001</v>
      </c>
      <c r="BF61" s="224">
        <v>0.78659999999999997</v>
      </c>
      <c r="BG61" s="224">
        <v>0.71750000000000003</v>
      </c>
    </row>
    <row r="62" spans="18:65">
      <c r="V62" s="94" t="s">
        <v>147</v>
      </c>
      <c r="W62" s="10">
        <v>94</v>
      </c>
      <c r="Y62" s="47">
        <v>2025</v>
      </c>
      <c r="Z62" s="52" t="s">
        <v>410</v>
      </c>
      <c r="AA62" s="52">
        <v>5</v>
      </c>
      <c r="AB62" s="52">
        <v>3</v>
      </c>
      <c r="AC62" s="52" t="s">
        <v>247</v>
      </c>
      <c r="AD62" s="52" t="s">
        <v>1</v>
      </c>
      <c r="AE62" s="52" t="s">
        <v>372</v>
      </c>
      <c r="AF62" s="155" t="s">
        <v>247</v>
      </c>
      <c r="AG62" s="155" t="s">
        <v>247</v>
      </c>
      <c r="BB62" s="209" t="s">
        <v>1</v>
      </c>
      <c r="BC62" s="209" t="s">
        <v>560</v>
      </c>
      <c r="BD62" s="224">
        <v>1.4458</v>
      </c>
      <c r="BE62" s="224">
        <v>0.26960000000000001</v>
      </c>
      <c r="BF62" s="224">
        <v>0.86519999999999997</v>
      </c>
      <c r="BG62" s="224">
        <v>0.71750000000000003</v>
      </c>
    </row>
    <row r="63" spans="18:65">
      <c r="V63" s="94" t="s">
        <v>149</v>
      </c>
      <c r="W63" s="10">
        <v>1640</v>
      </c>
      <c r="Y63" s="47">
        <v>2026</v>
      </c>
      <c r="Z63" s="52" t="s">
        <v>410</v>
      </c>
      <c r="AA63" s="52">
        <v>5</v>
      </c>
      <c r="AB63" s="52">
        <v>3</v>
      </c>
      <c r="AC63" s="52" t="s">
        <v>247</v>
      </c>
      <c r="AD63" s="52" t="s">
        <v>1</v>
      </c>
      <c r="AE63" s="52" t="s">
        <v>372</v>
      </c>
      <c r="AF63" s="155" t="s">
        <v>247</v>
      </c>
      <c r="AG63" s="155" t="s">
        <v>247</v>
      </c>
      <c r="BB63" s="209" t="s">
        <v>2</v>
      </c>
      <c r="BC63" s="209" t="s">
        <v>559</v>
      </c>
      <c r="BD63" s="224">
        <v>1.3144</v>
      </c>
      <c r="BE63" s="224">
        <v>0.26960000000000001</v>
      </c>
      <c r="BF63" s="224">
        <v>0.78659999999999997</v>
      </c>
      <c r="BG63" s="224">
        <v>0.71750000000000003</v>
      </c>
    </row>
    <row r="64" spans="18:65">
      <c r="V64" s="94" t="s">
        <v>151</v>
      </c>
      <c r="W64" s="10">
        <v>36</v>
      </c>
      <c r="Y64" s="47">
        <v>2027</v>
      </c>
      <c r="Z64" s="52" t="s">
        <v>410</v>
      </c>
      <c r="AA64" s="52">
        <v>5</v>
      </c>
      <c r="AB64" s="52">
        <v>3</v>
      </c>
      <c r="AC64" s="52" t="s">
        <v>247</v>
      </c>
      <c r="AD64" s="52" t="s">
        <v>1</v>
      </c>
      <c r="AE64" s="52" t="s">
        <v>372</v>
      </c>
      <c r="AF64" s="155" t="s">
        <v>247</v>
      </c>
      <c r="AG64" s="155" t="s">
        <v>247</v>
      </c>
      <c r="BB64" s="209" t="s">
        <v>2</v>
      </c>
      <c r="BC64" s="209" t="s">
        <v>560</v>
      </c>
      <c r="BD64" s="224">
        <v>1.4458</v>
      </c>
      <c r="BE64" s="224">
        <v>0.26960000000000001</v>
      </c>
      <c r="BF64" s="224">
        <v>0.86519999999999997</v>
      </c>
      <c r="BG64" s="224">
        <v>0.71750000000000003</v>
      </c>
    </row>
    <row r="65" spans="22:59">
      <c r="V65" s="94" t="s">
        <v>153</v>
      </c>
      <c r="W65" s="10">
        <v>3245</v>
      </c>
      <c r="Y65" s="47">
        <v>2028</v>
      </c>
      <c r="Z65" s="52" t="s">
        <v>410</v>
      </c>
      <c r="AA65" s="52">
        <v>5</v>
      </c>
      <c r="AB65" s="52">
        <v>3</v>
      </c>
      <c r="AC65" s="52" t="s">
        <v>247</v>
      </c>
      <c r="AD65" s="52" t="s">
        <v>1</v>
      </c>
      <c r="AE65" s="52" t="s">
        <v>372</v>
      </c>
      <c r="AF65" s="155" t="s">
        <v>247</v>
      </c>
      <c r="AG65" s="155" t="s">
        <v>247</v>
      </c>
      <c r="BB65" s="209" t="s">
        <v>2</v>
      </c>
      <c r="BC65" s="209" t="s">
        <v>561</v>
      </c>
      <c r="BD65" s="224">
        <v>0.72109999999999996</v>
      </c>
      <c r="BE65" s="224">
        <v>0.42959999999999998</v>
      </c>
      <c r="BF65" s="224">
        <v>0.59150000000000003</v>
      </c>
      <c r="BG65" s="224">
        <v>0.89100000000000001</v>
      </c>
    </row>
    <row r="66" spans="22:59">
      <c r="V66" s="94" t="s">
        <v>155</v>
      </c>
      <c r="W66" s="10">
        <v>26</v>
      </c>
      <c r="Y66" s="47">
        <v>2029</v>
      </c>
      <c r="Z66" s="52" t="s">
        <v>410</v>
      </c>
      <c r="AA66" s="52">
        <v>5</v>
      </c>
      <c r="AB66" s="52">
        <v>3</v>
      </c>
      <c r="AC66" s="52" t="s">
        <v>247</v>
      </c>
      <c r="AD66" s="52" t="s">
        <v>1</v>
      </c>
      <c r="AE66" s="52" t="s">
        <v>372</v>
      </c>
      <c r="AF66" s="155" t="s">
        <v>247</v>
      </c>
      <c r="AG66" s="155" t="s">
        <v>247</v>
      </c>
    </row>
    <row r="67" spans="22:59">
      <c r="V67" s="94" t="s">
        <v>157</v>
      </c>
      <c r="W67" s="10">
        <v>1805</v>
      </c>
      <c r="Y67" s="47">
        <v>2030</v>
      </c>
      <c r="Z67" s="52" t="s">
        <v>410</v>
      </c>
      <c r="AA67" s="52">
        <v>5</v>
      </c>
      <c r="AB67" s="52">
        <v>3</v>
      </c>
      <c r="AC67" s="52" t="s">
        <v>247</v>
      </c>
      <c r="AD67" s="52" t="s">
        <v>1</v>
      </c>
      <c r="AE67" s="52" t="s">
        <v>372</v>
      </c>
      <c r="AF67" s="155" t="s">
        <v>247</v>
      </c>
      <c r="AG67" s="155" t="s">
        <v>247</v>
      </c>
    </row>
    <row r="68" spans="22:59">
      <c r="V68" s="94" t="s">
        <v>159</v>
      </c>
      <c r="W68" s="10">
        <v>2264</v>
      </c>
      <c r="Y68" s="47">
        <v>2031</v>
      </c>
      <c r="Z68" s="52" t="s">
        <v>410</v>
      </c>
      <c r="AA68" s="52">
        <v>5</v>
      </c>
      <c r="AB68" s="52">
        <v>3</v>
      </c>
      <c r="AC68" s="52" t="s">
        <v>247</v>
      </c>
      <c r="AD68" s="52" t="s">
        <v>1</v>
      </c>
      <c r="AE68" s="52" t="s">
        <v>372</v>
      </c>
      <c r="AF68" s="155" t="s">
        <v>247</v>
      </c>
      <c r="AG68" s="155" t="s">
        <v>247</v>
      </c>
    </row>
    <row r="69" spans="22:59">
      <c r="V69" s="94" t="s">
        <v>161</v>
      </c>
      <c r="W69" s="10">
        <v>1983</v>
      </c>
      <c r="Y69" s="47">
        <v>2032</v>
      </c>
      <c r="Z69" s="52" t="s">
        <v>410</v>
      </c>
      <c r="AA69" s="52">
        <v>5</v>
      </c>
      <c r="AB69" s="52">
        <v>3</v>
      </c>
      <c r="AC69" s="52" t="s">
        <v>247</v>
      </c>
      <c r="AD69" s="52" t="s">
        <v>1</v>
      </c>
      <c r="AE69" s="52" t="s">
        <v>372</v>
      </c>
      <c r="AF69" s="155" t="s">
        <v>247</v>
      </c>
      <c r="AG69" s="155" t="s">
        <v>247</v>
      </c>
    </row>
    <row r="70" spans="22:59">
      <c r="V70" s="94" t="s">
        <v>163</v>
      </c>
      <c r="W70" s="10">
        <v>144</v>
      </c>
      <c r="Y70" s="47">
        <v>2033</v>
      </c>
      <c r="Z70" s="52" t="s">
        <v>410</v>
      </c>
      <c r="AA70" s="52">
        <v>5</v>
      </c>
      <c r="AB70" s="52">
        <v>3</v>
      </c>
      <c r="AC70" s="52" t="s">
        <v>247</v>
      </c>
      <c r="AD70" s="52" t="s">
        <v>1</v>
      </c>
      <c r="AE70" s="52" t="s">
        <v>372</v>
      </c>
      <c r="AF70" s="155" t="s">
        <v>247</v>
      </c>
      <c r="AG70" s="155" t="s">
        <v>247</v>
      </c>
    </row>
    <row r="71" spans="22:59">
      <c r="V71" s="94" t="s">
        <v>165</v>
      </c>
      <c r="W71" s="10">
        <v>1888</v>
      </c>
      <c r="Y71" s="47">
        <v>2034</v>
      </c>
      <c r="Z71" s="52" t="s">
        <v>410</v>
      </c>
      <c r="AA71" s="52">
        <v>5</v>
      </c>
      <c r="AB71" s="52">
        <v>3</v>
      </c>
      <c r="AC71" s="52" t="s">
        <v>247</v>
      </c>
      <c r="AD71" s="52" t="s">
        <v>1</v>
      </c>
      <c r="AE71" s="52" t="s">
        <v>372</v>
      </c>
      <c r="AF71" s="155" t="s">
        <v>247</v>
      </c>
      <c r="AG71" s="155" t="s">
        <v>247</v>
      </c>
    </row>
    <row r="72" spans="22:59">
      <c r="V72" s="94" t="s">
        <v>167</v>
      </c>
      <c r="W72" s="10">
        <v>87</v>
      </c>
      <c r="Y72" s="47">
        <v>2035</v>
      </c>
      <c r="Z72" s="52" t="s">
        <v>410</v>
      </c>
      <c r="AA72" s="52">
        <v>5</v>
      </c>
      <c r="AB72" s="52">
        <v>3</v>
      </c>
      <c r="AC72" s="52" t="s">
        <v>247</v>
      </c>
      <c r="AD72" s="52" t="s">
        <v>1</v>
      </c>
      <c r="AE72" s="52" t="s">
        <v>372</v>
      </c>
      <c r="AF72" s="155" t="s">
        <v>247</v>
      </c>
      <c r="AG72" s="155" t="s">
        <v>247</v>
      </c>
    </row>
    <row r="73" spans="22:59">
      <c r="V73" s="94" t="s">
        <v>169</v>
      </c>
      <c r="W73" s="10">
        <v>293</v>
      </c>
      <c r="Y73" s="47">
        <v>2036</v>
      </c>
      <c r="Z73" s="52" t="s">
        <v>410</v>
      </c>
      <c r="AA73" s="52">
        <v>5</v>
      </c>
      <c r="AB73" s="52">
        <v>3</v>
      </c>
      <c r="AC73" s="52" t="s">
        <v>247</v>
      </c>
      <c r="AD73" s="52" t="s">
        <v>1</v>
      </c>
      <c r="AE73" s="52" t="s">
        <v>372</v>
      </c>
      <c r="AF73" s="155" t="s">
        <v>247</v>
      </c>
      <c r="AG73" s="155" t="s">
        <v>247</v>
      </c>
    </row>
    <row r="74" spans="22:59">
      <c r="V74" s="94" t="s">
        <v>171</v>
      </c>
      <c r="W74" s="10">
        <v>129</v>
      </c>
      <c r="Y74" s="47">
        <v>2037</v>
      </c>
      <c r="Z74" s="52" t="s">
        <v>410</v>
      </c>
      <c r="AA74" s="52">
        <v>5</v>
      </c>
      <c r="AB74" s="52">
        <v>3</v>
      </c>
      <c r="AC74" s="52" t="s">
        <v>247</v>
      </c>
      <c r="AD74" s="52" t="s">
        <v>1</v>
      </c>
      <c r="AE74" s="52" t="s">
        <v>372</v>
      </c>
      <c r="AF74" s="155" t="s">
        <v>247</v>
      </c>
      <c r="AG74" s="155" t="s">
        <v>247</v>
      </c>
    </row>
    <row r="75" spans="22:59">
      <c r="V75" s="94" t="s">
        <v>173</v>
      </c>
      <c r="W75" s="10">
        <v>459</v>
      </c>
      <c r="Y75" s="47">
        <v>2038</v>
      </c>
      <c r="Z75" s="52" t="s">
        <v>410</v>
      </c>
      <c r="AA75" s="52">
        <v>5</v>
      </c>
      <c r="AB75" s="52">
        <v>3</v>
      </c>
      <c r="AC75" s="52" t="s">
        <v>247</v>
      </c>
      <c r="AD75" s="52" t="s">
        <v>1</v>
      </c>
      <c r="AE75" s="52" t="s">
        <v>372</v>
      </c>
      <c r="AF75" s="155" t="s">
        <v>247</v>
      </c>
      <c r="AG75" s="155" t="s">
        <v>247</v>
      </c>
    </row>
    <row r="76" spans="22:59">
      <c r="V76" s="94" t="s">
        <v>175</v>
      </c>
      <c r="W76" s="10">
        <v>582</v>
      </c>
      <c r="Y76" s="47">
        <v>2039</v>
      </c>
      <c r="Z76" s="52" t="s">
        <v>410</v>
      </c>
      <c r="AA76" s="52">
        <v>5</v>
      </c>
      <c r="AB76" s="52">
        <v>3</v>
      </c>
      <c r="AC76" s="52" t="s">
        <v>247</v>
      </c>
      <c r="AD76" s="52" t="s">
        <v>1</v>
      </c>
      <c r="AE76" s="52" t="s">
        <v>372</v>
      </c>
      <c r="AF76" s="155" t="s">
        <v>247</v>
      </c>
      <c r="AG76" s="155" t="s">
        <v>247</v>
      </c>
    </row>
    <row r="77" spans="22:59">
      <c r="V77" s="94" t="s">
        <v>177</v>
      </c>
      <c r="W77" s="10">
        <v>739</v>
      </c>
      <c r="Y77" s="47">
        <v>2040</v>
      </c>
      <c r="Z77" s="52" t="s">
        <v>410</v>
      </c>
      <c r="AA77" s="52">
        <v>5</v>
      </c>
      <c r="AB77" s="52">
        <v>3</v>
      </c>
      <c r="AC77" s="52" t="s">
        <v>247</v>
      </c>
      <c r="AD77" s="52" t="s">
        <v>1</v>
      </c>
      <c r="AE77" s="52" t="s">
        <v>372</v>
      </c>
      <c r="AF77" s="155" t="s">
        <v>247</v>
      </c>
      <c r="AG77" s="155" t="s">
        <v>247</v>
      </c>
    </row>
    <row r="78" spans="22:59">
      <c r="V78" s="94" t="s">
        <v>179</v>
      </c>
      <c r="W78" s="10">
        <v>1386</v>
      </c>
      <c r="Y78" s="47">
        <v>2041</v>
      </c>
      <c r="Z78" s="52" t="s">
        <v>410</v>
      </c>
      <c r="AA78" s="52">
        <v>5</v>
      </c>
      <c r="AB78" s="52">
        <v>3</v>
      </c>
      <c r="AC78" s="52" t="s">
        <v>247</v>
      </c>
      <c r="AD78" s="52" t="s">
        <v>1</v>
      </c>
      <c r="AE78" s="52" t="s">
        <v>372</v>
      </c>
      <c r="AF78" s="155" t="s">
        <v>247</v>
      </c>
      <c r="AG78" s="155" t="s">
        <v>247</v>
      </c>
    </row>
    <row r="79" spans="22:59">
      <c r="V79" s="94" t="s">
        <v>126</v>
      </c>
      <c r="W79" s="10">
        <v>1396</v>
      </c>
      <c r="Y79" s="47">
        <v>2042</v>
      </c>
      <c r="Z79" s="52" t="s">
        <v>410</v>
      </c>
      <c r="AA79" s="52">
        <v>5</v>
      </c>
      <c r="AB79" s="52">
        <v>3</v>
      </c>
      <c r="AC79" s="52" t="s">
        <v>247</v>
      </c>
      <c r="AD79" s="52" t="s">
        <v>1</v>
      </c>
      <c r="AE79" s="52" t="s">
        <v>372</v>
      </c>
      <c r="AF79" s="155" t="s">
        <v>247</v>
      </c>
      <c r="AG79" s="155" t="s">
        <v>247</v>
      </c>
    </row>
    <row r="80" spans="22:59">
      <c r="V80" s="94" t="s">
        <v>128</v>
      </c>
      <c r="W80" s="10">
        <v>1411</v>
      </c>
      <c r="Y80" s="47">
        <v>2043</v>
      </c>
      <c r="Z80" s="52" t="s">
        <v>410</v>
      </c>
      <c r="AA80" s="52">
        <v>5</v>
      </c>
      <c r="AB80" s="52">
        <v>3</v>
      </c>
      <c r="AC80" s="52" t="s">
        <v>247</v>
      </c>
      <c r="AD80" s="52" t="s">
        <v>1</v>
      </c>
      <c r="AE80" s="52" t="s">
        <v>372</v>
      </c>
      <c r="AF80" s="155" t="s">
        <v>247</v>
      </c>
      <c r="AG80" s="155" t="s">
        <v>247</v>
      </c>
    </row>
    <row r="81" spans="22:33">
      <c r="V81" s="94" t="s">
        <v>130</v>
      </c>
      <c r="W81" s="10">
        <v>1250</v>
      </c>
      <c r="Y81" s="47">
        <v>2044</v>
      </c>
      <c r="Z81" s="52" t="s">
        <v>410</v>
      </c>
      <c r="AA81" s="52">
        <v>5</v>
      </c>
      <c r="AB81" s="52">
        <v>3</v>
      </c>
      <c r="AC81" s="52" t="s">
        <v>247</v>
      </c>
      <c r="AD81" s="52" t="s">
        <v>1</v>
      </c>
      <c r="AE81" s="52" t="s">
        <v>372</v>
      </c>
      <c r="AF81" s="155" t="s">
        <v>247</v>
      </c>
      <c r="AG81" s="155" t="s">
        <v>247</v>
      </c>
    </row>
    <row r="82" spans="22:33">
      <c r="V82" s="94" t="s">
        <v>132</v>
      </c>
      <c r="W82" s="10">
        <v>601</v>
      </c>
      <c r="Y82" s="47">
        <v>2045</v>
      </c>
      <c r="Z82" s="52" t="s">
        <v>410</v>
      </c>
      <c r="AA82" s="52">
        <v>5</v>
      </c>
      <c r="AB82" s="52">
        <v>3</v>
      </c>
      <c r="AC82" s="52" t="s">
        <v>247</v>
      </c>
      <c r="AD82" s="52" t="s">
        <v>1</v>
      </c>
      <c r="AE82" s="52" t="s">
        <v>372</v>
      </c>
      <c r="AF82" s="155" t="s">
        <v>247</v>
      </c>
      <c r="AG82" s="155" t="s">
        <v>247</v>
      </c>
    </row>
    <row r="83" spans="22:33">
      <c r="V83" s="94" t="s">
        <v>134</v>
      </c>
      <c r="W83" s="10">
        <v>146</v>
      </c>
      <c r="Y83" s="47">
        <v>2046</v>
      </c>
      <c r="Z83" s="52" t="s">
        <v>410</v>
      </c>
      <c r="AA83" s="52">
        <v>5</v>
      </c>
      <c r="AB83" s="52">
        <v>3</v>
      </c>
      <c r="AC83" s="52" t="s">
        <v>247</v>
      </c>
      <c r="AD83" s="52" t="s">
        <v>1</v>
      </c>
      <c r="AE83" s="52" t="s">
        <v>372</v>
      </c>
      <c r="AF83" s="155" t="s">
        <v>247</v>
      </c>
      <c r="AG83" s="155" t="s">
        <v>247</v>
      </c>
    </row>
    <row r="84" spans="22:33">
      <c r="V84" s="94" t="s">
        <v>136</v>
      </c>
      <c r="W84" s="10">
        <v>160</v>
      </c>
      <c r="Y84" s="47">
        <v>2047</v>
      </c>
      <c r="Z84" s="52" t="s">
        <v>410</v>
      </c>
      <c r="AA84" s="52">
        <v>5</v>
      </c>
      <c r="AB84" s="52">
        <v>3</v>
      </c>
      <c r="AC84" s="52" t="s">
        <v>247</v>
      </c>
      <c r="AD84" s="52" t="s">
        <v>1</v>
      </c>
      <c r="AE84" s="52" t="s">
        <v>372</v>
      </c>
      <c r="AF84" s="155" t="s">
        <v>247</v>
      </c>
      <c r="AG84" s="155" t="s">
        <v>247</v>
      </c>
    </row>
    <row r="85" spans="22:33">
      <c r="V85" s="94" t="s">
        <v>138</v>
      </c>
      <c r="W85" s="10">
        <v>2139</v>
      </c>
      <c r="Y85" s="47">
        <v>2048</v>
      </c>
      <c r="Z85" s="52" t="s">
        <v>410</v>
      </c>
      <c r="AA85" s="52">
        <v>5</v>
      </c>
      <c r="AB85" s="52">
        <v>3</v>
      </c>
      <c r="AC85" s="52" t="s">
        <v>247</v>
      </c>
      <c r="AD85" s="52" t="s">
        <v>1</v>
      </c>
      <c r="AE85" s="52" t="s">
        <v>372</v>
      </c>
      <c r="AF85" s="155" t="s">
        <v>247</v>
      </c>
      <c r="AG85" s="155" t="s">
        <v>247</v>
      </c>
    </row>
    <row r="86" spans="22:33">
      <c r="V86" s="94" t="s">
        <v>140</v>
      </c>
      <c r="W86" s="10">
        <v>697</v>
      </c>
      <c r="Y86" s="47">
        <v>2049</v>
      </c>
      <c r="Z86" s="52" t="s">
        <v>410</v>
      </c>
      <c r="AA86" s="52">
        <v>5</v>
      </c>
      <c r="AB86" s="52">
        <v>3</v>
      </c>
      <c r="AC86" s="52" t="s">
        <v>247</v>
      </c>
      <c r="AD86" s="52" t="s">
        <v>1</v>
      </c>
      <c r="AE86" s="52" t="s">
        <v>372</v>
      </c>
      <c r="AF86" s="155" t="s">
        <v>247</v>
      </c>
      <c r="AG86" s="155" t="s">
        <v>247</v>
      </c>
    </row>
    <row r="87" spans="22:33">
      <c r="V87" s="94" t="s">
        <v>142</v>
      </c>
      <c r="W87" s="10">
        <v>2219</v>
      </c>
      <c r="Y87" s="47">
        <v>2050</v>
      </c>
      <c r="Z87" s="52" t="s">
        <v>410</v>
      </c>
      <c r="AA87" s="52">
        <v>5</v>
      </c>
      <c r="AB87" s="52">
        <v>3</v>
      </c>
      <c r="AC87" s="52" t="s">
        <v>247</v>
      </c>
      <c r="AD87" s="52" t="s">
        <v>1</v>
      </c>
      <c r="AE87" s="52" t="s">
        <v>372</v>
      </c>
      <c r="AF87" s="155" t="s">
        <v>247</v>
      </c>
      <c r="AG87" s="155" t="s">
        <v>247</v>
      </c>
    </row>
    <row r="88" spans="22:33">
      <c r="V88" s="94" t="s">
        <v>144</v>
      </c>
      <c r="W88" s="10">
        <v>1765</v>
      </c>
      <c r="Y88" s="47">
        <v>2051</v>
      </c>
      <c r="Z88" s="52" t="s">
        <v>410</v>
      </c>
      <c r="AA88" s="52" t="s">
        <v>247</v>
      </c>
      <c r="AB88" s="52">
        <v>3</v>
      </c>
      <c r="AC88" s="52" t="s">
        <v>247</v>
      </c>
      <c r="AD88" s="52" t="s">
        <v>1</v>
      </c>
      <c r="AE88" s="52" t="s">
        <v>372</v>
      </c>
      <c r="AF88" s="155" t="s">
        <v>247</v>
      </c>
      <c r="AG88" s="155" t="s">
        <v>247</v>
      </c>
    </row>
    <row r="89" spans="22:33">
      <c r="V89" s="94" t="s">
        <v>146</v>
      </c>
      <c r="W89" s="10">
        <v>236</v>
      </c>
      <c r="Y89" s="47">
        <v>2052</v>
      </c>
      <c r="Z89" s="52" t="s">
        <v>410</v>
      </c>
      <c r="AA89" s="52">
        <v>5</v>
      </c>
      <c r="AB89" s="52">
        <v>3</v>
      </c>
      <c r="AC89" s="52" t="s">
        <v>247</v>
      </c>
      <c r="AD89" s="52" t="s">
        <v>1</v>
      </c>
      <c r="AE89" s="52" t="s">
        <v>372</v>
      </c>
      <c r="AF89" s="155" t="s">
        <v>247</v>
      </c>
      <c r="AG89" s="155" t="s">
        <v>247</v>
      </c>
    </row>
    <row r="90" spans="22:33">
      <c r="V90" s="94" t="s">
        <v>148</v>
      </c>
      <c r="W90" s="10">
        <v>465</v>
      </c>
      <c r="Y90" s="47">
        <v>2053</v>
      </c>
      <c r="Z90" s="52" t="s">
        <v>410</v>
      </c>
      <c r="AA90" s="52" t="s">
        <v>247</v>
      </c>
      <c r="AB90" s="52">
        <v>3</v>
      </c>
      <c r="AC90" s="52" t="s">
        <v>247</v>
      </c>
      <c r="AD90" s="52" t="s">
        <v>1</v>
      </c>
      <c r="AE90" s="52" t="s">
        <v>372</v>
      </c>
      <c r="AF90" s="155" t="s">
        <v>247</v>
      </c>
      <c r="AG90" s="155" t="s">
        <v>247</v>
      </c>
    </row>
    <row r="91" spans="22:33">
      <c r="V91" s="94" t="s">
        <v>150</v>
      </c>
      <c r="W91" s="10">
        <v>145</v>
      </c>
      <c r="Y91" s="47">
        <v>2054</v>
      </c>
      <c r="Z91" s="52" t="s">
        <v>410</v>
      </c>
      <c r="AA91" s="52" t="s">
        <v>247</v>
      </c>
      <c r="AB91" s="52">
        <v>3</v>
      </c>
      <c r="AC91" s="52" t="s">
        <v>247</v>
      </c>
      <c r="AD91" s="52" t="s">
        <v>1</v>
      </c>
      <c r="AE91" s="52" t="s">
        <v>372</v>
      </c>
      <c r="AF91" s="155" t="s">
        <v>247</v>
      </c>
      <c r="AG91" s="155" t="s">
        <v>247</v>
      </c>
    </row>
    <row r="92" spans="22:33">
      <c r="V92" s="94" t="s">
        <v>152</v>
      </c>
      <c r="W92" s="10">
        <v>145</v>
      </c>
      <c r="Y92" s="47">
        <v>2055</v>
      </c>
      <c r="Z92" s="52" t="s">
        <v>410</v>
      </c>
      <c r="AA92" s="52" t="s">
        <v>247</v>
      </c>
      <c r="AB92" s="52">
        <v>3</v>
      </c>
      <c r="AC92" s="52" t="s">
        <v>247</v>
      </c>
      <c r="AD92" s="52" t="s">
        <v>1</v>
      </c>
      <c r="AE92" s="52" t="s">
        <v>372</v>
      </c>
      <c r="AF92" s="155" t="s">
        <v>247</v>
      </c>
      <c r="AG92" s="155" t="s">
        <v>247</v>
      </c>
    </row>
    <row r="93" spans="22:33">
      <c r="V93" s="94" t="s">
        <v>154</v>
      </c>
      <c r="W93" s="10">
        <v>684</v>
      </c>
      <c r="Y93" s="47">
        <v>2056</v>
      </c>
      <c r="Z93" s="52" t="s">
        <v>410</v>
      </c>
      <c r="AA93" s="52" t="s">
        <v>247</v>
      </c>
      <c r="AB93" s="52">
        <v>3</v>
      </c>
      <c r="AC93" s="52" t="s">
        <v>247</v>
      </c>
      <c r="AD93" s="52" t="s">
        <v>1</v>
      </c>
      <c r="AE93" s="52" t="s">
        <v>372</v>
      </c>
      <c r="AF93" s="155" t="s">
        <v>247</v>
      </c>
      <c r="AG93" s="155" t="s">
        <v>247</v>
      </c>
    </row>
    <row r="94" spans="22:33">
      <c r="V94" s="94" t="s">
        <v>156</v>
      </c>
      <c r="W94" s="10">
        <v>136</v>
      </c>
      <c r="Y94" s="47">
        <v>2057</v>
      </c>
      <c r="Z94" s="52" t="s">
        <v>410</v>
      </c>
      <c r="AA94" s="52" t="s">
        <v>247</v>
      </c>
      <c r="AB94" s="52">
        <v>3</v>
      </c>
      <c r="AC94" s="52" t="s">
        <v>247</v>
      </c>
      <c r="AD94" s="52" t="s">
        <v>1</v>
      </c>
      <c r="AE94" s="52" t="s">
        <v>372</v>
      </c>
      <c r="AF94" s="155" t="s">
        <v>247</v>
      </c>
      <c r="AG94" s="155" t="s">
        <v>247</v>
      </c>
    </row>
    <row r="95" spans="22:33">
      <c r="V95" s="94" t="s">
        <v>158</v>
      </c>
      <c r="W95" s="10">
        <v>1650</v>
      </c>
      <c r="Y95" s="47">
        <v>2058</v>
      </c>
      <c r="Z95" s="52" t="s">
        <v>410</v>
      </c>
      <c r="AA95" s="52" t="s">
        <v>247</v>
      </c>
      <c r="AB95" s="52">
        <v>3</v>
      </c>
      <c r="AC95" s="52" t="s">
        <v>247</v>
      </c>
      <c r="AD95" s="52" t="s">
        <v>1</v>
      </c>
      <c r="AE95" s="52" t="s">
        <v>372</v>
      </c>
      <c r="AF95" s="155" t="s">
        <v>247</v>
      </c>
      <c r="AG95" s="155" t="s">
        <v>247</v>
      </c>
    </row>
    <row r="96" spans="22:33">
      <c r="V96" s="94" t="s">
        <v>160</v>
      </c>
      <c r="W96" s="10">
        <v>8077</v>
      </c>
      <c r="Y96" s="47">
        <v>2059</v>
      </c>
      <c r="Z96" s="52" t="s">
        <v>410</v>
      </c>
      <c r="AA96" s="52" t="s">
        <v>247</v>
      </c>
      <c r="AB96" s="52">
        <v>3</v>
      </c>
      <c r="AC96" s="52" t="s">
        <v>247</v>
      </c>
      <c r="AD96" s="52" t="s">
        <v>1</v>
      </c>
      <c r="AE96" s="52" t="s">
        <v>372</v>
      </c>
      <c r="AF96" s="155" t="s">
        <v>247</v>
      </c>
      <c r="AG96" s="155" t="s">
        <v>247</v>
      </c>
    </row>
    <row r="97" spans="22:33">
      <c r="V97" s="94" t="s">
        <v>162</v>
      </c>
      <c r="W97" s="10">
        <v>5</v>
      </c>
      <c r="Y97" s="47">
        <v>2060</v>
      </c>
      <c r="Z97" s="52" t="s">
        <v>410</v>
      </c>
      <c r="AA97" s="52">
        <v>5</v>
      </c>
      <c r="AB97" s="52">
        <v>3</v>
      </c>
      <c r="AC97" s="52" t="s">
        <v>247</v>
      </c>
      <c r="AD97" s="52" t="s">
        <v>1</v>
      </c>
      <c r="AE97" s="52" t="s">
        <v>372</v>
      </c>
      <c r="AF97" s="155" t="s">
        <v>247</v>
      </c>
      <c r="AG97" s="155" t="s">
        <v>247</v>
      </c>
    </row>
    <row r="98" spans="22:33">
      <c r="V98" s="94" t="s">
        <v>164</v>
      </c>
      <c r="W98" s="10">
        <v>14560</v>
      </c>
      <c r="Y98" s="47">
        <v>2061</v>
      </c>
      <c r="Z98" s="52" t="s">
        <v>410</v>
      </c>
      <c r="AA98" s="52">
        <v>5</v>
      </c>
      <c r="AB98" s="52">
        <v>3</v>
      </c>
      <c r="AC98" s="52" t="s">
        <v>247</v>
      </c>
      <c r="AD98" s="52" t="s">
        <v>1</v>
      </c>
      <c r="AE98" s="52" t="s">
        <v>372</v>
      </c>
      <c r="AF98" s="155" t="s">
        <v>247</v>
      </c>
      <c r="AG98" s="155" t="s">
        <v>247</v>
      </c>
    </row>
    <row r="99" spans="22:33">
      <c r="V99" s="94" t="s">
        <v>166</v>
      </c>
      <c r="W99" s="10">
        <v>3985</v>
      </c>
      <c r="Y99" s="47">
        <v>2062</v>
      </c>
      <c r="Z99" s="52" t="s">
        <v>410</v>
      </c>
      <c r="AA99" s="52">
        <v>5</v>
      </c>
      <c r="AB99" s="52">
        <v>3</v>
      </c>
      <c r="AC99" s="52" t="s">
        <v>247</v>
      </c>
      <c r="AD99" s="52" t="s">
        <v>1</v>
      </c>
      <c r="AE99" s="52" t="s">
        <v>372</v>
      </c>
      <c r="AF99" s="155" t="s">
        <v>247</v>
      </c>
      <c r="AG99" s="155" t="s">
        <v>247</v>
      </c>
    </row>
    <row r="100" spans="22:33">
      <c r="V100" s="94" t="s">
        <v>168</v>
      </c>
      <c r="W100" s="10">
        <v>13214</v>
      </c>
      <c r="Y100" s="47">
        <v>2063</v>
      </c>
      <c r="Z100" s="52" t="s">
        <v>410</v>
      </c>
      <c r="AA100" s="52">
        <v>5</v>
      </c>
      <c r="AB100" s="52">
        <v>3</v>
      </c>
      <c r="AC100" s="52" t="s">
        <v>247</v>
      </c>
      <c r="AD100" s="52" t="s">
        <v>1</v>
      </c>
      <c r="AE100" s="52" t="s">
        <v>372</v>
      </c>
      <c r="AF100" s="155" t="s">
        <v>247</v>
      </c>
      <c r="AG100" s="155" t="s">
        <v>247</v>
      </c>
    </row>
    <row r="101" spans="22:33">
      <c r="V101" s="94" t="s">
        <v>170</v>
      </c>
      <c r="W101" s="10">
        <v>13396</v>
      </c>
      <c r="Y101" s="47">
        <v>2064</v>
      </c>
      <c r="Z101" s="52" t="s">
        <v>410</v>
      </c>
      <c r="AA101" s="52">
        <v>5</v>
      </c>
      <c r="AB101" s="52">
        <v>3</v>
      </c>
      <c r="AC101" s="52" t="s">
        <v>247</v>
      </c>
      <c r="AD101" s="52" t="s">
        <v>1</v>
      </c>
      <c r="AE101" s="52" t="s">
        <v>372</v>
      </c>
      <c r="AF101" s="155" t="s">
        <v>247</v>
      </c>
      <c r="AG101" s="155" t="s">
        <v>247</v>
      </c>
    </row>
    <row r="102" spans="22:33">
      <c r="V102" s="94" t="s">
        <v>172</v>
      </c>
      <c r="W102" s="10">
        <v>189</v>
      </c>
      <c r="Y102" s="47">
        <v>2065</v>
      </c>
      <c r="Z102" s="52" t="s">
        <v>410</v>
      </c>
      <c r="AA102" s="52">
        <v>5</v>
      </c>
      <c r="AB102" s="52">
        <v>3</v>
      </c>
      <c r="AC102" s="52" t="s">
        <v>247</v>
      </c>
      <c r="AD102" s="52" t="s">
        <v>1</v>
      </c>
      <c r="AE102" s="52" t="s">
        <v>372</v>
      </c>
      <c r="AF102" s="155" t="s">
        <v>247</v>
      </c>
      <c r="AG102" s="155" t="s">
        <v>247</v>
      </c>
    </row>
    <row r="103" spans="22:33">
      <c r="V103" s="94" t="s">
        <v>174</v>
      </c>
      <c r="W103" s="10">
        <v>629</v>
      </c>
      <c r="Y103" s="47">
        <v>2066</v>
      </c>
      <c r="Z103" s="52" t="s">
        <v>410</v>
      </c>
      <c r="AA103" s="52">
        <v>5</v>
      </c>
      <c r="AB103" s="52">
        <v>3</v>
      </c>
      <c r="AC103" s="52" t="s">
        <v>247</v>
      </c>
      <c r="AD103" s="52" t="s">
        <v>1</v>
      </c>
      <c r="AE103" s="52" t="s">
        <v>372</v>
      </c>
      <c r="AF103" s="155" t="s">
        <v>247</v>
      </c>
      <c r="AG103" s="155" t="s">
        <v>247</v>
      </c>
    </row>
    <row r="104" spans="22:33">
      <c r="V104" s="94" t="s">
        <v>176</v>
      </c>
      <c r="W104" s="10">
        <v>593</v>
      </c>
      <c r="Y104" s="47">
        <v>2067</v>
      </c>
      <c r="Z104" s="52" t="s">
        <v>410</v>
      </c>
      <c r="AA104" s="52">
        <v>5</v>
      </c>
      <c r="AB104" s="52">
        <v>3</v>
      </c>
      <c r="AC104" s="52" t="s">
        <v>247</v>
      </c>
      <c r="AD104" s="52" t="s">
        <v>1</v>
      </c>
      <c r="AE104" s="52" t="s">
        <v>372</v>
      </c>
      <c r="AF104" s="155" t="s">
        <v>247</v>
      </c>
      <c r="AG104" s="155" t="s">
        <v>247</v>
      </c>
    </row>
    <row r="105" spans="22:33">
      <c r="V105" s="94" t="s">
        <v>178</v>
      </c>
      <c r="W105" s="10">
        <v>386</v>
      </c>
      <c r="Y105" s="47">
        <v>2068</v>
      </c>
      <c r="Z105" s="52" t="s">
        <v>410</v>
      </c>
      <c r="AA105" s="52">
        <v>5</v>
      </c>
      <c r="AB105" s="52">
        <v>3</v>
      </c>
      <c r="AC105" s="52" t="s">
        <v>247</v>
      </c>
      <c r="AD105" s="52" t="s">
        <v>1</v>
      </c>
      <c r="AE105" s="52" t="s">
        <v>372</v>
      </c>
      <c r="AF105" s="155" t="s">
        <v>247</v>
      </c>
      <c r="AG105" s="155" t="s">
        <v>247</v>
      </c>
    </row>
    <row r="106" spans="22:33">
      <c r="V106" s="94" t="s">
        <v>180</v>
      </c>
      <c r="W106" s="10">
        <v>5</v>
      </c>
      <c r="Y106" s="47">
        <v>2069</v>
      </c>
      <c r="Z106" s="52" t="s">
        <v>410</v>
      </c>
      <c r="AA106" s="52">
        <v>5</v>
      </c>
      <c r="AB106" s="52">
        <v>3</v>
      </c>
      <c r="AC106" s="52" t="s">
        <v>247</v>
      </c>
      <c r="AD106" s="52" t="s">
        <v>1</v>
      </c>
      <c r="AE106" s="52" t="s">
        <v>372</v>
      </c>
      <c r="AF106" s="155" t="s">
        <v>247</v>
      </c>
      <c r="AG106" s="155" t="s">
        <v>247</v>
      </c>
    </row>
    <row r="107" spans="22:33">
      <c r="V107" s="94" t="s">
        <v>181</v>
      </c>
      <c r="W107" s="10">
        <v>3</v>
      </c>
      <c r="Y107" s="47">
        <v>2070</v>
      </c>
      <c r="Z107" s="52" t="s">
        <v>410</v>
      </c>
      <c r="AA107" s="52">
        <v>5</v>
      </c>
      <c r="AB107" s="52">
        <v>3</v>
      </c>
      <c r="AC107" s="52" t="s">
        <v>247</v>
      </c>
      <c r="AD107" s="52" t="s">
        <v>1</v>
      </c>
      <c r="AE107" s="52" t="s">
        <v>372</v>
      </c>
      <c r="AF107" s="155" t="s">
        <v>247</v>
      </c>
      <c r="AG107" s="155" t="s">
        <v>247</v>
      </c>
    </row>
    <row r="108" spans="22:33">
      <c r="V108" s="94" t="s">
        <v>182</v>
      </c>
      <c r="W108" s="10">
        <v>5</v>
      </c>
      <c r="Y108" s="47">
        <v>2071</v>
      </c>
      <c r="Z108" s="52" t="s">
        <v>410</v>
      </c>
      <c r="AA108" s="52">
        <v>5</v>
      </c>
      <c r="AB108" s="52">
        <v>3</v>
      </c>
      <c r="AC108" s="52" t="s">
        <v>247</v>
      </c>
      <c r="AD108" s="52" t="s">
        <v>1</v>
      </c>
      <c r="AE108" s="52" t="s">
        <v>372</v>
      </c>
      <c r="AF108" s="155" t="s">
        <v>247</v>
      </c>
      <c r="AG108" s="155" t="s">
        <v>247</v>
      </c>
    </row>
    <row r="109" spans="22:33">
      <c r="V109" s="94" t="s">
        <v>183</v>
      </c>
      <c r="W109" s="10">
        <v>0</v>
      </c>
      <c r="Y109" s="47">
        <v>2072</v>
      </c>
      <c r="Z109" s="52" t="s">
        <v>410</v>
      </c>
      <c r="AA109" s="52">
        <v>5</v>
      </c>
      <c r="AB109" s="52">
        <v>3</v>
      </c>
      <c r="AC109" s="52" t="s">
        <v>247</v>
      </c>
      <c r="AD109" s="52" t="s">
        <v>1</v>
      </c>
      <c r="AE109" s="52" t="s">
        <v>372</v>
      </c>
      <c r="AF109" s="155" t="s">
        <v>247</v>
      </c>
      <c r="AG109" s="155" t="s">
        <v>247</v>
      </c>
    </row>
    <row r="110" spans="22:33">
      <c r="V110" s="95" t="s">
        <v>77</v>
      </c>
      <c r="W110" s="10">
        <v>1</v>
      </c>
      <c r="Y110" s="47">
        <v>2073</v>
      </c>
      <c r="Z110" s="52" t="s">
        <v>410</v>
      </c>
      <c r="AA110" s="52">
        <v>5</v>
      </c>
      <c r="AB110" s="52">
        <v>3</v>
      </c>
      <c r="AC110" s="52" t="s">
        <v>247</v>
      </c>
      <c r="AD110" s="52" t="s">
        <v>1</v>
      </c>
      <c r="AE110" s="52" t="s">
        <v>372</v>
      </c>
      <c r="AF110" s="155" t="s">
        <v>247</v>
      </c>
      <c r="AG110" s="155" t="s">
        <v>247</v>
      </c>
    </row>
    <row r="111" spans="22:33">
      <c r="Y111" s="47">
        <v>2074</v>
      </c>
      <c r="Z111" s="52" t="s">
        <v>410</v>
      </c>
      <c r="AA111" s="52">
        <v>5</v>
      </c>
      <c r="AB111" s="52">
        <v>3</v>
      </c>
      <c r="AC111" s="52" t="s">
        <v>247</v>
      </c>
      <c r="AD111" s="52" t="s">
        <v>1</v>
      </c>
      <c r="AE111" s="52" t="s">
        <v>372</v>
      </c>
      <c r="AF111" s="155" t="s">
        <v>247</v>
      </c>
      <c r="AG111" s="155" t="s">
        <v>247</v>
      </c>
    </row>
    <row r="112" spans="22:33">
      <c r="Y112" s="47">
        <v>2075</v>
      </c>
      <c r="Z112" s="52" t="s">
        <v>410</v>
      </c>
      <c r="AA112" s="52">
        <v>5</v>
      </c>
      <c r="AB112" s="52">
        <v>3</v>
      </c>
      <c r="AC112" s="52" t="s">
        <v>247</v>
      </c>
      <c r="AD112" s="52" t="s">
        <v>1</v>
      </c>
      <c r="AE112" s="52" t="s">
        <v>372</v>
      </c>
      <c r="AF112" s="155" t="s">
        <v>247</v>
      </c>
      <c r="AG112" s="155" t="s">
        <v>247</v>
      </c>
    </row>
    <row r="113" spans="25:33">
      <c r="Y113" s="47">
        <v>2076</v>
      </c>
      <c r="Z113" s="52" t="s">
        <v>410</v>
      </c>
      <c r="AA113" s="52">
        <v>5</v>
      </c>
      <c r="AB113" s="52">
        <v>3</v>
      </c>
      <c r="AC113" s="52" t="s">
        <v>247</v>
      </c>
      <c r="AD113" s="52" t="s">
        <v>1</v>
      </c>
      <c r="AE113" s="52" t="s">
        <v>372</v>
      </c>
      <c r="AF113" s="155" t="s">
        <v>247</v>
      </c>
      <c r="AG113" s="155" t="s">
        <v>247</v>
      </c>
    </row>
    <row r="114" spans="25:33">
      <c r="Y114" s="47">
        <v>2077</v>
      </c>
      <c r="Z114" s="52" t="s">
        <v>410</v>
      </c>
      <c r="AA114" s="52">
        <v>5</v>
      </c>
      <c r="AB114" s="52">
        <v>3</v>
      </c>
      <c r="AC114" s="52" t="s">
        <v>247</v>
      </c>
      <c r="AD114" s="52" t="s">
        <v>1</v>
      </c>
      <c r="AE114" s="52" t="s">
        <v>372</v>
      </c>
      <c r="AF114" s="155" t="s">
        <v>247</v>
      </c>
      <c r="AG114" s="155" t="s">
        <v>247</v>
      </c>
    </row>
    <row r="115" spans="25:33">
      <c r="Y115" s="47">
        <v>2078</v>
      </c>
      <c r="Z115" s="52" t="s">
        <v>410</v>
      </c>
      <c r="AA115" s="52" t="s">
        <v>247</v>
      </c>
      <c r="AB115" s="52">
        <v>3</v>
      </c>
      <c r="AC115" s="52" t="s">
        <v>247</v>
      </c>
      <c r="AD115" s="52" t="s">
        <v>1</v>
      </c>
      <c r="AE115" s="52" t="s">
        <v>372</v>
      </c>
      <c r="AF115" s="155" t="s">
        <v>247</v>
      </c>
      <c r="AG115" s="155" t="s">
        <v>247</v>
      </c>
    </row>
    <row r="116" spans="25:33">
      <c r="Y116" s="47">
        <v>2079</v>
      </c>
      <c r="Z116" s="52" t="s">
        <v>410</v>
      </c>
      <c r="AA116" s="52">
        <v>5</v>
      </c>
      <c r="AB116" s="52">
        <v>3</v>
      </c>
      <c r="AC116" s="52" t="s">
        <v>247</v>
      </c>
      <c r="AD116" s="52" t="s">
        <v>1</v>
      </c>
      <c r="AE116" s="52" t="s">
        <v>372</v>
      </c>
      <c r="AF116" s="155" t="s">
        <v>247</v>
      </c>
      <c r="AG116" s="155" t="s">
        <v>247</v>
      </c>
    </row>
    <row r="117" spans="25:33">
      <c r="Y117" s="47">
        <v>2080</v>
      </c>
      <c r="Z117" s="52" t="s">
        <v>410</v>
      </c>
      <c r="AA117" s="52">
        <v>5</v>
      </c>
      <c r="AB117" s="52">
        <v>3</v>
      </c>
      <c r="AC117" s="52" t="s">
        <v>247</v>
      </c>
      <c r="AD117" s="52" t="s">
        <v>1</v>
      </c>
      <c r="AE117" s="52" t="s">
        <v>372</v>
      </c>
      <c r="AF117" s="155" t="s">
        <v>247</v>
      </c>
      <c r="AG117" s="155" t="s">
        <v>247</v>
      </c>
    </row>
    <row r="118" spans="25:33">
      <c r="Y118" s="47">
        <v>2081</v>
      </c>
      <c r="Z118" s="52" t="s">
        <v>410</v>
      </c>
      <c r="AA118" s="52">
        <v>5</v>
      </c>
      <c r="AB118" s="52">
        <v>3</v>
      </c>
      <c r="AC118" s="52" t="s">
        <v>247</v>
      </c>
      <c r="AD118" s="52" t="s">
        <v>1</v>
      </c>
      <c r="AE118" s="52" t="s">
        <v>372</v>
      </c>
      <c r="AF118" s="155" t="s">
        <v>247</v>
      </c>
      <c r="AG118" s="155" t="s">
        <v>247</v>
      </c>
    </row>
    <row r="119" spans="25:33">
      <c r="Y119" s="47">
        <v>2082</v>
      </c>
      <c r="Z119" s="52" t="s">
        <v>410</v>
      </c>
      <c r="AA119" s="52">
        <v>5</v>
      </c>
      <c r="AB119" s="52">
        <v>3</v>
      </c>
      <c r="AC119" s="52" t="s">
        <v>247</v>
      </c>
      <c r="AD119" s="52" t="s">
        <v>1</v>
      </c>
      <c r="AE119" s="52" t="s">
        <v>372</v>
      </c>
      <c r="AF119" s="155" t="s">
        <v>247</v>
      </c>
      <c r="AG119" s="155" t="s">
        <v>247</v>
      </c>
    </row>
    <row r="120" spans="25:33">
      <c r="Y120" s="47">
        <v>2083</v>
      </c>
      <c r="Z120" s="52" t="s">
        <v>410</v>
      </c>
      <c r="AA120" s="52">
        <v>5</v>
      </c>
      <c r="AB120" s="52">
        <v>3</v>
      </c>
      <c r="AC120" s="52" t="s">
        <v>247</v>
      </c>
      <c r="AD120" s="52" t="s">
        <v>1</v>
      </c>
      <c r="AE120" s="52" t="s">
        <v>372</v>
      </c>
      <c r="AF120" s="155" t="s">
        <v>247</v>
      </c>
      <c r="AG120" s="155" t="s">
        <v>247</v>
      </c>
    </row>
    <row r="121" spans="25:33">
      <c r="Y121" s="47">
        <v>2084</v>
      </c>
      <c r="Z121" s="52" t="s">
        <v>410</v>
      </c>
      <c r="AA121" s="52">
        <v>5</v>
      </c>
      <c r="AB121" s="52">
        <v>3</v>
      </c>
      <c r="AC121" s="52" t="s">
        <v>247</v>
      </c>
      <c r="AD121" s="52" t="s">
        <v>1</v>
      </c>
      <c r="AE121" s="52" t="s">
        <v>372</v>
      </c>
      <c r="AF121" s="155" t="s">
        <v>247</v>
      </c>
      <c r="AG121" s="155" t="s">
        <v>247</v>
      </c>
    </row>
    <row r="122" spans="25:33">
      <c r="Y122" s="47">
        <v>2085</v>
      </c>
      <c r="Z122" s="52" t="s">
        <v>410</v>
      </c>
      <c r="AA122" s="52">
        <v>5</v>
      </c>
      <c r="AB122" s="52">
        <v>3</v>
      </c>
      <c r="AC122" s="52" t="s">
        <v>247</v>
      </c>
      <c r="AD122" s="52" t="s">
        <v>1</v>
      </c>
      <c r="AE122" s="52" t="s">
        <v>372</v>
      </c>
      <c r="AF122" s="155" t="s">
        <v>247</v>
      </c>
      <c r="AG122" s="155" t="s">
        <v>247</v>
      </c>
    </row>
    <row r="123" spans="25:33">
      <c r="Y123" s="47">
        <v>2086</v>
      </c>
      <c r="Z123" s="52" t="s">
        <v>410</v>
      </c>
      <c r="AA123" s="52">
        <v>5</v>
      </c>
      <c r="AB123" s="52">
        <v>3</v>
      </c>
      <c r="AC123" s="52" t="s">
        <v>247</v>
      </c>
      <c r="AD123" s="52" t="s">
        <v>1</v>
      </c>
      <c r="AE123" s="52" t="s">
        <v>372</v>
      </c>
      <c r="AF123" s="155" t="s">
        <v>247</v>
      </c>
      <c r="AG123" s="155" t="s">
        <v>247</v>
      </c>
    </row>
    <row r="124" spans="25:33">
      <c r="Y124" s="47">
        <v>2087</v>
      </c>
      <c r="Z124" s="52" t="s">
        <v>410</v>
      </c>
      <c r="AA124" s="52">
        <v>5</v>
      </c>
      <c r="AB124" s="52">
        <v>3</v>
      </c>
      <c r="AC124" s="52" t="s">
        <v>247</v>
      </c>
      <c r="AD124" s="52" t="s">
        <v>1</v>
      </c>
      <c r="AE124" s="52" t="s">
        <v>372</v>
      </c>
      <c r="AF124" s="155" t="s">
        <v>247</v>
      </c>
      <c r="AG124" s="155" t="s">
        <v>247</v>
      </c>
    </row>
    <row r="125" spans="25:33">
      <c r="Y125" s="47">
        <v>2088</v>
      </c>
      <c r="Z125" s="52" t="s">
        <v>410</v>
      </c>
      <c r="AA125" s="52">
        <v>5</v>
      </c>
      <c r="AB125" s="52">
        <v>3</v>
      </c>
      <c r="AC125" s="52" t="s">
        <v>247</v>
      </c>
      <c r="AD125" s="52" t="s">
        <v>1</v>
      </c>
      <c r="AE125" s="52" t="s">
        <v>372</v>
      </c>
      <c r="AF125" s="155" t="s">
        <v>247</v>
      </c>
      <c r="AG125" s="155" t="s">
        <v>247</v>
      </c>
    </row>
    <row r="126" spans="25:33">
      <c r="Y126" s="47">
        <v>2089</v>
      </c>
      <c r="Z126" s="52" t="s">
        <v>410</v>
      </c>
      <c r="AA126" s="52">
        <v>5</v>
      </c>
      <c r="AB126" s="52">
        <v>3</v>
      </c>
      <c r="AC126" s="52" t="s">
        <v>247</v>
      </c>
      <c r="AD126" s="52" t="s">
        <v>1</v>
      </c>
      <c r="AE126" s="52" t="s">
        <v>372</v>
      </c>
      <c r="AF126" s="155" t="s">
        <v>247</v>
      </c>
      <c r="AG126" s="155" t="s">
        <v>247</v>
      </c>
    </row>
    <row r="127" spans="25:33">
      <c r="Y127" s="47">
        <v>2090</v>
      </c>
      <c r="Z127" s="52" t="s">
        <v>410</v>
      </c>
      <c r="AA127" s="52">
        <v>5</v>
      </c>
      <c r="AB127" s="52">
        <v>3</v>
      </c>
      <c r="AC127" s="52" t="s">
        <v>247</v>
      </c>
      <c r="AD127" s="52" t="s">
        <v>1</v>
      </c>
      <c r="AE127" s="52" t="s">
        <v>372</v>
      </c>
      <c r="AF127" s="155" t="s">
        <v>247</v>
      </c>
      <c r="AG127" s="155" t="s">
        <v>247</v>
      </c>
    </row>
    <row r="128" spans="25:33">
      <c r="Y128" s="47">
        <v>2091</v>
      </c>
      <c r="Z128" s="52" t="s">
        <v>410</v>
      </c>
      <c r="AA128" s="52">
        <v>5</v>
      </c>
      <c r="AB128" s="52">
        <v>3</v>
      </c>
      <c r="AC128" s="52" t="s">
        <v>247</v>
      </c>
      <c r="AD128" s="52" t="s">
        <v>1</v>
      </c>
      <c r="AE128" s="52" t="s">
        <v>372</v>
      </c>
      <c r="AF128" s="155" t="s">
        <v>247</v>
      </c>
      <c r="AG128" s="155" t="s">
        <v>247</v>
      </c>
    </row>
    <row r="129" spans="25:33">
      <c r="Y129" s="47">
        <v>2092</v>
      </c>
      <c r="Z129" s="52" t="s">
        <v>410</v>
      </c>
      <c r="AA129" s="52">
        <v>5</v>
      </c>
      <c r="AB129" s="52">
        <v>3</v>
      </c>
      <c r="AC129" s="52" t="s">
        <v>247</v>
      </c>
      <c r="AD129" s="52" t="s">
        <v>1</v>
      </c>
      <c r="AE129" s="52" t="s">
        <v>372</v>
      </c>
      <c r="AF129" s="155" t="s">
        <v>247</v>
      </c>
      <c r="AG129" s="155" t="s">
        <v>247</v>
      </c>
    </row>
    <row r="130" spans="25:33">
      <c r="Y130" s="47">
        <v>2093</v>
      </c>
      <c r="Z130" s="52" t="s">
        <v>410</v>
      </c>
      <c r="AA130" s="52">
        <v>5</v>
      </c>
      <c r="AB130" s="52">
        <v>3</v>
      </c>
      <c r="AC130" s="52" t="s">
        <v>247</v>
      </c>
      <c r="AD130" s="52" t="s">
        <v>1</v>
      </c>
      <c r="AE130" s="52" t="s">
        <v>372</v>
      </c>
      <c r="AF130" s="155" t="s">
        <v>247</v>
      </c>
      <c r="AG130" s="155" t="s">
        <v>247</v>
      </c>
    </row>
    <row r="131" spans="25:33">
      <c r="Y131" s="47">
        <v>2094</v>
      </c>
      <c r="Z131" s="52" t="s">
        <v>410</v>
      </c>
      <c r="AA131" s="52">
        <v>5</v>
      </c>
      <c r="AB131" s="52">
        <v>3</v>
      </c>
      <c r="AC131" s="52" t="s">
        <v>247</v>
      </c>
      <c r="AD131" s="52" t="s">
        <v>1</v>
      </c>
      <c r="AE131" s="52" t="s">
        <v>372</v>
      </c>
      <c r="AF131" s="155" t="s">
        <v>247</v>
      </c>
      <c r="AG131" s="155" t="s">
        <v>247</v>
      </c>
    </row>
    <row r="132" spans="25:33">
      <c r="Y132" s="47">
        <v>2095</v>
      </c>
      <c r="Z132" s="52" t="s">
        <v>410</v>
      </c>
      <c r="AA132" s="52">
        <v>5</v>
      </c>
      <c r="AB132" s="52">
        <v>3</v>
      </c>
      <c r="AC132" s="52" t="s">
        <v>247</v>
      </c>
      <c r="AD132" s="52" t="s">
        <v>1</v>
      </c>
      <c r="AE132" s="52" t="s">
        <v>372</v>
      </c>
      <c r="AF132" s="155" t="s">
        <v>247</v>
      </c>
      <c r="AG132" s="155" t="s">
        <v>247</v>
      </c>
    </row>
    <row r="133" spans="25:33">
      <c r="Y133" s="47">
        <v>2096</v>
      </c>
      <c r="Z133" s="52" t="s">
        <v>410</v>
      </c>
      <c r="AA133" s="52">
        <v>5</v>
      </c>
      <c r="AB133" s="52">
        <v>3</v>
      </c>
      <c r="AC133" s="52" t="s">
        <v>247</v>
      </c>
      <c r="AD133" s="52" t="s">
        <v>1</v>
      </c>
      <c r="AE133" s="52" t="s">
        <v>372</v>
      </c>
      <c r="AF133" s="155" t="s">
        <v>247</v>
      </c>
      <c r="AG133" s="155" t="s">
        <v>247</v>
      </c>
    </row>
    <row r="134" spans="25:33">
      <c r="Y134" s="47">
        <v>2097</v>
      </c>
      <c r="Z134" s="52" t="s">
        <v>410</v>
      </c>
      <c r="AA134" s="52">
        <v>5</v>
      </c>
      <c r="AB134" s="52">
        <v>3</v>
      </c>
      <c r="AC134" s="52" t="s">
        <v>247</v>
      </c>
      <c r="AD134" s="52" t="s">
        <v>1</v>
      </c>
      <c r="AE134" s="52" t="s">
        <v>372</v>
      </c>
      <c r="AF134" s="155" t="s">
        <v>247</v>
      </c>
      <c r="AG134" s="155" t="s">
        <v>247</v>
      </c>
    </row>
    <row r="135" spans="25:33">
      <c r="Y135" s="47">
        <v>2098</v>
      </c>
      <c r="Z135" s="52" t="s">
        <v>410</v>
      </c>
      <c r="AA135" s="52" t="s">
        <v>247</v>
      </c>
      <c r="AB135" s="52">
        <v>3</v>
      </c>
      <c r="AC135" s="52" t="s">
        <v>247</v>
      </c>
      <c r="AD135" s="52" t="s">
        <v>1</v>
      </c>
      <c r="AE135" s="52" t="s">
        <v>372</v>
      </c>
      <c r="AF135" s="155" t="s">
        <v>247</v>
      </c>
      <c r="AG135" s="155" t="s">
        <v>247</v>
      </c>
    </row>
    <row r="136" spans="25:33">
      <c r="Y136" s="47">
        <v>2099</v>
      </c>
      <c r="Z136" s="52" t="s">
        <v>410</v>
      </c>
      <c r="AA136" s="52">
        <v>5</v>
      </c>
      <c r="AB136" s="52">
        <v>3</v>
      </c>
      <c r="AC136" s="52" t="s">
        <v>247</v>
      </c>
      <c r="AD136" s="52" t="s">
        <v>1</v>
      </c>
      <c r="AE136" s="52" t="s">
        <v>372</v>
      </c>
      <c r="AF136" s="155" t="s">
        <v>247</v>
      </c>
      <c r="AG136" s="155" t="s">
        <v>247</v>
      </c>
    </row>
    <row r="137" spans="25:33">
      <c r="Y137" s="47">
        <v>2100</v>
      </c>
      <c r="Z137" s="52" t="s">
        <v>410</v>
      </c>
      <c r="AA137" s="52">
        <v>5</v>
      </c>
      <c r="AB137" s="52">
        <v>3</v>
      </c>
      <c r="AC137" s="52" t="s">
        <v>247</v>
      </c>
      <c r="AD137" s="52" t="s">
        <v>1</v>
      </c>
      <c r="AE137" s="52" t="s">
        <v>372</v>
      </c>
      <c r="AF137" s="155" t="s">
        <v>247</v>
      </c>
      <c r="AG137" s="155" t="s">
        <v>247</v>
      </c>
    </row>
    <row r="138" spans="25:33">
      <c r="Y138" s="47">
        <v>2101</v>
      </c>
      <c r="Z138" s="52" t="s">
        <v>410</v>
      </c>
      <c r="AA138" s="52">
        <v>5</v>
      </c>
      <c r="AB138" s="52">
        <v>3</v>
      </c>
      <c r="AC138" s="52" t="s">
        <v>247</v>
      </c>
      <c r="AD138" s="52" t="s">
        <v>1</v>
      </c>
      <c r="AE138" s="52" t="s">
        <v>372</v>
      </c>
      <c r="AF138" s="155" t="s">
        <v>247</v>
      </c>
      <c r="AG138" s="155" t="s">
        <v>247</v>
      </c>
    </row>
    <row r="139" spans="25:33">
      <c r="Y139" s="47">
        <v>2102</v>
      </c>
      <c r="Z139" s="52" t="s">
        <v>410</v>
      </c>
      <c r="AA139" s="52">
        <v>5</v>
      </c>
      <c r="AB139" s="52">
        <v>3</v>
      </c>
      <c r="AC139" s="52" t="s">
        <v>247</v>
      </c>
      <c r="AD139" s="52" t="s">
        <v>1</v>
      </c>
      <c r="AE139" s="52" t="s">
        <v>372</v>
      </c>
      <c r="AF139" s="155" t="s">
        <v>247</v>
      </c>
      <c r="AG139" s="155" t="s">
        <v>247</v>
      </c>
    </row>
    <row r="140" spans="25:33">
      <c r="Y140" s="47">
        <v>2103</v>
      </c>
      <c r="Z140" s="52" t="s">
        <v>410</v>
      </c>
      <c r="AA140" s="52">
        <v>5</v>
      </c>
      <c r="AB140" s="52">
        <v>3</v>
      </c>
      <c r="AC140" s="52" t="s">
        <v>247</v>
      </c>
      <c r="AD140" s="52" t="s">
        <v>1</v>
      </c>
      <c r="AE140" s="52" t="s">
        <v>372</v>
      </c>
      <c r="AF140" s="155" t="s">
        <v>247</v>
      </c>
      <c r="AG140" s="155" t="s">
        <v>247</v>
      </c>
    </row>
    <row r="141" spans="25:33">
      <c r="Y141" s="47">
        <v>2104</v>
      </c>
      <c r="Z141" s="52" t="s">
        <v>410</v>
      </c>
      <c r="AA141" s="52">
        <v>5</v>
      </c>
      <c r="AB141" s="52">
        <v>3</v>
      </c>
      <c r="AC141" s="52" t="s">
        <v>247</v>
      </c>
      <c r="AD141" s="52" t="s">
        <v>1</v>
      </c>
      <c r="AE141" s="52" t="s">
        <v>372</v>
      </c>
      <c r="AF141" s="155" t="s">
        <v>247</v>
      </c>
      <c r="AG141" s="155" t="s">
        <v>247</v>
      </c>
    </row>
    <row r="142" spans="25:33">
      <c r="Y142" s="47">
        <v>2105</v>
      </c>
      <c r="Z142" s="52" t="s">
        <v>410</v>
      </c>
      <c r="AA142" s="52">
        <v>5</v>
      </c>
      <c r="AB142" s="52">
        <v>3</v>
      </c>
      <c r="AC142" s="52" t="s">
        <v>247</v>
      </c>
      <c r="AD142" s="52" t="s">
        <v>1</v>
      </c>
      <c r="AE142" s="52" t="s">
        <v>372</v>
      </c>
      <c r="AF142" s="155" t="s">
        <v>247</v>
      </c>
      <c r="AG142" s="155" t="s">
        <v>247</v>
      </c>
    </row>
    <row r="143" spans="25:33">
      <c r="Y143" s="47">
        <v>2106</v>
      </c>
      <c r="Z143" s="52" t="s">
        <v>410</v>
      </c>
      <c r="AA143" s="52">
        <v>5</v>
      </c>
      <c r="AB143" s="52">
        <v>3</v>
      </c>
      <c r="AC143" s="52" t="s">
        <v>247</v>
      </c>
      <c r="AD143" s="52" t="s">
        <v>1</v>
      </c>
      <c r="AE143" s="52" t="s">
        <v>372</v>
      </c>
      <c r="AF143" s="155" t="s">
        <v>247</v>
      </c>
      <c r="AG143" s="155" t="s">
        <v>247</v>
      </c>
    </row>
    <row r="144" spans="25:33">
      <c r="Y144" s="47">
        <v>2107</v>
      </c>
      <c r="Z144" s="52" t="s">
        <v>410</v>
      </c>
      <c r="AA144" s="52">
        <v>5</v>
      </c>
      <c r="AB144" s="52">
        <v>3</v>
      </c>
      <c r="AC144" s="52" t="s">
        <v>247</v>
      </c>
      <c r="AD144" s="52" t="s">
        <v>1</v>
      </c>
      <c r="AE144" s="52" t="s">
        <v>372</v>
      </c>
      <c r="AF144" s="155" t="s">
        <v>247</v>
      </c>
      <c r="AG144" s="155" t="s">
        <v>247</v>
      </c>
    </row>
    <row r="145" spans="25:33">
      <c r="Y145" s="47">
        <v>2108</v>
      </c>
      <c r="Z145" s="52" t="s">
        <v>410</v>
      </c>
      <c r="AA145" s="52">
        <v>5</v>
      </c>
      <c r="AB145" s="52">
        <v>3</v>
      </c>
      <c r="AC145" s="52" t="s">
        <v>247</v>
      </c>
      <c r="AD145" s="52" t="s">
        <v>1</v>
      </c>
      <c r="AE145" s="52" t="s">
        <v>372</v>
      </c>
      <c r="AF145" s="155" t="s">
        <v>247</v>
      </c>
      <c r="AG145" s="155" t="s">
        <v>247</v>
      </c>
    </row>
    <row r="146" spans="25:33">
      <c r="Y146" s="47">
        <v>2109</v>
      </c>
      <c r="Z146" s="52" t="s">
        <v>410</v>
      </c>
      <c r="AA146" s="52">
        <v>5</v>
      </c>
      <c r="AB146" s="52">
        <v>3</v>
      </c>
      <c r="AC146" s="52" t="s">
        <v>247</v>
      </c>
      <c r="AD146" s="52" t="s">
        <v>1</v>
      </c>
      <c r="AE146" s="52" t="s">
        <v>372</v>
      </c>
      <c r="AF146" s="155" t="s">
        <v>247</v>
      </c>
      <c r="AG146" s="155" t="s">
        <v>247</v>
      </c>
    </row>
    <row r="147" spans="25:33">
      <c r="Y147" s="47">
        <v>2110</v>
      </c>
      <c r="Z147" s="52" t="s">
        <v>410</v>
      </c>
      <c r="AA147" s="52">
        <v>5</v>
      </c>
      <c r="AB147" s="52">
        <v>3</v>
      </c>
      <c r="AC147" s="52" t="s">
        <v>247</v>
      </c>
      <c r="AD147" s="52" t="s">
        <v>1</v>
      </c>
      <c r="AE147" s="52" t="s">
        <v>372</v>
      </c>
      <c r="AF147" s="155" t="s">
        <v>247</v>
      </c>
      <c r="AG147" s="155" t="s">
        <v>247</v>
      </c>
    </row>
    <row r="148" spans="25:33">
      <c r="Y148" s="47">
        <v>2111</v>
      </c>
      <c r="Z148" s="52" t="s">
        <v>410</v>
      </c>
      <c r="AA148" s="52">
        <v>5</v>
      </c>
      <c r="AB148" s="52">
        <v>3</v>
      </c>
      <c r="AC148" s="52" t="s">
        <v>247</v>
      </c>
      <c r="AD148" s="52" t="s">
        <v>1</v>
      </c>
      <c r="AE148" s="52" t="s">
        <v>372</v>
      </c>
      <c r="AF148" s="155" t="s">
        <v>247</v>
      </c>
      <c r="AG148" s="155" t="s">
        <v>247</v>
      </c>
    </row>
    <row r="149" spans="25:33">
      <c r="Y149" s="47">
        <v>2112</v>
      </c>
      <c r="Z149" s="52" t="s">
        <v>410</v>
      </c>
      <c r="AA149" s="52">
        <v>5</v>
      </c>
      <c r="AB149" s="52">
        <v>3</v>
      </c>
      <c r="AC149" s="52" t="s">
        <v>247</v>
      </c>
      <c r="AD149" s="52" t="s">
        <v>1</v>
      </c>
      <c r="AE149" s="52" t="s">
        <v>372</v>
      </c>
      <c r="AF149" s="155" t="s">
        <v>247</v>
      </c>
      <c r="AG149" s="155" t="s">
        <v>247</v>
      </c>
    </row>
    <row r="150" spans="25:33">
      <c r="Y150" s="47">
        <v>2113</v>
      </c>
      <c r="Z150" s="52" t="s">
        <v>410</v>
      </c>
      <c r="AA150" s="52">
        <v>5</v>
      </c>
      <c r="AB150" s="52">
        <v>3</v>
      </c>
      <c r="AC150" s="52" t="s">
        <v>247</v>
      </c>
      <c r="AD150" s="52" t="s">
        <v>1</v>
      </c>
      <c r="AE150" s="52" t="s">
        <v>372</v>
      </c>
      <c r="AF150" s="155" t="s">
        <v>247</v>
      </c>
      <c r="AG150" s="155" t="s">
        <v>247</v>
      </c>
    </row>
    <row r="151" spans="25:33">
      <c r="Y151" s="47">
        <v>2114</v>
      </c>
      <c r="Z151" s="52" t="s">
        <v>410</v>
      </c>
      <c r="AA151" s="52">
        <v>5</v>
      </c>
      <c r="AB151" s="52">
        <v>3</v>
      </c>
      <c r="AC151" s="52" t="s">
        <v>247</v>
      </c>
      <c r="AD151" s="52" t="s">
        <v>1</v>
      </c>
      <c r="AE151" s="52" t="s">
        <v>372</v>
      </c>
      <c r="AF151" s="155" t="s">
        <v>247</v>
      </c>
      <c r="AG151" s="155" t="s">
        <v>247</v>
      </c>
    </row>
    <row r="152" spans="25:33">
      <c r="Y152" s="47">
        <v>2115</v>
      </c>
      <c r="Z152" s="52" t="s">
        <v>410</v>
      </c>
      <c r="AA152" s="52">
        <v>5</v>
      </c>
      <c r="AB152" s="52">
        <v>3</v>
      </c>
      <c r="AC152" s="52" t="s">
        <v>247</v>
      </c>
      <c r="AD152" s="52" t="s">
        <v>1</v>
      </c>
      <c r="AE152" s="52" t="s">
        <v>372</v>
      </c>
      <c r="AF152" s="155" t="s">
        <v>247</v>
      </c>
      <c r="AG152" s="155" t="s">
        <v>247</v>
      </c>
    </row>
    <row r="153" spans="25:33">
      <c r="Y153" s="47">
        <v>2116</v>
      </c>
      <c r="Z153" s="52" t="s">
        <v>410</v>
      </c>
      <c r="AA153" s="52">
        <v>5</v>
      </c>
      <c r="AB153" s="52">
        <v>3</v>
      </c>
      <c r="AC153" s="52" t="s">
        <v>247</v>
      </c>
      <c r="AD153" s="52" t="s">
        <v>1</v>
      </c>
      <c r="AE153" s="52" t="s">
        <v>372</v>
      </c>
      <c r="AF153" s="155" t="s">
        <v>247</v>
      </c>
      <c r="AG153" s="155" t="s">
        <v>247</v>
      </c>
    </row>
    <row r="154" spans="25:33">
      <c r="Y154" s="47">
        <v>2117</v>
      </c>
      <c r="Z154" s="52" t="s">
        <v>410</v>
      </c>
      <c r="AA154" s="52">
        <v>5</v>
      </c>
      <c r="AB154" s="52">
        <v>3</v>
      </c>
      <c r="AC154" s="52" t="s">
        <v>247</v>
      </c>
      <c r="AD154" s="52" t="s">
        <v>1</v>
      </c>
      <c r="AE154" s="52" t="s">
        <v>372</v>
      </c>
      <c r="AF154" s="155" t="s">
        <v>247</v>
      </c>
      <c r="AG154" s="155" t="s">
        <v>247</v>
      </c>
    </row>
    <row r="155" spans="25:33">
      <c r="Y155" s="47">
        <v>2118</v>
      </c>
      <c r="Z155" s="52" t="s">
        <v>410</v>
      </c>
      <c r="AA155" s="52">
        <v>5</v>
      </c>
      <c r="AB155" s="52">
        <v>3</v>
      </c>
      <c r="AC155" s="52" t="s">
        <v>247</v>
      </c>
      <c r="AD155" s="52" t="s">
        <v>1</v>
      </c>
      <c r="AE155" s="52" t="s">
        <v>372</v>
      </c>
      <c r="AF155" s="155" t="s">
        <v>247</v>
      </c>
      <c r="AG155" s="155" t="s">
        <v>247</v>
      </c>
    </row>
    <row r="156" spans="25:33">
      <c r="Y156" s="47">
        <v>2119</v>
      </c>
      <c r="Z156" s="52" t="s">
        <v>410</v>
      </c>
      <c r="AA156" s="52">
        <v>5</v>
      </c>
      <c r="AB156" s="52">
        <v>3</v>
      </c>
      <c r="AC156" s="52" t="s">
        <v>247</v>
      </c>
      <c r="AD156" s="52" t="s">
        <v>1</v>
      </c>
      <c r="AE156" s="52" t="s">
        <v>372</v>
      </c>
      <c r="AF156" s="155" t="s">
        <v>247</v>
      </c>
      <c r="AG156" s="155" t="s">
        <v>247</v>
      </c>
    </row>
    <row r="157" spans="25:33">
      <c r="Y157" s="47">
        <v>2120</v>
      </c>
      <c r="Z157" s="52" t="s">
        <v>410</v>
      </c>
      <c r="AA157" s="52">
        <v>5</v>
      </c>
      <c r="AB157" s="52">
        <v>3</v>
      </c>
      <c r="AC157" s="52" t="s">
        <v>247</v>
      </c>
      <c r="AD157" s="52" t="s">
        <v>1</v>
      </c>
      <c r="AE157" s="52" t="s">
        <v>372</v>
      </c>
      <c r="AF157" s="155" t="s">
        <v>247</v>
      </c>
      <c r="AG157" s="155" t="s">
        <v>247</v>
      </c>
    </row>
    <row r="158" spans="25:33">
      <c r="Y158" s="47">
        <v>2121</v>
      </c>
      <c r="Z158" s="52" t="s">
        <v>410</v>
      </c>
      <c r="AA158" s="52">
        <v>5</v>
      </c>
      <c r="AB158" s="52">
        <v>3</v>
      </c>
      <c r="AC158" s="52" t="s">
        <v>247</v>
      </c>
      <c r="AD158" s="52" t="s">
        <v>1</v>
      </c>
      <c r="AE158" s="52" t="s">
        <v>372</v>
      </c>
      <c r="AF158" s="155" t="s">
        <v>247</v>
      </c>
      <c r="AG158" s="155" t="s">
        <v>247</v>
      </c>
    </row>
    <row r="159" spans="25:33">
      <c r="Y159" s="47">
        <v>2122</v>
      </c>
      <c r="Z159" s="52" t="s">
        <v>410</v>
      </c>
      <c r="AA159" s="52">
        <v>5</v>
      </c>
      <c r="AB159" s="52">
        <v>3</v>
      </c>
      <c r="AC159" s="52" t="s">
        <v>247</v>
      </c>
      <c r="AD159" s="52" t="s">
        <v>1</v>
      </c>
      <c r="AE159" s="52" t="s">
        <v>372</v>
      </c>
      <c r="AF159" s="155" t="s">
        <v>247</v>
      </c>
      <c r="AG159" s="155" t="s">
        <v>247</v>
      </c>
    </row>
    <row r="160" spans="25:33">
      <c r="Y160" s="47">
        <v>2123</v>
      </c>
      <c r="Z160" s="52" t="s">
        <v>410</v>
      </c>
      <c r="AA160" s="52">
        <v>5</v>
      </c>
      <c r="AB160" s="52">
        <v>3</v>
      </c>
      <c r="AC160" s="52" t="s">
        <v>247</v>
      </c>
      <c r="AD160" s="52" t="s">
        <v>1</v>
      </c>
      <c r="AE160" s="52" t="s">
        <v>372</v>
      </c>
      <c r="AF160" s="155" t="s">
        <v>247</v>
      </c>
      <c r="AG160" s="155" t="s">
        <v>247</v>
      </c>
    </row>
    <row r="161" spans="25:33">
      <c r="Y161" s="47">
        <v>2124</v>
      </c>
      <c r="Z161" s="52" t="s">
        <v>410</v>
      </c>
      <c r="AA161" s="52" t="s">
        <v>247</v>
      </c>
      <c r="AB161" s="52">
        <v>3</v>
      </c>
      <c r="AC161" s="52" t="s">
        <v>247</v>
      </c>
      <c r="AD161" s="52" t="s">
        <v>1</v>
      </c>
      <c r="AE161" s="52" t="s">
        <v>372</v>
      </c>
      <c r="AF161" s="155" t="s">
        <v>247</v>
      </c>
      <c r="AG161" s="155" t="s">
        <v>247</v>
      </c>
    </row>
    <row r="162" spans="25:33">
      <c r="Y162" s="47">
        <v>2125</v>
      </c>
      <c r="Z162" s="52" t="s">
        <v>410</v>
      </c>
      <c r="AA162" s="52">
        <v>5</v>
      </c>
      <c r="AB162" s="52">
        <v>3</v>
      </c>
      <c r="AC162" s="52" t="s">
        <v>247</v>
      </c>
      <c r="AD162" s="52" t="s">
        <v>1</v>
      </c>
      <c r="AE162" s="52" t="s">
        <v>372</v>
      </c>
      <c r="AF162" s="155" t="s">
        <v>247</v>
      </c>
      <c r="AG162" s="155" t="s">
        <v>247</v>
      </c>
    </row>
    <row r="163" spans="25:33">
      <c r="Y163" s="47">
        <v>2126</v>
      </c>
      <c r="Z163" s="52" t="s">
        <v>410</v>
      </c>
      <c r="AA163" s="52">
        <v>5</v>
      </c>
      <c r="AB163" s="52">
        <v>3</v>
      </c>
      <c r="AC163" s="52" t="s">
        <v>247</v>
      </c>
      <c r="AD163" s="52" t="s">
        <v>1</v>
      </c>
      <c r="AE163" s="52" t="s">
        <v>372</v>
      </c>
      <c r="AF163" s="155" t="s">
        <v>247</v>
      </c>
      <c r="AG163" s="155" t="s">
        <v>247</v>
      </c>
    </row>
    <row r="164" spans="25:33">
      <c r="Y164" s="47">
        <v>2127</v>
      </c>
      <c r="Z164" s="52" t="s">
        <v>410</v>
      </c>
      <c r="AA164" s="52">
        <v>5</v>
      </c>
      <c r="AB164" s="52">
        <v>3</v>
      </c>
      <c r="AC164" s="52" t="s">
        <v>247</v>
      </c>
      <c r="AD164" s="52" t="s">
        <v>1</v>
      </c>
      <c r="AE164" s="52" t="s">
        <v>372</v>
      </c>
      <c r="AF164" s="155" t="s">
        <v>247</v>
      </c>
      <c r="AG164" s="155" t="s">
        <v>247</v>
      </c>
    </row>
    <row r="165" spans="25:33">
      <c r="Y165" s="47">
        <v>2128</v>
      </c>
      <c r="Z165" s="52" t="s">
        <v>410</v>
      </c>
      <c r="AA165" s="52">
        <v>5</v>
      </c>
      <c r="AB165" s="52">
        <v>3</v>
      </c>
      <c r="AC165" s="52" t="s">
        <v>247</v>
      </c>
      <c r="AD165" s="52" t="s">
        <v>1</v>
      </c>
      <c r="AE165" s="52" t="s">
        <v>372</v>
      </c>
      <c r="AF165" s="155" t="s">
        <v>247</v>
      </c>
      <c r="AG165" s="155" t="s">
        <v>247</v>
      </c>
    </row>
    <row r="166" spans="25:33">
      <c r="Y166" s="47">
        <v>2129</v>
      </c>
      <c r="Z166" s="52" t="s">
        <v>410</v>
      </c>
      <c r="AA166" s="52" t="s">
        <v>247</v>
      </c>
      <c r="AB166" s="52">
        <v>3</v>
      </c>
      <c r="AC166" s="52" t="s">
        <v>247</v>
      </c>
      <c r="AD166" s="52" t="s">
        <v>1</v>
      </c>
      <c r="AE166" s="52" t="s">
        <v>372</v>
      </c>
      <c r="AF166" s="155" t="s">
        <v>247</v>
      </c>
      <c r="AG166" s="155" t="s">
        <v>247</v>
      </c>
    </row>
    <row r="167" spans="25:33">
      <c r="Y167" s="47">
        <v>2130</v>
      </c>
      <c r="Z167" s="52" t="s">
        <v>410</v>
      </c>
      <c r="AA167" s="52">
        <v>5</v>
      </c>
      <c r="AB167" s="52">
        <v>3</v>
      </c>
      <c r="AC167" s="52" t="s">
        <v>247</v>
      </c>
      <c r="AD167" s="52" t="s">
        <v>1</v>
      </c>
      <c r="AE167" s="52" t="s">
        <v>372</v>
      </c>
      <c r="AF167" s="155" t="s">
        <v>247</v>
      </c>
      <c r="AG167" s="155" t="s">
        <v>247</v>
      </c>
    </row>
    <row r="168" spans="25:33">
      <c r="Y168" s="47">
        <v>2131</v>
      </c>
      <c r="Z168" s="52" t="s">
        <v>410</v>
      </c>
      <c r="AA168" s="52">
        <v>5</v>
      </c>
      <c r="AB168" s="52">
        <v>3</v>
      </c>
      <c r="AC168" s="52" t="s">
        <v>247</v>
      </c>
      <c r="AD168" s="52" t="s">
        <v>1</v>
      </c>
      <c r="AE168" s="52" t="s">
        <v>372</v>
      </c>
      <c r="AF168" s="155" t="s">
        <v>247</v>
      </c>
      <c r="AG168" s="155" t="s">
        <v>247</v>
      </c>
    </row>
    <row r="169" spans="25:33">
      <c r="Y169" s="47">
        <v>2132</v>
      </c>
      <c r="Z169" s="52" t="s">
        <v>410</v>
      </c>
      <c r="AA169" s="52">
        <v>5</v>
      </c>
      <c r="AB169" s="52">
        <v>3</v>
      </c>
      <c r="AC169" s="52" t="s">
        <v>247</v>
      </c>
      <c r="AD169" s="52" t="s">
        <v>1</v>
      </c>
      <c r="AE169" s="52" t="s">
        <v>372</v>
      </c>
      <c r="AF169" s="155" t="s">
        <v>247</v>
      </c>
      <c r="AG169" s="155" t="s">
        <v>247</v>
      </c>
    </row>
    <row r="170" spans="25:33">
      <c r="Y170" s="47">
        <v>2133</v>
      </c>
      <c r="Z170" s="52" t="s">
        <v>410</v>
      </c>
      <c r="AA170" s="52">
        <v>5</v>
      </c>
      <c r="AB170" s="52">
        <v>3</v>
      </c>
      <c r="AC170" s="52" t="s">
        <v>247</v>
      </c>
      <c r="AD170" s="52" t="s">
        <v>1</v>
      </c>
      <c r="AE170" s="52" t="s">
        <v>372</v>
      </c>
      <c r="AF170" s="155" t="s">
        <v>247</v>
      </c>
      <c r="AG170" s="155" t="s">
        <v>247</v>
      </c>
    </row>
    <row r="171" spans="25:33">
      <c r="Y171" s="47">
        <v>2134</v>
      </c>
      <c r="Z171" s="52" t="s">
        <v>410</v>
      </c>
      <c r="AA171" s="52">
        <v>5</v>
      </c>
      <c r="AB171" s="52">
        <v>3</v>
      </c>
      <c r="AC171" s="52" t="s">
        <v>247</v>
      </c>
      <c r="AD171" s="52" t="s">
        <v>1</v>
      </c>
      <c r="AE171" s="52" t="s">
        <v>372</v>
      </c>
      <c r="AF171" s="155" t="s">
        <v>247</v>
      </c>
      <c r="AG171" s="155" t="s">
        <v>247</v>
      </c>
    </row>
    <row r="172" spans="25:33">
      <c r="Y172" s="47">
        <v>2135</v>
      </c>
      <c r="Z172" s="52" t="s">
        <v>410</v>
      </c>
      <c r="AA172" s="52">
        <v>5</v>
      </c>
      <c r="AB172" s="52">
        <v>3</v>
      </c>
      <c r="AC172" s="52" t="s">
        <v>247</v>
      </c>
      <c r="AD172" s="52" t="s">
        <v>1</v>
      </c>
      <c r="AE172" s="52" t="s">
        <v>372</v>
      </c>
      <c r="AF172" s="155" t="s">
        <v>247</v>
      </c>
      <c r="AG172" s="155" t="s">
        <v>247</v>
      </c>
    </row>
    <row r="173" spans="25:33">
      <c r="Y173" s="47">
        <v>2136</v>
      </c>
      <c r="Z173" s="52" t="s">
        <v>410</v>
      </c>
      <c r="AA173" s="52">
        <v>5</v>
      </c>
      <c r="AB173" s="52">
        <v>3</v>
      </c>
      <c r="AC173" s="52" t="s">
        <v>247</v>
      </c>
      <c r="AD173" s="52" t="s">
        <v>1</v>
      </c>
      <c r="AE173" s="52" t="s">
        <v>372</v>
      </c>
      <c r="AF173" s="155" t="s">
        <v>247</v>
      </c>
      <c r="AG173" s="155" t="s">
        <v>247</v>
      </c>
    </row>
    <row r="174" spans="25:33">
      <c r="Y174" s="47">
        <v>2137</v>
      </c>
      <c r="Z174" s="52" t="s">
        <v>410</v>
      </c>
      <c r="AA174" s="52">
        <v>5</v>
      </c>
      <c r="AB174" s="52">
        <v>3</v>
      </c>
      <c r="AC174" s="52" t="s">
        <v>247</v>
      </c>
      <c r="AD174" s="52" t="s">
        <v>1</v>
      </c>
      <c r="AE174" s="52" t="s">
        <v>372</v>
      </c>
      <c r="AF174" s="155" t="s">
        <v>247</v>
      </c>
      <c r="AG174" s="155" t="s">
        <v>247</v>
      </c>
    </row>
    <row r="175" spans="25:33">
      <c r="Y175" s="47">
        <v>2138</v>
      </c>
      <c r="Z175" s="52" t="s">
        <v>410</v>
      </c>
      <c r="AA175" s="52">
        <v>5</v>
      </c>
      <c r="AB175" s="52">
        <v>3</v>
      </c>
      <c r="AC175" s="52" t="s">
        <v>247</v>
      </c>
      <c r="AD175" s="52" t="s">
        <v>1</v>
      </c>
      <c r="AE175" s="52" t="s">
        <v>372</v>
      </c>
      <c r="AF175" s="155" t="s">
        <v>247</v>
      </c>
      <c r="AG175" s="155" t="s">
        <v>247</v>
      </c>
    </row>
    <row r="176" spans="25:33">
      <c r="Y176" s="47">
        <v>2139</v>
      </c>
      <c r="Z176" s="52" t="s">
        <v>410</v>
      </c>
      <c r="AA176" s="52">
        <v>5</v>
      </c>
      <c r="AB176" s="52">
        <v>3</v>
      </c>
      <c r="AC176" s="52" t="s">
        <v>247</v>
      </c>
      <c r="AD176" s="52" t="s">
        <v>1</v>
      </c>
      <c r="AE176" s="52" t="s">
        <v>372</v>
      </c>
      <c r="AF176" s="155" t="s">
        <v>247</v>
      </c>
      <c r="AG176" s="155" t="s">
        <v>247</v>
      </c>
    </row>
    <row r="177" spans="25:33">
      <c r="Y177" s="47">
        <v>2140</v>
      </c>
      <c r="Z177" s="52" t="s">
        <v>410</v>
      </c>
      <c r="AA177" s="52">
        <v>5</v>
      </c>
      <c r="AB177" s="52">
        <v>3</v>
      </c>
      <c r="AC177" s="52" t="s">
        <v>247</v>
      </c>
      <c r="AD177" s="52" t="s">
        <v>1</v>
      </c>
      <c r="AE177" s="52" t="s">
        <v>372</v>
      </c>
      <c r="AF177" s="155" t="s">
        <v>247</v>
      </c>
      <c r="AG177" s="155" t="s">
        <v>247</v>
      </c>
    </row>
    <row r="178" spans="25:33">
      <c r="Y178" s="47">
        <v>2141</v>
      </c>
      <c r="Z178" s="52" t="s">
        <v>410</v>
      </c>
      <c r="AA178" s="52">
        <v>5</v>
      </c>
      <c r="AB178" s="52">
        <v>3</v>
      </c>
      <c r="AC178" s="52" t="s">
        <v>247</v>
      </c>
      <c r="AD178" s="52" t="s">
        <v>1</v>
      </c>
      <c r="AE178" s="52" t="s">
        <v>372</v>
      </c>
      <c r="AF178" s="155" t="s">
        <v>247</v>
      </c>
      <c r="AG178" s="155" t="s">
        <v>247</v>
      </c>
    </row>
    <row r="179" spans="25:33">
      <c r="Y179" s="47">
        <v>2142</v>
      </c>
      <c r="Z179" s="52" t="s">
        <v>410</v>
      </c>
      <c r="AA179" s="52">
        <v>5</v>
      </c>
      <c r="AB179" s="52">
        <v>3</v>
      </c>
      <c r="AC179" s="52" t="s">
        <v>247</v>
      </c>
      <c r="AD179" s="52" t="s">
        <v>1</v>
      </c>
      <c r="AE179" s="52" t="s">
        <v>372</v>
      </c>
      <c r="AF179" s="155" t="s">
        <v>247</v>
      </c>
      <c r="AG179" s="155" t="s">
        <v>247</v>
      </c>
    </row>
    <row r="180" spans="25:33">
      <c r="Y180" s="47">
        <v>2143</v>
      </c>
      <c r="Z180" s="52" t="s">
        <v>410</v>
      </c>
      <c r="AA180" s="52">
        <v>5</v>
      </c>
      <c r="AB180" s="52">
        <v>3</v>
      </c>
      <c r="AC180" s="52" t="s">
        <v>247</v>
      </c>
      <c r="AD180" s="52" t="s">
        <v>1</v>
      </c>
      <c r="AE180" s="52" t="s">
        <v>372</v>
      </c>
      <c r="AF180" s="155" t="s">
        <v>247</v>
      </c>
      <c r="AG180" s="155" t="s">
        <v>247</v>
      </c>
    </row>
    <row r="181" spans="25:33">
      <c r="Y181" s="47">
        <v>2144</v>
      </c>
      <c r="Z181" s="52" t="s">
        <v>410</v>
      </c>
      <c r="AA181" s="52">
        <v>5</v>
      </c>
      <c r="AB181" s="52">
        <v>3</v>
      </c>
      <c r="AC181" s="52" t="s">
        <v>247</v>
      </c>
      <c r="AD181" s="52" t="s">
        <v>1</v>
      </c>
      <c r="AE181" s="52" t="s">
        <v>372</v>
      </c>
      <c r="AF181" s="155" t="s">
        <v>247</v>
      </c>
      <c r="AG181" s="155" t="s">
        <v>247</v>
      </c>
    </row>
    <row r="182" spans="25:33">
      <c r="Y182" s="47">
        <v>2145</v>
      </c>
      <c r="Z182" s="52" t="s">
        <v>410</v>
      </c>
      <c r="AA182" s="52">
        <v>6</v>
      </c>
      <c r="AB182" s="52">
        <v>3</v>
      </c>
      <c r="AC182" s="52" t="s">
        <v>247</v>
      </c>
      <c r="AD182" s="52" t="s">
        <v>1</v>
      </c>
      <c r="AE182" s="52" t="s">
        <v>372</v>
      </c>
      <c r="AF182" s="155" t="s">
        <v>247</v>
      </c>
      <c r="AG182" s="155" t="s">
        <v>247</v>
      </c>
    </row>
    <row r="183" spans="25:33">
      <c r="Y183" s="47">
        <v>2146</v>
      </c>
      <c r="Z183" s="52" t="s">
        <v>410</v>
      </c>
      <c r="AA183" s="52">
        <v>6</v>
      </c>
      <c r="AB183" s="52">
        <v>3</v>
      </c>
      <c r="AC183" s="52" t="s">
        <v>247</v>
      </c>
      <c r="AD183" s="52" t="s">
        <v>1</v>
      </c>
      <c r="AE183" s="52" t="s">
        <v>372</v>
      </c>
      <c r="AF183" s="155" t="s">
        <v>247</v>
      </c>
      <c r="AG183" s="155" t="s">
        <v>247</v>
      </c>
    </row>
    <row r="184" spans="25:33">
      <c r="Y184" s="47">
        <v>2147</v>
      </c>
      <c r="Z184" s="52" t="s">
        <v>410</v>
      </c>
      <c r="AA184" s="52">
        <v>6</v>
      </c>
      <c r="AB184" s="52">
        <v>3</v>
      </c>
      <c r="AC184" s="52" t="s">
        <v>247</v>
      </c>
      <c r="AD184" s="52" t="s">
        <v>1</v>
      </c>
      <c r="AE184" s="52" t="s">
        <v>372</v>
      </c>
      <c r="AF184" s="155" t="s">
        <v>247</v>
      </c>
      <c r="AG184" s="155" t="s">
        <v>247</v>
      </c>
    </row>
    <row r="185" spans="25:33">
      <c r="Y185" s="47">
        <v>2148</v>
      </c>
      <c r="Z185" s="52" t="s">
        <v>410</v>
      </c>
      <c r="AA185" s="52">
        <v>6</v>
      </c>
      <c r="AB185" s="52">
        <v>3</v>
      </c>
      <c r="AC185" s="52" t="s">
        <v>247</v>
      </c>
      <c r="AD185" s="52" t="s">
        <v>1</v>
      </c>
      <c r="AE185" s="52" t="s">
        <v>372</v>
      </c>
      <c r="AF185" s="155" t="s">
        <v>247</v>
      </c>
      <c r="AG185" s="155" t="s">
        <v>247</v>
      </c>
    </row>
    <row r="186" spans="25:33">
      <c r="Y186" s="47">
        <v>2149</v>
      </c>
      <c r="Z186" s="52" t="s">
        <v>410</v>
      </c>
      <c r="AA186" s="52" t="s">
        <v>247</v>
      </c>
      <c r="AB186" s="52">
        <v>3</v>
      </c>
      <c r="AC186" s="52" t="s">
        <v>247</v>
      </c>
      <c r="AD186" s="52" t="s">
        <v>1</v>
      </c>
      <c r="AE186" s="52" t="s">
        <v>372</v>
      </c>
      <c r="AF186" s="155" t="s">
        <v>247</v>
      </c>
      <c r="AG186" s="155" t="s">
        <v>247</v>
      </c>
    </row>
    <row r="187" spans="25:33">
      <c r="Y187" s="47">
        <v>2150</v>
      </c>
      <c r="Z187" s="52" t="s">
        <v>410</v>
      </c>
      <c r="AA187" s="52">
        <v>5</v>
      </c>
      <c r="AB187" s="52">
        <v>3</v>
      </c>
      <c r="AC187" s="52" t="s">
        <v>247</v>
      </c>
      <c r="AD187" s="52" t="s">
        <v>1</v>
      </c>
      <c r="AE187" s="52" t="s">
        <v>372</v>
      </c>
      <c r="AF187" s="155" t="s">
        <v>247</v>
      </c>
      <c r="AG187" s="155" t="s">
        <v>247</v>
      </c>
    </row>
    <row r="188" spans="25:33">
      <c r="Y188" s="47">
        <v>2151</v>
      </c>
      <c r="Z188" s="52" t="s">
        <v>410</v>
      </c>
      <c r="AA188" s="52">
        <v>5</v>
      </c>
      <c r="AB188" s="52">
        <v>3</v>
      </c>
      <c r="AC188" s="52" t="s">
        <v>247</v>
      </c>
      <c r="AD188" s="52" t="s">
        <v>1</v>
      </c>
      <c r="AE188" s="52" t="s">
        <v>372</v>
      </c>
      <c r="AF188" s="155" t="s">
        <v>247</v>
      </c>
      <c r="AG188" s="155" t="s">
        <v>247</v>
      </c>
    </row>
    <row r="189" spans="25:33">
      <c r="Y189" s="47">
        <v>2152</v>
      </c>
      <c r="Z189" s="52" t="s">
        <v>410</v>
      </c>
      <c r="AA189" s="52">
        <v>5</v>
      </c>
      <c r="AB189" s="52">
        <v>3</v>
      </c>
      <c r="AC189" s="52" t="s">
        <v>247</v>
      </c>
      <c r="AD189" s="52" t="s">
        <v>1</v>
      </c>
      <c r="AE189" s="52" t="s">
        <v>372</v>
      </c>
      <c r="AF189" s="155" t="s">
        <v>247</v>
      </c>
      <c r="AG189" s="155" t="s">
        <v>247</v>
      </c>
    </row>
    <row r="190" spans="25:33">
      <c r="Y190" s="47">
        <v>2153</v>
      </c>
      <c r="Z190" s="52" t="s">
        <v>410</v>
      </c>
      <c r="AA190" s="52">
        <v>5</v>
      </c>
      <c r="AB190" s="52">
        <v>3</v>
      </c>
      <c r="AC190" s="52" t="s">
        <v>247</v>
      </c>
      <c r="AD190" s="52" t="s">
        <v>1</v>
      </c>
      <c r="AE190" s="52" t="s">
        <v>372</v>
      </c>
      <c r="AF190" s="155" t="s">
        <v>247</v>
      </c>
      <c r="AG190" s="155" t="s">
        <v>247</v>
      </c>
    </row>
    <row r="191" spans="25:33">
      <c r="Y191" s="47">
        <v>2154</v>
      </c>
      <c r="Z191" s="52" t="s">
        <v>410</v>
      </c>
      <c r="AA191" s="52">
        <v>5</v>
      </c>
      <c r="AB191" s="52">
        <v>3</v>
      </c>
      <c r="AC191" s="52" t="s">
        <v>247</v>
      </c>
      <c r="AD191" s="52" t="s">
        <v>1</v>
      </c>
      <c r="AE191" s="52" t="s">
        <v>372</v>
      </c>
      <c r="AF191" s="155" t="s">
        <v>247</v>
      </c>
      <c r="AG191" s="155" t="s">
        <v>247</v>
      </c>
    </row>
    <row r="192" spans="25:33">
      <c r="Y192" s="47">
        <v>2155</v>
      </c>
      <c r="Z192" s="52" t="s">
        <v>410</v>
      </c>
      <c r="AA192" s="52">
        <v>6</v>
      </c>
      <c r="AB192" s="52">
        <v>3</v>
      </c>
      <c r="AC192" s="52" t="s">
        <v>247</v>
      </c>
      <c r="AD192" s="52" t="s">
        <v>1</v>
      </c>
      <c r="AE192" s="52" t="s">
        <v>372</v>
      </c>
      <c r="AF192" s="155" t="s">
        <v>247</v>
      </c>
      <c r="AG192" s="155" t="s">
        <v>247</v>
      </c>
    </row>
    <row r="193" spans="25:33">
      <c r="Y193" s="47">
        <v>2156</v>
      </c>
      <c r="Z193" s="52" t="s">
        <v>410</v>
      </c>
      <c r="AA193" s="52">
        <v>6</v>
      </c>
      <c r="AB193" s="52">
        <v>3</v>
      </c>
      <c r="AC193" s="52" t="s">
        <v>247</v>
      </c>
      <c r="AD193" s="52" t="s">
        <v>1</v>
      </c>
      <c r="AE193" s="52" t="s">
        <v>372</v>
      </c>
      <c r="AF193" s="155" t="s">
        <v>247</v>
      </c>
      <c r="AG193" s="155" t="s">
        <v>247</v>
      </c>
    </row>
    <row r="194" spans="25:33">
      <c r="Y194" s="47">
        <v>2157</v>
      </c>
      <c r="Z194" s="52" t="s">
        <v>410</v>
      </c>
      <c r="AA194" s="52">
        <v>6</v>
      </c>
      <c r="AB194" s="52">
        <v>3</v>
      </c>
      <c r="AC194" s="52" t="s">
        <v>247</v>
      </c>
      <c r="AD194" s="52" t="s">
        <v>1</v>
      </c>
      <c r="AE194" s="52" t="s">
        <v>372</v>
      </c>
      <c r="AF194" s="155" t="s">
        <v>247</v>
      </c>
      <c r="AG194" s="155" t="s">
        <v>247</v>
      </c>
    </row>
    <row r="195" spans="25:33">
      <c r="Y195" s="47">
        <v>2158</v>
      </c>
      <c r="Z195" s="52" t="s">
        <v>410</v>
      </c>
      <c r="AA195" s="52">
        <v>6</v>
      </c>
      <c r="AB195" s="52">
        <v>3</v>
      </c>
      <c r="AC195" s="52" t="s">
        <v>247</v>
      </c>
      <c r="AD195" s="52" t="s">
        <v>1</v>
      </c>
      <c r="AE195" s="52" t="s">
        <v>372</v>
      </c>
      <c r="AF195" s="155" t="s">
        <v>247</v>
      </c>
      <c r="AG195" s="155" t="s">
        <v>247</v>
      </c>
    </row>
    <row r="196" spans="25:33">
      <c r="Y196" s="47">
        <v>2159</v>
      </c>
      <c r="Z196" s="52" t="s">
        <v>410</v>
      </c>
      <c r="AA196" s="52">
        <v>6</v>
      </c>
      <c r="AB196" s="52">
        <v>3</v>
      </c>
      <c r="AC196" s="52" t="s">
        <v>247</v>
      </c>
      <c r="AD196" s="52" t="s">
        <v>1</v>
      </c>
      <c r="AE196" s="52" t="s">
        <v>372</v>
      </c>
      <c r="AF196" s="155" t="s">
        <v>247</v>
      </c>
      <c r="AG196" s="155" t="s">
        <v>247</v>
      </c>
    </row>
    <row r="197" spans="25:33">
      <c r="Y197" s="47">
        <v>2160</v>
      </c>
      <c r="Z197" s="52" t="s">
        <v>410</v>
      </c>
      <c r="AA197" s="52">
        <v>5</v>
      </c>
      <c r="AB197" s="52">
        <v>3</v>
      </c>
      <c r="AC197" s="52" t="s">
        <v>247</v>
      </c>
      <c r="AD197" s="52" t="s">
        <v>1</v>
      </c>
      <c r="AE197" s="52" t="s">
        <v>372</v>
      </c>
      <c r="AF197" s="155" t="s">
        <v>247</v>
      </c>
      <c r="AG197" s="155" t="s">
        <v>247</v>
      </c>
    </row>
    <row r="198" spans="25:33">
      <c r="Y198" s="47">
        <v>2161</v>
      </c>
      <c r="Z198" s="52" t="s">
        <v>410</v>
      </c>
      <c r="AA198" s="52">
        <v>5</v>
      </c>
      <c r="AB198" s="52">
        <v>3</v>
      </c>
      <c r="AC198" s="52" t="s">
        <v>247</v>
      </c>
      <c r="AD198" s="52" t="s">
        <v>1</v>
      </c>
      <c r="AE198" s="52" t="s">
        <v>372</v>
      </c>
      <c r="AF198" s="155" t="s">
        <v>247</v>
      </c>
      <c r="AG198" s="155" t="s">
        <v>247</v>
      </c>
    </row>
    <row r="199" spans="25:33">
      <c r="Y199" s="47">
        <v>2162</v>
      </c>
      <c r="Z199" s="52" t="s">
        <v>410</v>
      </c>
      <c r="AA199" s="52">
        <v>5</v>
      </c>
      <c r="AB199" s="52">
        <v>3</v>
      </c>
      <c r="AC199" s="52" t="s">
        <v>247</v>
      </c>
      <c r="AD199" s="52" t="s">
        <v>1</v>
      </c>
      <c r="AE199" s="52" t="s">
        <v>372</v>
      </c>
      <c r="AF199" s="155" t="s">
        <v>247</v>
      </c>
      <c r="AG199" s="155" t="s">
        <v>247</v>
      </c>
    </row>
    <row r="200" spans="25:33">
      <c r="Y200" s="47">
        <v>2163</v>
      </c>
      <c r="Z200" s="52" t="s">
        <v>410</v>
      </c>
      <c r="AA200" s="52">
        <v>5</v>
      </c>
      <c r="AB200" s="52">
        <v>3</v>
      </c>
      <c r="AC200" s="52" t="s">
        <v>247</v>
      </c>
      <c r="AD200" s="52" t="s">
        <v>1</v>
      </c>
      <c r="AE200" s="52" t="s">
        <v>372</v>
      </c>
      <c r="AF200" s="155" t="s">
        <v>247</v>
      </c>
      <c r="AG200" s="155" t="s">
        <v>247</v>
      </c>
    </row>
    <row r="201" spans="25:33">
      <c r="Y201" s="47">
        <v>2164</v>
      </c>
      <c r="Z201" s="52" t="s">
        <v>410</v>
      </c>
      <c r="AA201" s="52">
        <v>6</v>
      </c>
      <c r="AB201" s="52">
        <v>3</v>
      </c>
      <c r="AC201" s="52" t="s">
        <v>247</v>
      </c>
      <c r="AD201" s="52" t="s">
        <v>1</v>
      </c>
      <c r="AE201" s="52" t="s">
        <v>372</v>
      </c>
      <c r="AF201" s="155" t="s">
        <v>247</v>
      </c>
      <c r="AG201" s="155" t="s">
        <v>247</v>
      </c>
    </row>
    <row r="202" spans="25:33">
      <c r="Y202" s="47">
        <v>2165</v>
      </c>
      <c r="Z202" s="52" t="s">
        <v>410</v>
      </c>
      <c r="AA202" s="52">
        <v>6</v>
      </c>
      <c r="AB202" s="52">
        <v>3</v>
      </c>
      <c r="AC202" s="52" t="s">
        <v>247</v>
      </c>
      <c r="AD202" s="52" t="s">
        <v>1</v>
      </c>
      <c r="AE202" s="52" t="s">
        <v>372</v>
      </c>
      <c r="AF202" s="155" t="s">
        <v>247</v>
      </c>
      <c r="AG202" s="155" t="s">
        <v>247</v>
      </c>
    </row>
    <row r="203" spans="25:33">
      <c r="Y203" s="47">
        <v>2166</v>
      </c>
      <c r="Z203" s="52" t="s">
        <v>410</v>
      </c>
      <c r="AA203" s="52">
        <v>6</v>
      </c>
      <c r="AB203" s="52">
        <v>3</v>
      </c>
      <c r="AC203" s="52" t="s">
        <v>247</v>
      </c>
      <c r="AD203" s="52" t="s">
        <v>1</v>
      </c>
      <c r="AE203" s="52" t="s">
        <v>372</v>
      </c>
      <c r="AF203" s="155" t="s">
        <v>247</v>
      </c>
      <c r="AG203" s="155" t="s">
        <v>247</v>
      </c>
    </row>
    <row r="204" spans="25:33">
      <c r="Y204" s="47">
        <v>2167</v>
      </c>
      <c r="Z204" s="52" t="s">
        <v>410</v>
      </c>
      <c r="AA204" s="52">
        <v>6</v>
      </c>
      <c r="AB204" s="52">
        <v>3</v>
      </c>
      <c r="AC204" s="52" t="s">
        <v>247</v>
      </c>
      <c r="AD204" s="52" t="s">
        <v>1</v>
      </c>
      <c r="AE204" s="52" t="s">
        <v>372</v>
      </c>
      <c r="AF204" s="155" t="s">
        <v>247</v>
      </c>
      <c r="AG204" s="155" t="s">
        <v>247</v>
      </c>
    </row>
    <row r="205" spans="25:33">
      <c r="Y205" s="47">
        <v>2168</v>
      </c>
      <c r="Z205" s="52" t="s">
        <v>410</v>
      </c>
      <c r="AA205" s="52">
        <v>6</v>
      </c>
      <c r="AB205" s="52">
        <v>3</v>
      </c>
      <c r="AC205" s="52" t="s">
        <v>247</v>
      </c>
      <c r="AD205" s="52" t="s">
        <v>1</v>
      </c>
      <c r="AE205" s="52" t="s">
        <v>372</v>
      </c>
      <c r="AF205" s="155" t="s">
        <v>247</v>
      </c>
      <c r="AG205" s="155" t="s">
        <v>247</v>
      </c>
    </row>
    <row r="206" spans="25:33">
      <c r="Y206" s="47">
        <v>2169</v>
      </c>
      <c r="Z206" s="52" t="s">
        <v>410</v>
      </c>
      <c r="AA206" s="52" t="s">
        <v>247</v>
      </c>
      <c r="AB206" s="52">
        <v>3</v>
      </c>
      <c r="AC206" s="52" t="s">
        <v>247</v>
      </c>
      <c r="AD206" s="52" t="s">
        <v>1</v>
      </c>
      <c r="AE206" s="52" t="s">
        <v>372</v>
      </c>
      <c r="AF206" s="155" t="s">
        <v>247</v>
      </c>
      <c r="AG206" s="155" t="s">
        <v>247</v>
      </c>
    </row>
    <row r="207" spans="25:33">
      <c r="Y207" s="47">
        <v>2170</v>
      </c>
      <c r="Z207" s="52" t="s">
        <v>410</v>
      </c>
      <c r="AA207" s="52">
        <v>6</v>
      </c>
      <c r="AB207" s="52">
        <v>3</v>
      </c>
      <c r="AC207" s="52" t="s">
        <v>247</v>
      </c>
      <c r="AD207" s="52" t="s">
        <v>1</v>
      </c>
      <c r="AE207" s="52" t="s">
        <v>372</v>
      </c>
      <c r="AF207" s="155" t="s">
        <v>247</v>
      </c>
      <c r="AG207" s="155" t="s">
        <v>247</v>
      </c>
    </row>
    <row r="208" spans="25:33">
      <c r="Y208" s="47">
        <v>2171</v>
      </c>
      <c r="Z208" s="52" t="s">
        <v>410</v>
      </c>
      <c r="AA208" s="52">
        <v>6</v>
      </c>
      <c r="AB208" s="52">
        <v>3</v>
      </c>
      <c r="AC208" s="52" t="s">
        <v>247</v>
      </c>
      <c r="AD208" s="52" t="s">
        <v>1</v>
      </c>
      <c r="AE208" s="52" t="s">
        <v>372</v>
      </c>
      <c r="AF208" s="155" t="s">
        <v>247</v>
      </c>
      <c r="AG208" s="155" t="s">
        <v>247</v>
      </c>
    </row>
    <row r="209" spans="25:33">
      <c r="Y209" s="47">
        <v>2172</v>
      </c>
      <c r="Z209" s="52" t="s">
        <v>410</v>
      </c>
      <c r="AA209" s="52">
        <v>6</v>
      </c>
      <c r="AB209" s="52">
        <v>3</v>
      </c>
      <c r="AC209" s="52" t="s">
        <v>247</v>
      </c>
      <c r="AD209" s="52" t="s">
        <v>1</v>
      </c>
      <c r="AE209" s="52" t="s">
        <v>372</v>
      </c>
      <c r="AF209" s="155" t="s">
        <v>247</v>
      </c>
      <c r="AG209" s="155" t="s">
        <v>247</v>
      </c>
    </row>
    <row r="210" spans="25:33">
      <c r="Y210" s="47">
        <v>2173</v>
      </c>
      <c r="Z210" s="52" t="s">
        <v>410</v>
      </c>
      <c r="AA210" s="52">
        <v>6</v>
      </c>
      <c r="AB210" s="52">
        <v>3</v>
      </c>
      <c r="AC210" s="52" t="s">
        <v>247</v>
      </c>
      <c r="AD210" s="52" t="s">
        <v>1</v>
      </c>
      <c r="AE210" s="52" t="s">
        <v>372</v>
      </c>
      <c r="AF210" s="155" t="s">
        <v>247</v>
      </c>
      <c r="AG210" s="155" t="s">
        <v>247</v>
      </c>
    </row>
    <row r="211" spans="25:33">
      <c r="Y211" s="47">
        <v>2174</v>
      </c>
      <c r="Z211" s="52" t="s">
        <v>410</v>
      </c>
      <c r="AA211" s="52">
        <v>6</v>
      </c>
      <c r="AB211" s="52">
        <v>3</v>
      </c>
      <c r="AC211" s="52" t="s">
        <v>247</v>
      </c>
      <c r="AD211" s="52" t="s">
        <v>1</v>
      </c>
      <c r="AE211" s="52" t="s">
        <v>372</v>
      </c>
      <c r="AF211" s="155" t="s">
        <v>247</v>
      </c>
      <c r="AG211" s="155" t="s">
        <v>247</v>
      </c>
    </row>
    <row r="212" spans="25:33">
      <c r="Y212" s="47">
        <v>2175</v>
      </c>
      <c r="Z212" s="52" t="s">
        <v>410</v>
      </c>
      <c r="AA212" s="52">
        <v>6</v>
      </c>
      <c r="AB212" s="52">
        <v>3</v>
      </c>
      <c r="AC212" s="52" t="s">
        <v>247</v>
      </c>
      <c r="AD212" s="52" t="s">
        <v>1</v>
      </c>
      <c r="AE212" s="52" t="s">
        <v>372</v>
      </c>
      <c r="AF212" s="155" t="s">
        <v>247</v>
      </c>
      <c r="AG212" s="155" t="s">
        <v>247</v>
      </c>
    </row>
    <row r="213" spans="25:33">
      <c r="Y213" s="47">
        <v>2176</v>
      </c>
      <c r="Z213" s="52" t="s">
        <v>410</v>
      </c>
      <c r="AA213" s="52">
        <v>6</v>
      </c>
      <c r="AB213" s="52">
        <v>3</v>
      </c>
      <c r="AC213" s="52" t="s">
        <v>247</v>
      </c>
      <c r="AD213" s="52" t="s">
        <v>1</v>
      </c>
      <c r="AE213" s="52" t="s">
        <v>372</v>
      </c>
      <c r="AF213" s="155" t="s">
        <v>247</v>
      </c>
      <c r="AG213" s="155" t="s">
        <v>247</v>
      </c>
    </row>
    <row r="214" spans="25:33">
      <c r="Y214" s="47">
        <v>2177</v>
      </c>
      <c r="Z214" s="52" t="s">
        <v>410</v>
      </c>
      <c r="AA214" s="52">
        <v>6</v>
      </c>
      <c r="AB214" s="52">
        <v>3</v>
      </c>
      <c r="AC214" s="52" t="s">
        <v>247</v>
      </c>
      <c r="AD214" s="52" t="s">
        <v>1</v>
      </c>
      <c r="AE214" s="52" t="s">
        <v>372</v>
      </c>
      <c r="AF214" s="155" t="s">
        <v>247</v>
      </c>
      <c r="AG214" s="155" t="s">
        <v>247</v>
      </c>
    </row>
    <row r="215" spans="25:33">
      <c r="Y215" s="47">
        <v>2178</v>
      </c>
      <c r="Z215" s="52" t="s">
        <v>410</v>
      </c>
      <c r="AA215" s="52">
        <v>6</v>
      </c>
      <c r="AB215" s="52">
        <v>3</v>
      </c>
      <c r="AC215" s="52" t="s">
        <v>247</v>
      </c>
      <c r="AD215" s="52" t="s">
        <v>1</v>
      </c>
      <c r="AE215" s="52" t="s">
        <v>372</v>
      </c>
      <c r="AF215" s="155" t="s">
        <v>247</v>
      </c>
      <c r="AG215" s="155" t="s">
        <v>247</v>
      </c>
    </row>
    <row r="216" spans="25:33">
      <c r="Y216" s="47">
        <v>2179</v>
      </c>
      <c r="Z216" s="52" t="s">
        <v>410</v>
      </c>
      <c r="AA216" s="52">
        <v>6</v>
      </c>
      <c r="AB216" s="52">
        <v>3</v>
      </c>
      <c r="AC216" s="52" t="s">
        <v>247</v>
      </c>
      <c r="AD216" s="52" t="s">
        <v>1</v>
      </c>
      <c r="AE216" s="52" t="s">
        <v>372</v>
      </c>
      <c r="AF216" s="155" t="s">
        <v>247</v>
      </c>
      <c r="AG216" s="155" t="s">
        <v>247</v>
      </c>
    </row>
    <row r="217" spans="25:33">
      <c r="Y217" s="47">
        <v>2180</v>
      </c>
      <c r="Z217" s="52" t="s">
        <v>410</v>
      </c>
      <c r="AA217" s="52" t="s">
        <v>247</v>
      </c>
      <c r="AB217" s="52">
        <v>3</v>
      </c>
      <c r="AC217" s="52" t="s">
        <v>247</v>
      </c>
      <c r="AD217" s="52" t="s">
        <v>1</v>
      </c>
      <c r="AE217" s="52" t="s">
        <v>372</v>
      </c>
      <c r="AF217" s="155" t="s">
        <v>247</v>
      </c>
      <c r="AG217" s="155" t="s">
        <v>247</v>
      </c>
    </row>
    <row r="218" spans="25:33">
      <c r="Y218" s="47">
        <v>2181</v>
      </c>
      <c r="Z218" s="52" t="s">
        <v>410</v>
      </c>
      <c r="AA218" s="52" t="s">
        <v>247</v>
      </c>
      <c r="AB218" s="52">
        <v>3</v>
      </c>
      <c r="AC218" s="52" t="s">
        <v>247</v>
      </c>
      <c r="AD218" s="52" t="s">
        <v>1</v>
      </c>
      <c r="AE218" s="52" t="s">
        <v>372</v>
      </c>
      <c r="AF218" s="155" t="s">
        <v>247</v>
      </c>
      <c r="AG218" s="155" t="s">
        <v>247</v>
      </c>
    </row>
    <row r="219" spans="25:33">
      <c r="Y219" s="47">
        <v>2182</v>
      </c>
      <c r="Z219" s="52" t="s">
        <v>410</v>
      </c>
      <c r="AA219" s="52" t="s">
        <v>247</v>
      </c>
      <c r="AB219" s="52">
        <v>3</v>
      </c>
      <c r="AC219" s="52" t="s">
        <v>247</v>
      </c>
      <c r="AD219" s="52" t="s">
        <v>1</v>
      </c>
      <c r="AE219" s="52" t="s">
        <v>372</v>
      </c>
      <c r="AF219" s="155" t="s">
        <v>247</v>
      </c>
      <c r="AG219" s="155" t="s">
        <v>247</v>
      </c>
    </row>
    <row r="220" spans="25:33">
      <c r="Y220" s="47">
        <v>2183</v>
      </c>
      <c r="Z220" s="52" t="s">
        <v>410</v>
      </c>
      <c r="AA220" s="52" t="s">
        <v>247</v>
      </c>
      <c r="AB220" s="52">
        <v>3</v>
      </c>
      <c r="AC220" s="52" t="s">
        <v>247</v>
      </c>
      <c r="AD220" s="52" t="s">
        <v>1</v>
      </c>
      <c r="AE220" s="52" t="s">
        <v>372</v>
      </c>
      <c r="AF220" s="155" t="s">
        <v>247</v>
      </c>
      <c r="AG220" s="155" t="s">
        <v>247</v>
      </c>
    </row>
    <row r="221" spans="25:33">
      <c r="Y221" s="47">
        <v>2184</v>
      </c>
      <c r="Z221" s="52" t="s">
        <v>410</v>
      </c>
      <c r="AA221" s="52" t="s">
        <v>247</v>
      </c>
      <c r="AB221" s="52">
        <v>3</v>
      </c>
      <c r="AC221" s="52" t="s">
        <v>247</v>
      </c>
      <c r="AD221" s="52" t="s">
        <v>1</v>
      </c>
      <c r="AE221" s="52" t="s">
        <v>372</v>
      </c>
      <c r="AF221" s="155" t="s">
        <v>247</v>
      </c>
      <c r="AG221" s="155" t="s">
        <v>247</v>
      </c>
    </row>
    <row r="222" spans="25:33">
      <c r="Y222" s="47">
        <v>2185</v>
      </c>
      <c r="Z222" s="52" t="s">
        <v>410</v>
      </c>
      <c r="AA222" s="52" t="s">
        <v>247</v>
      </c>
      <c r="AB222" s="52">
        <v>3</v>
      </c>
      <c r="AC222" s="52" t="s">
        <v>247</v>
      </c>
      <c r="AD222" s="52" t="s">
        <v>1</v>
      </c>
      <c r="AE222" s="52" t="s">
        <v>372</v>
      </c>
      <c r="AF222" s="155" t="s">
        <v>247</v>
      </c>
      <c r="AG222" s="155" t="s">
        <v>247</v>
      </c>
    </row>
    <row r="223" spans="25:33">
      <c r="Y223" s="47">
        <v>2186</v>
      </c>
      <c r="Z223" s="52" t="s">
        <v>410</v>
      </c>
      <c r="AA223" s="52" t="s">
        <v>247</v>
      </c>
      <c r="AB223" s="52">
        <v>3</v>
      </c>
      <c r="AC223" s="52" t="s">
        <v>247</v>
      </c>
      <c r="AD223" s="52" t="s">
        <v>1</v>
      </c>
      <c r="AE223" s="52" t="s">
        <v>372</v>
      </c>
      <c r="AF223" s="155" t="s">
        <v>247</v>
      </c>
      <c r="AG223" s="155" t="s">
        <v>247</v>
      </c>
    </row>
    <row r="224" spans="25:33">
      <c r="Y224" s="47">
        <v>2187</v>
      </c>
      <c r="Z224" s="52" t="s">
        <v>410</v>
      </c>
      <c r="AA224" s="52" t="s">
        <v>247</v>
      </c>
      <c r="AB224" s="52">
        <v>3</v>
      </c>
      <c r="AC224" s="52" t="s">
        <v>247</v>
      </c>
      <c r="AD224" s="52" t="s">
        <v>1</v>
      </c>
      <c r="AE224" s="52" t="s">
        <v>372</v>
      </c>
      <c r="AF224" s="155" t="s">
        <v>247</v>
      </c>
      <c r="AG224" s="155" t="s">
        <v>247</v>
      </c>
    </row>
    <row r="225" spans="25:33">
      <c r="Y225" s="47">
        <v>2188</v>
      </c>
      <c r="Z225" s="52" t="s">
        <v>410</v>
      </c>
      <c r="AA225" s="52" t="s">
        <v>247</v>
      </c>
      <c r="AB225" s="52">
        <v>3</v>
      </c>
      <c r="AC225" s="52" t="s">
        <v>247</v>
      </c>
      <c r="AD225" s="52" t="s">
        <v>1</v>
      </c>
      <c r="AE225" s="52" t="s">
        <v>372</v>
      </c>
      <c r="AF225" s="155" t="s">
        <v>247</v>
      </c>
      <c r="AG225" s="155" t="s">
        <v>247</v>
      </c>
    </row>
    <row r="226" spans="25:33">
      <c r="Y226" s="47">
        <v>2189</v>
      </c>
      <c r="Z226" s="52" t="s">
        <v>410</v>
      </c>
      <c r="AA226" s="52" t="s">
        <v>247</v>
      </c>
      <c r="AB226" s="52">
        <v>3</v>
      </c>
      <c r="AC226" s="52" t="s">
        <v>247</v>
      </c>
      <c r="AD226" s="52" t="s">
        <v>1</v>
      </c>
      <c r="AE226" s="52" t="s">
        <v>372</v>
      </c>
      <c r="AF226" s="155" t="s">
        <v>247</v>
      </c>
      <c r="AG226" s="155" t="s">
        <v>247</v>
      </c>
    </row>
    <row r="227" spans="25:33">
      <c r="Y227" s="47">
        <v>2190</v>
      </c>
      <c r="Z227" s="52" t="s">
        <v>410</v>
      </c>
      <c r="AA227" s="52">
        <v>5</v>
      </c>
      <c r="AB227" s="52">
        <v>3</v>
      </c>
      <c r="AC227" s="52" t="s">
        <v>247</v>
      </c>
      <c r="AD227" s="52" t="s">
        <v>1</v>
      </c>
      <c r="AE227" s="52" t="s">
        <v>372</v>
      </c>
      <c r="AF227" s="155" t="s">
        <v>247</v>
      </c>
      <c r="AG227" s="155" t="s">
        <v>247</v>
      </c>
    </row>
    <row r="228" spans="25:33">
      <c r="Y228" s="47">
        <v>2191</v>
      </c>
      <c r="Z228" s="52" t="s">
        <v>410</v>
      </c>
      <c r="AA228" s="52">
        <v>5</v>
      </c>
      <c r="AB228" s="52">
        <v>3</v>
      </c>
      <c r="AC228" s="52" t="s">
        <v>247</v>
      </c>
      <c r="AD228" s="52" t="s">
        <v>1</v>
      </c>
      <c r="AE228" s="52" t="s">
        <v>372</v>
      </c>
      <c r="AF228" s="155" t="s">
        <v>247</v>
      </c>
      <c r="AG228" s="155" t="s">
        <v>247</v>
      </c>
    </row>
    <row r="229" spans="25:33">
      <c r="Y229" s="47">
        <v>2192</v>
      </c>
      <c r="Z229" s="52" t="s">
        <v>410</v>
      </c>
      <c r="AA229" s="52">
        <v>5</v>
      </c>
      <c r="AB229" s="52">
        <v>3</v>
      </c>
      <c r="AC229" s="52" t="s">
        <v>247</v>
      </c>
      <c r="AD229" s="52" t="s">
        <v>1</v>
      </c>
      <c r="AE229" s="52" t="s">
        <v>372</v>
      </c>
      <c r="AF229" s="155" t="s">
        <v>247</v>
      </c>
      <c r="AG229" s="155" t="s">
        <v>247</v>
      </c>
    </row>
    <row r="230" spans="25:33">
      <c r="Y230" s="47">
        <v>2193</v>
      </c>
      <c r="Z230" s="52" t="s">
        <v>410</v>
      </c>
      <c r="AA230" s="52">
        <v>5</v>
      </c>
      <c r="AB230" s="52">
        <v>3</v>
      </c>
      <c r="AC230" s="52" t="s">
        <v>247</v>
      </c>
      <c r="AD230" s="52" t="s">
        <v>1</v>
      </c>
      <c r="AE230" s="52" t="s">
        <v>372</v>
      </c>
      <c r="AF230" s="155" t="s">
        <v>247</v>
      </c>
      <c r="AG230" s="155" t="s">
        <v>247</v>
      </c>
    </row>
    <row r="231" spans="25:33">
      <c r="Y231" s="47">
        <v>2194</v>
      </c>
      <c r="Z231" s="52" t="s">
        <v>410</v>
      </c>
      <c r="AA231" s="52">
        <v>5</v>
      </c>
      <c r="AB231" s="52">
        <v>3</v>
      </c>
      <c r="AC231" s="52" t="s">
        <v>247</v>
      </c>
      <c r="AD231" s="52" t="s">
        <v>1</v>
      </c>
      <c r="AE231" s="52" t="s">
        <v>372</v>
      </c>
      <c r="AF231" s="155" t="s">
        <v>247</v>
      </c>
      <c r="AG231" s="155" t="s">
        <v>247</v>
      </c>
    </row>
    <row r="232" spans="25:33">
      <c r="Y232" s="47">
        <v>2195</v>
      </c>
      <c r="Z232" s="52" t="s">
        <v>410</v>
      </c>
      <c r="AA232" s="52">
        <v>5</v>
      </c>
      <c r="AB232" s="52">
        <v>3</v>
      </c>
      <c r="AC232" s="52" t="s">
        <v>247</v>
      </c>
      <c r="AD232" s="52" t="s">
        <v>1</v>
      </c>
      <c r="AE232" s="52" t="s">
        <v>372</v>
      </c>
      <c r="AF232" s="155" t="s">
        <v>247</v>
      </c>
      <c r="AG232" s="155" t="s">
        <v>247</v>
      </c>
    </row>
    <row r="233" spans="25:33">
      <c r="Y233" s="47">
        <v>2196</v>
      </c>
      <c r="Z233" s="52" t="s">
        <v>410</v>
      </c>
      <c r="AA233" s="52">
        <v>5</v>
      </c>
      <c r="AB233" s="52">
        <v>3</v>
      </c>
      <c r="AC233" s="52" t="s">
        <v>247</v>
      </c>
      <c r="AD233" s="52" t="s">
        <v>1</v>
      </c>
      <c r="AE233" s="52" t="s">
        <v>372</v>
      </c>
      <c r="AF233" s="155" t="s">
        <v>247</v>
      </c>
      <c r="AG233" s="155" t="s">
        <v>247</v>
      </c>
    </row>
    <row r="234" spans="25:33">
      <c r="Y234" s="47">
        <v>2197</v>
      </c>
      <c r="Z234" s="52" t="s">
        <v>410</v>
      </c>
      <c r="AA234" s="52">
        <v>5</v>
      </c>
      <c r="AB234" s="52">
        <v>3</v>
      </c>
      <c r="AC234" s="52" t="s">
        <v>247</v>
      </c>
      <c r="AD234" s="52" t="s">
        <v>1</v>
      </c>
      <c r="AE234" s="52" t="s">
        <v>372</v>
      </c>
      <c r="AF234" s="155" t="s">
        <v>247</v>
      </c>
      <c r="AG234" s="155" t="s">
        <v>247</v>
      </c>
    </row>
    <row r="235" spans="25:33">
      <c r="Y235" s="47">
        <v>2198</v>
      </c>
      <c r="Z235" s="52" t="s">
        <v>410</v>
      </c>
      <c r="AA235" s="52">
        <v>5</v>
      </c>
      <c r="AB235" s="52">
        <v>3</v>
      </c>
      <c r="AC235" s="52" t="s">
        <v>247</v>
      </c>
      <c r="AD235" s="52" t="s">
        <v>1</v>
      </c>
      <c r="AE235" s="52" t="s">
        <v>372</v>
      </c>
      <c r="AF235" s="155" t="s">
        <v>247</v>
      </c>
      <c r="AG235" s="155" t="s">
        <v>247</v>
      </c>
    </row>
    <row r="236" spans="25:33">
      <c r="Y236" s="47">
        <v>2199</v>
      </c>
      <c r="Z236" s="52" t="s">
        <v>410</v>
      </c>
      <c r="AA236" s="52">
        <v>5</v>
      </c>
      <c r="AB236" s="52">
        <v>3</v>
      </c>
      <c r="AC236" s="52" t="s">
        <v>247</v>
      </c>
      <c r="AD236" s="52" t="s">
        <v>1</v>
      </c>
      <c r="AE236" s="52" t="s">
        <v>372</v>
      </c>
      <c r="AF236" s="155" t="s">
        <v>247</v>
      </c>
      <c r="AG236" s="155" t="s">
        <v>247</v>
      </c>
    </row>
    <row r="237" spans="25:33">
      <c r="Y237" s="47">
        <v>2200</v>
      </c>
      <c r="Z237" s="52" t="s">
        <v>410</v>
      </c>
      <c r="AA237" s="52">
        <v>5</v>
      </c>
      <c r="AB237" s="52">
        <v>3</v>
      </c>
      <c r="AC237" s="52" t="s">
        <v>247</v>
      </c>
      <c r="AD237" s="52" t="s">
        <v>1</v>
      </c>
      <c r="AE237" s="52" t="s">
        <v>372</v>
      </c>
      <c r="AF237" s="155" t="s">
        <v>247</v>
      </c>
      <c r="AG237" s="155" t="s">
        <v>247</v>
      </c>
    </row>
    <row r="238" spans="25:33">
      <c r="Y238" s="47">
        <v>2201</v>
      </c>
      <c r="Z238" s="52" t="s">
        <v>410</v>
      </c>
      <c r="AA238" s="52" t="s">
        <v>247</v>
      </c>
      <c r="AB238" s="52">
        <v>3</v>
      </c>
      <c r="AC238" s="52" t="s">
        <v>247</v>
      </c>
      <c r="AD238" s="52" t="s">
        <v>1</v>
      </c>
      <c r="AE238" s="52" t="s">
        <v>372</v>
      </c>
      <c r="AF238" s="155" t="s">
        <v>247</v>
      </c>
      <c r="AG238" s="155" t="s">
        <v>247</v>
      </c>
    </row>
    <row r="239" spans="25:33">
      <c r="Y239" s="47">
        <v>2202</v>
      </c>
      <c r="Z239" s="52" t="s">
        <v>410</v>
      </c>
      <c r="AA239" s="52" t="s">
        <v>247</v>
      </c>
      <c r="AB239" s="52">
        <v>3</v>
      </c>
      <c r="AC239" s="52" t="s">
        <v>247</v>
      </c>
      <c r="AD239" s="52" t="s">
        <v>1</v>
      </c>
      <c r="AE239" s="52" t="s">
        <v>372</v>
      </c>
      <c r="AF239" s="155" t="s">
        <v>247</v>
      </c>
      <c r="AG239" s="155" t="s">
        <v>247</v>
      </c>
    </row>
    <row r="240" spans="25:33">
      <c r="Y240" s="47">
        <v>2203</v>
      </c>
      <c r="Z240" s="52" t="s">
        <v>410</v>
      </c>
      <c r="AA240" s="52">
        <v>5</v>
      </c>
      <c r="AB240" s="52">
        <v>3</v>
      </c>
      <c r="AC240" s="52" t="s">
        <v>247</v>
      </c>
      <c r="AD240" s="52" t="s">
        <v>1</v>
      </c>
      <c r="AE240" s="52" t="s">
        <v>372</v>
      </c>
      <c r="AF240" s="155" t="s">
        <v>247</v>
      </c>
      <c r="AG240" s="155" t="s">
        <v>247</v>
      </c>
    </row>
    <row r="241" spans="25:33">
      <c r="Y241" s="47">
        <v>2204</v>
      </c>
      <c r="Z241" s="52" t="s">
        <v>410</v>
      </c>
      <c r="AA241" s="52">
        <v>5</v>
      </c>
      <c r="AB241" s="52">
        <v>3</v>
      </c>
      <c r="AC241" s="52" t="s">
        <v>247</v>
      </c>
      <c r="AD241" s="52" t="s">
        <v>1</v>
      </c>
      <c r="AE241" s="52" t="s">
        <v>372</v>
      </c>
      <c r="AF241" s="155" t="s">
        <v>247</v>
      </c>
      <c r="AG241" s="155" t="s">
        <v>247</v>
      </c>
    </row>
    <row r="242" spans="25:33">
      <c r="Y242" s="47">
        <v>2205</v>
      </c>
      <c r="Z242" s="52" t="s">
        <v>410</v>
      </c>
      <c r="AA242" s="52">
        <v>5</v>
      </c>
      <c r="AB242" s="52">
        <v>3</v>
      </c>
      <c r="AC242" s="52" t="s">
        <v>247</v>
      </c>
      <c r="AD242" s="52" t="s">
        <v>1</v>
      </c>
      <c r="AE242" s="52" t="s">
        <v>372</v>
      </c>
      <c r="AF242" s="155" t="s">
        <v>247</v>
      </c>
      <c r="AG242" s="155" t="s">
        <v>247</v>
      </c>
    </row>
    <row r="243" spans="25:33">
      <c r="Y243" s="47">
        <v>2206</v>
      </c>
      <c r="Z243" s="52" t="s">
        <v>410</v>
      </c>
      <c r="AA243" s="52">
        <v>5</v>
      </c>
      <c r="AB243" s="52">
        <v>3</v>
      </c>
      <c r="AC243" s="52" t="s">
        <v>247</v>
      </c>
      <c r="AD243" s="52" t="s">
        <v>1</v>
      </c>
      <c r="AE243" s="52" t="s">
        <v>372</v>
      </c>
      <c r="AF243" s="155" t="s">
        <v>247</v>
      </c>
      <c r="AG243" s="155" t="s">
        <v>247</v>
      </c>
    </row>
    <row r="244" spans="25:33">
      <c r="Y244" s="47">
        <v>2207</v>
      </c>
      <c r="Z244" s="52" t="s">
        <v>410</v>
      </c>
      <c r="AA244" s="52">
        <v>5</v>
      </c>
      <c r="AB244" s="52">
        <v>3</v>
      </c>
      <c r="AC244" s="52" t="s">
        <v>247</v>
      </c>
      <c r="AD244" s="52" t="s">
        <v>1</v>
      </c>
      <c r="AE244" s="52" t="s">
        <v>372</v>
      </c>
      <c r="AF244" s="155" t="s">
        <v>247</v>
      </c>
      <c r="AG244" s="155" t="s">
        <v>247</v>
      </c>
    </row>
    <row r="245" spans="25:33">
      <c r="Y245" s="47">
        <v>2208</v>
      </c>
      <c r="Z245" s="52" t="s">
        <v>410</v>
      </c>
      <c r="AA245" s="52">
        <v>5</v>
      </c>
      <c r="AB245" s="52">
        <v>3</v>
      </c>
      <c r="AC245" s="52" t="s">
        <v>247</v>
      </c>
      <c r="AD245" s="52" t="s">
        <v>1</v>
      </c>
      <c r="AE245" s="52" t="s">
        <v>372</v>
      </c>
      <c r="AF245" s="155" t="s">
        <v>247</v>
      </c>
      <c r="AG245" s="155" t="s">
        <v>247</v>
      </c>
    </row>
    <row r="246" spans="25:33">
      <c r="Y246" s="47">
        <v>2209</v>
      </c>
      <c r="Z246" s="52" t="s">
        <v>410</v>
      </c>
      <c r="AA246" s="52">
        <v>5</v>
      </c>
      <c r="AB246" s="52">
        <v>3</v>
      </c>
      <c r="AC246" s="52" t="s">
        <v>247</v>
      </c>
      <c r="AD246" s="52" t="s">
        <v>1</v>
      </c>
      <c r="AE246" s="52" t="s">
        <v>372</v>
      </c>
      <c r="AF246" s="155" t="s">
        <v>247</v>
      </c>
      <c r="AG246" s="155" t="s">
        <v>247</v>
      </c>
    </row>
    <row r="247" spans="25:33">
      <c r="Y247" s="47">
        <v>2210</v>
      </c>
      <c r="Z247" s="52" t="s">
        <v>410</v>
      </c>
      <c r="AA247" s="52">
        <v>5</v>
      </c>
      <c r="AB247" s="52">
        <v>3</v>
      </c>
      <c r="AC247" s="52" t="s">
        <v>247</v>
      </c>
      <c r="AD247" s="52" t="s">
        <v>1</v>
      </c>
      <c r="AE247" s="52" t="s">
        <v>372</v>
      </c>
      <c r="AF247" s="155" t="s">
        <v>247</v>
      </c>
      <c r="AG247" s="155" t="s">
        <v>247</v>
      </c>
    </row>
    <row r="248" spans="25:33">
      <c r="Y248" s="47">
        <v>2211</v>
      </c>
      <c r="Z248" s="52" t="s">
        <v>410</v>
      </c>
      <c r="AA248" s="52">
        <v>5</v>
      </c>
      <c r="AB248" s="52">
        <v>3</v>
      </c>
      <c r="AC248" s="52" t="s">
        <v>247</v>
      </c>
      <c r="AD248" s="52" t="s">
        <v>1</v>
      </c>
      <c r="AE248" s="52" t="s">
        <v>372</v>
      </c>
      <c r="AF248" s="155" t="s">
        <v>247</v>
      </c>
      <c r="AG248" s="155" t="s">
        <v>247</v>
      </c>
    </row>
    <row r="249" spans="25:33">
      <c r="Y249" s="47">
        <v>2212</v>
      </c>
      <c r="Z249" s="52" t="s">
        <v>410</v>
      </c>
      <c r="AA249" s="52">
        <v>5</v>
      </c>
      <c r="AB249" s="52">
        <v>3</v>
      </c>
      <c r="AC249" s="52" t="s">
        <v>247</v>
      </c>
      <c r="AD249" s="52" t="s">
        <v>1</v>
      </c>
      <c r="AE249" s="52" t="s">
        <v>372</v>
      </c>
      <c r="AF249" s="155" t="s">
        <v>247</v>
      </c>
      <c r="AG249" s="155" t="s">
        <v>247</v>
      </c>
    </row>
    <row r="250" spans="25:33">
      <c r="Y250" s="47">
        <v>2213</v>
      </c>
      <c r="Z250" s="52" t="s">
        <v>410</v>
      </c>
      <c r="AA250" s="52">
        <v>5</v>
      </c>
      <c r="AB250" s="52">
        <v>3</v>
      </c>
      <c r="AC250" s="52" t="s">
        <v>247</v>
      </c>
      <c r="AD250" s="52" t="s">
        <v>1</v>
      </c>
      <c r="AE250" s="52" t="s">
        <v>372</v>
      </c>
      <c r="AF250" s="155" t="s">
        <v>247</v>
      </c>
      <c r="AG250" s="155" t="s">
        <v>247</v>
      </c>
    </row>
    <row r="251" spans="25:33">
      <c r="Y251" s="47">
        <v>2214</v>
      </c>
      <c r="Z251" s="52" t="s">
        <v>410</v>
      </c>
      <c r="AA251" s="52">
        <v>5</v>
      </c>
      <c r="AB251" s="52">
        <v>3</v>
      </c>
      <c r="AC251" s="52" t="s">
        <v>247</v>
      </c>
      <c r="AD251" s="52" t="s">
        <v>1</v>
      </c>
      <c r="AE251" s="52" t="s">
        <v>372</v>
      </c>
      <c r="AF251" s="155" t="s">
        <v>247</v>
      </c>
      <c r="AG251" s="155" t="s">
        <v>247</v>
      </c>
    </row>
    <row r="252" spans="25:33">
      <c r="Y252" s="47">
        <v>2215</v>
      </c>
      <c r="Z252" s="52" t="s">
        <v>410</v>
      </c>
      <c r="AA252" s="52" t="s">
        <v>247</v>
      </c>
      <c r="AB252" s="52">
        <v>3</v>
      </c>
      <c r="AC252" s="52" t="s">
        <v>247</v>
      </c>
      <c r="AD252" s="52" t="s">
        <v>1</v>
      </c>
      <c r="AE252" s="52" t="s">
        <v>372</v>
      </c>
      <c r="AF252" s="155" t="s">
        <v>247</v>
      </c>
      <c r="AG252" s="155" t="s">
        <v>247</v>
      </c>
    </row>
    <row r="253" spans="25:33">
      <c r="Y253" s="47">
        <v>2216</v>
      </c>
      <c r="Z253" s="52" t="s">
        <v>410</v>
      </c>
      <c r="AA253" s="52">
        <v>5</v>
      </c>
      <c r="AB253" s="52">
        <v>3</v>
      </c>
      <c r="AC253" s="52" t="s">
        <v>247</v>
      </c>
      <c r="AD253" s="52" t="s">
        <v>1</v>
      </c>
      <c r="AE253" s="52" t="s">
        <v>372</v>
      </c>
      <c r="AF253" s="155" t="s">
        <v>247</v>
      </c>
      <c r="AG253" s="155" t="s">
        <v>247</v>
      </c>
    </row>
    <row r="254" spans="25:33">
      <c r="Y254" s="47">
        <v>2217</v>
      </c>
      <c r="Z254" s="52" t="s">
        <v>410</v>
      </c>
      <c r="AA254" s="52">
        <v>5</v>
      </c>
      <c r="AB254" s="52">
        <v>3</v>
      </c>
      <c r="AC254" s="52" t="s">
        <v>247</v>
      </c>
      <c r="AD254" s="52" t="s">
        <v>1</v>
      </c>
      <c r="AE254" s="52" t="s">
        <v>372</v>
      </c>
      <c r="AF254" s="155" t="s">
        <v>247</v>
      </c>
      <c r="AG254" s="155" t="s">
        <v>247</v>
      </c>
    </row>
    <row r="255" spans="25:33">
      <c r="Y255" s="47">
        <v>2218</v>
      </c>
      <c r="Z255" s="52" t="s">
        <v>410</v>
      </c>
      <c r="AA255" s="52">
        <v>5</v>
      </c>
      <c r="AB255" s="52">
        <v>3</v>
      </c>
      <c r="AC255" s="52" t="s">
        <v>247</v>
      </c>
      <c r="AD255" s="52" t="s">
        <v>1</v>
      </c>
      <c r="AE255" s="52" t="s">
        <v>372</v>
      </c>
      <c r="AF255" s="155" t="s">
        <v>247</v>
      </c>
      <c r="AG255" s="155" t="s">
        <v>247</v>
      </c>
    </row>
    <row r="256" spans="25:33">
      <c r="Y256" s="47">
        <v>2219</v>
      </c>
      <c r="Z256" s="52" t="s">
        <v>410</v>
      </c>
      <c r="AA256" s="52">
        <v>5</v>
      </c>
      <c r="AB256" s="52">
        <v>3</v>
      </c>
      <c r="AC256" s="52" t="s">
        <v>247</v>
      </c>
      <c r="AD256" s="52" t="s">
        <v>1</v>
      </c>
      <c r="AE256" s="52" t="s">
        <v>372</v>
      </c>
      <c r="AF256" s="155" t="s">
        <v>247</v>
      </c>
      <c r="AG256" s="155" t="s">
        <v>247</v>
      </c>
    </row>
    <row r="257" spans="25:33">
      <c r="Y257" s="47">
        <v>2220</v>
      </c>
      <c r="Z257" s="52" t="s">
        <v>410</v>
      </c>
      <c r="AA257" s="52">
        <v>5</v>
      </c>
      <c r="AB257" s="52">
        <v>3</v>
      </c>
      <c r="AC257" s="52" t="s">
        <v>247</v>
      </c>
      <c r="AD257" s="52" t="s">
        <v>1</v>
      </c>
      <c r="AE257" s="52" t="s">
        <v>372</v>
      </c>
      <c r="AF257" s="155" t="s">
        <v>247</v>
      </c>
      <c r="AG257" s="155" t="s">
        <v>247</v>
      </c>
    </row>
    <row r="258" spans="25:33">
      <c r="Y258" s="47">
        <v>2221</v>
      </c>
      <c r="Z258" s="52" t="s">
        <v>410</v>
      </c>
      <c r="AA258" s="52">
        <v>5</v>
      </c>
      <c r="AB258" s="52">
        <v>3</v>
      </c>
      <c r="AC258" s="52" t="s">
        <v>247</v>
      </c>
      <c r="AD258" s="52" t="s">
        <v>1</v>
      </c>
      <c r="AE258" s="52" t="s">
        <v>372</v>
      </c>
      <c r="AF258" s="155" t="s">
        <v>247</v>
      </c>
      <c r="AG258" s="155" t="s">
        <v>247</v>
      </c>
    </row>
    <row r="259" spans="25:33">
      <c r="Y259" s="47">
        <v>2222</v>
      </c>
      <c r="Z259" s="52" t="s">
        <v>410</v>
      </c>
      <c r="AA259" s="52">
        <v>5</v>
      </c>
      <c r="AB259" s="52">
        <v>3</v>
      </c>
      <c r="AC259" s="52" t="s">
        <v>247</v>
      </c>
      <c r="AD259" s="52" t="s">
        <v>1</v>
      </c>
      <c r="AE259" s="52" t="s">
        <v>372</v>
      </c>
      <c r="AF259" s="155" t="s">
        <v>247</v>
      </c>
      <c r="AG259" s="155" t="s">
        <v>247</v>
      </c>
    </row>
    <row r="260" spans="25:33">
      <c r="Y260" s="47">
        <v>2223</v>
      </c>
      <c r="Z260" s="52" t="s">
        <v>410</v>
      </c>
      <c r="AA260" s="52">
        <v>5</v>
      </c>
      <c r="AB260" s="52">
        <v>3</v>
      </c>
      <c r="AC260" s="52" t="s">
        <v>247</v>
      </c>
      <c r="AD260" s="52" t="s">
        <v>1</v>
      </c>
      <c r="AE260" s="52" t="s">
        <v>372</v>
      </c>
      <c r="AF260" s="155" t="s">
        <v>247</v>
      </c>
      <c r="AG260" s="155" t="s">
        <v>247</v>
      </c>
    </row>
    <row r="261" spans="25:33">
      <c r="Y261" s="47">
        <v>2224</v>
      </c>
      <c r="Z261" s="52" t="s">
        <v>410</v>
      </c>
      <c r="AA261" s="52">
        <v>5</v>
      </c>
      <c r="AB261" s="52">
        <v>3</v>
      </c>
      <c r="AC261" s="52" t="s">
        <v>247</v>
      </c>
      <c r="AD261" s="52" t="s">
        <v>1</v>
      </c>
      <c r="AE261" s="52" t="s">
        <v>372</v>
      </c>
      <c r="AF261" s="155" t="s">
        <v>247</v>
      </c>
      <c r="AG261" s="155" t="s">
        <v>247</v>
      </c>
    </row>
    <row r="262" spans="25:33">
      <c r="Y262" s="47">
        <v>2225</v>
      </c>
      <c r="Z262" s="52" t="s">
        <v>410</v>
      </c>
      <c r="AA262" s="52">
        <v>5</v>
      </c>
      <c r="AB262" s="52">
        <v>3</v>
      </c>
      <c r="AC262" s="52" t="s">
        <v>247</v>
      </c>
      <c r="AD262" s="52" t="s">
        <v>1</v>
      </c>
      <c r="AE262" s="52" t="s">
        <v>372</v>
      </c>
      <c r="AF262" s="155" t="s">
        <v>247</v>
      </c>
      <c r="AG262" s="155" t="s">
        <v>247</v>
      </c>
    </row>
    <row r="263" spans="25:33">
      <c r="Y263" s="47">
        <v>2226</v>
      </c>
      <c r="Z263" s="52" t="s">
        <v>410</v>
      </c>
      <c r="AA263" s="52">
        <v>5</v>
      </c>
      <c r="AB263" s="52">
        <v>3</v>
      </c>
      <c r="AC263" s="52" t="s">
        <v>247</v>
      </c>
      <c r="AD263" s="52" t="s">
        <v>1</v>
      </c>
      <c r="AE263" s="52" t="s">
        <v>372</v>
      </c>
      <c r="AF263" s="155" t="s">
        <v>247</v>
      </c>
      <c r="AG263" s="155" t="s">
        <v>247</v>
      </c>
    </row>
    <row r="264" spans="25:33">
      <c r="Y264" s="47">
        <v>2227</v>
      </c>
      <c r="Z264" s="52" t="s">
        <v>410</v>
      </c>
      <c r="AA264" s="52">
        <v>5</v>
      </c>
      <c r="AB264" s="52">
        <v>3</v>
      </c>
      <c r="AC264" s="52" t="s">
        <v>247</v>
      </c>
      <c r="AD264" s="52" t="s">
        <v>1</v>
      </c>
      <c r="AE264" s="52" t="s">
        <v>372</v>
      </c>
      <c r="AF264" s="155" t="s">
        <v>247</v>
      </c>
      <c r="AG264" s="155" t="s">
        <v>247</v>
      </c>
    </row>
    <row r="265" spans="25:33">
      <c r="Y265" s="47">
        <v>2228</v>
      </c>
      <c r="Z265" s="52" t="s">
        <v>410</v>
      </c>
      <c r="AA265" s="52">
        <v>5</v>
      </c>
      <c r="AB265" s="52">
        <v>3</v>
      </c>
      <c r="AC265" s="52" t="s">
        <v>247</v>
      </c>
      <c r="AD265" s="52" t="s">
        <v>1</v>
      </c>
      <c r="AE265" s="52" t="s">
        <v>372</v>
      </c>
      <c r="AF265" s="155" t="s">
        <v>247</v>
      </c>
      <c r="AG265" s="155" t="s">
        <v>247</v>
      </c>
    </row>
    <row r="266" spans="25:33">
      <c r="Y266" s="47">
        <v>2229</v>
      </c>
      <c r="Z266" s="52" t="s">
        <v>410</v>
      </c>
      <c r="AA266" s="52">
        <v>5</v>
      </c>
      <c r="AB266" s="52">
        <v>3</v>
      </c>
      <c r="AC266" s="52" t="s">
        <v>247</v>
      </c>
      <c r="AD266" s="52" t="s">
        <v>1</v>
      </c>
      <c r="AE266" s="52" t="s">
        <v>372</v>
      </c>
      <c r="AF266" s="155" t="s">
        <v>247</v>
      </c>
      <c r="AG266" s="155" t="s">
        <v>247</v>
      </c>
    </row>
    <row r="267" spans="25:33">
      <c r="Y267" s="47">
        <v>2230</v>
      </c>
      <c r="Z267" s="52" t="s">
        <v>410</v>
      </c>
      <c r="AA267" s="52">
        <v>5</v>
      </c>
      <c r="AB267" s="52">
        <v>3</v>
      </c>
      <c r="AC267" s="52" t="s">
        <v>247</v>
      </c>
      <c r="AD267" s="52" t="s">
        <v>1</v>
      </c>
      <c r="AE267" s="52" t="s">
        <v>372</v>
      </c>
      <c r="AF267" s="155" t="s">
        <v>247</v>
      </c>
      <c r="AG267" s="155" t="s">
        <v>247</v>
      </c>
    </row>
    <row r="268" spans="25:33">
      <c r="Y268" s="47">
        <v>2231</v>
      </c>
      <c r="Z268" s="52" t="s">
        <v>410</v>
      </c>
      <c r="AA268" s="52">
        <v>5</v>
      </c>
      <c r="AB268" s="52">
        <v>3</v>
      </c>
      <c r="AC268" s="52" t="s">
        <v>247</v>
      </c>
      <c r="AD268" s="52" t="s">
        <v>1</v>
      </c>
      <c r="AE268" s="52" t="s">
        <v>372</v>
      </c>
      <c r="AF268" s="155" t="s">
        <v>247</v>
      </c>
      <c r="AG268" s="155" t="s">
        <v>247</v>
      </c>
    </row>
    <row r="269" spans="25:33">
      <c r="Y269" s="47">
        <v>2232</v>
      </c>
      <c r="Z269" s="52" t="s">
        <v>410</v>
      </c>
      <c r="AA269" s="52">
        <v>5</v>
      </c>
      <c r="AB269" s="52">
        <v>3</v>
      </c>
      <c r="AC269" s="52" t="s">
        <v>247</v>
      </c>
      <c r="AD269" s="52" t="s">
        <v>1</v>
      </c>
      <c r="AE269" s="52" t="s">
        <v>372</v>
      </c>
      <c r="AF269" s="155" t="s">
        <v>247</v>
      </c>
      <c r="AG269" s="155" t="s">
        <v>247</v>
      </c>
    </row>
    <row r="270" spans="25:33">
      <c r="Y270" s="47">
        <v>2233</v>
      </c>
      <c r="Z270" s="52" t="s">
        <v>410</v>
      </c>
      <c r="AA270" s="52">
        <v>5</v>
      </c>
      <c r="AB270" s="52">
        <v>3</v>
      </c>
      <c r="AC270" s="52" t="s">
        <v>247</v>
      </c>
      <c r="AD270" s="52" t="s">
        <v>1</v>
      </c>
      <c r="AE270" s="52" t="s">
        <v>372</v>
      </c>
      <c r="AF270" s="155" t="s">
        <v>247</v>
      </c>
      <c r="AG270" s="155" t="s">
        <v>247</v>
      </c>
    </row>
    <row r="271" spans="25:33">
      <c r="Y271" s="47">
        <v>2234</v>
      </c>
      <c r="Z271" s="52" t="s">
        <v>410</v>
      </c>
      <c r="AA271" s="52">
        <v>5</v>
      </c>
      <c r="AB271" s="52">
        <v>3</v>
      </c>
      <c r="AC271" s="52" t="s">
        <v>247</v>
      </c>
      <c r="AD271" s="52" t="s">
        <v>1</v>
      </c>
      <c r="AE271" s="52" t="s">
        <v>372</v>
      </c>
      <c r="AF271" s="155" t="s">
        <v>247</v>
      </c>
      <c r="AG271" s="155" t="s">
        <v>247</v>
      </c>
    </row>
    <row r="272" spans="25:33">
      <c r="Y272" s="47">
        <v>2235</v>
      </c>
      <c r="Z272" s="52" t="s">
        <v>410</v>
      </c>
      <c r="AA272" s="52" t="s">
        <v>247</v>
      </c>
      <c r="AB272" s="52">
        <v>3</v>
      </c>
      <c r="AC272" s="52" t="s">
        <v>247</v>
      </c>
      <c r="AD272" s="52" t="s">
        <v>1</v>
      </c>
      <c r="AE272" s="52" t="s">
        <v>372</v>
      </c>
      <c r="AF272" s="155" t="s">
        <v>247</v>
      </c>
      <c r="AG272" s="155" t="s">
        <v>247</v>
      </c>
    </row>
    <row r="273" spans="25:33">
      <c r="Y273" s="47">
        <v>2236</v>
      </c>
      <c r="Z273" s="52" t="s">
        <v>410</v>
      </c>
      <c r="AA273" s="52" t="s">
        <v>247</v>
      </c>
      <c r="AB273" s="52">
        <v>3</v>
      </c>
      <c r="AC273" s="52" t="s">
        <v>247</v>
      </c>
      <c r="AD273" s="52" t="s">
        <v>1</v>
      </c>
      <c r="AE273" s="52" t="s">
        <v>372</v>
      </c>
      <c r="AF273" s="155" t="s">
        <v>247</v>
      </c>
      <c r="AG273" s="155" t="s">
        <v>247</v>
      </c>
    </row>
    <row r="274" spans="25:33">
      <c r="Y274" s="47">
        <v>2237</v>
      </c>
      <c r="Z274" s="52" t="s">
        <v>410</v>
      </c>
      <c r="AA274" s="52" t="s">
        <v>247</v>
      </c>
      <c r="AB274" s="52">
        <v>3</v>
      </c>
      <c r="AC274" s="52" t="s">
        <v>247</v>
      </c>
      <c r="AD274" s="52" t="s">
        <v>1</v>
      </c>
      <c r="AE274" s="52" t="s">
        <v>372</v>
      </c>
      <c r="AF274" s="155" t="s">
        <v>247</v>
      </c>
      <c r="AG274" s="155" t="s">
        <v>247</v>
      </c>
    </row>
    <row r="275" spans="25:33">
      <c r="Y275" s="47">
        <v>2238</v>
      </c>
      <c r="Z275" s="52" t="s">
        <v>410</v>
      </c>
      <c r="AA275" s="52" t="s">
        <v>247</v>
      </c>
      <c r="AB275" s="52">
        <v>3</v>
      </c>
      <c r="AC275" s="52" t="s">
        <v>247</v>
      </c>
      <c r="AD275" s="52" t="s">
        <v>1</v>
      </c>
      <c r="AE275" s="52" t="s">
        <v>372</v>
      </c>
      <c r="AF275" s="155" t="s">
        <v>247</v>
      </c>
      <c r="AG275" s="155" t="s">
        <v>247</v>
      </c>
    </row>
    <row r="276" spans="25:33">
      <c r="Y276" s="47">
        <v>2239</v>
      </c>
      <c r="Z276" s="52" t="s">
        <v>410</v>
      </c>
      <c r="AA276" s="52" t="s">
        <v>247</v>
      </c>
      <c r="AB276" s="52">
        <v>3</v>
      </c>
      <c r="AC276" s="52" t="s">
        <v>247</v>
      </c>
      <c r="AD276" s="52" t="s">
        <v>1</v>
      </c>
      <c r="AE276" s="52" t="s">
        <v>372</v>
      </c>
      <c r="AF276" s="155" t="s">
        <v>247</v>
      </c>
      <c r="AG276" s="155" t="s">
        <v>247</v>
      </c>
    </row>
    <row r="277" spans="25:33">
      <c r="Y277" s="47">
        <v>2240</v>
      </c>
      <c r="Z277" s="52" t="s">
        <v>410</v>
      </c>
      <c r="AA277" s="52" t="s">
        <v>247</v>
      </c>
      <c r="AB277" s="52">
        <v>3</v>
      </c>
      <c r="AC277" s="52" t="s">
        <v>247</v>
      </c>
      <c r="AD277" s="52" t="s">
        <v>1</v>
      </c>
      <c r="AE277" s="52" t="s">
        <v>372</v>
      </c>
      <c r="AF277" s="155" t="s">
        <v>247</v>
      </c>
      <c r="AG277" s="155" t="s">
        <v>247</v>
      </c>
    </row>
    <row r="278" spans="25:33">
      <c r="Y278" s="47">
        <v>2241</v>
      </c>
      <c r="Z278" s="52" t="s">
        <v>410</v>
      </c>
      <c r="AA278" s="52" t="s">
        <v>247</v>
      </c>
      <c r="AB278" s="52">
        <v>3</v>
      </c>
      <c r="AC278" s="52" t="s">
        <v>247</v>
      </c>
      <c r="AD278" s="52" t="s">
        <v>1</v>
      </c>
      <c r="AE278" s="52" t="s">
        <v>372</v>
      </c>
      <c r="AF278" s="155" t="s">
        <v>247</v>
      </c>
      <c r="AG278" s="155" t="s">
        <v>247</v>
      </c>
    </row>
    <row r="279" spans="25:33">
      <c r="Y279" s="47">
        <v>2242</v>
      </c>
      <c r="Z279" s="52" t="s">
        <v>410</v>
      </c>
      <c r="AA279" s="52" t="s">
        <v>247</v>
      </c>
      <c r="AB279" s="52">
        <v>3</v>
      </c>
      <c r="AC279" s="52" t="s">
        <v>247</v>
      </c>
      <c r="AD279" s="52" t="s">
        <v>1</v>
      </c>
      <c r="AE279" s="52" t="s">
        <v>372</v>
      </c>
      <c r="AF279" s="155" t="s">
        <v>247</v>
      </c>
      <c r="AG279" s="155" t="s">
        <v>247</v>
      </c>
    </row>
    <row r="280" spans="25:33">
      <c r="Y280" s="47">
        <v>2243</v>
      </c>
      <c r="Z280" s="52" t="s">
        <v>410</v>
      </c>
      <c r="AA280" s="52" t="s">
        <v>247</v>
      </c>
      <c r="AB280" s="52">
        <v>3</v>
      </c>
      <c r="AC280" s="52" t="s">
        <v>247</v>
      </c>
      <c r="AD280" s="52" t="s">
        <v>1</v>
      </c>
      <c r="AE280" s="52" t="s">
        <v>372</v>
      </c>
      <c r="AF280" s="155" t="s">
        <v>247</v>
      </c>
      <c r="AG280" s="155" t="s">
        <v>247</v>
      </c>
    </row>
    <row r="281" spans="25:33">
      <c r="Y281" s="47">
        <v>2244</v>
      </c>
      <c r="Z281" s="52" t="s">
        <v>410</v>
      </c>
      <c r="AA281" s="52" t="s">
        <v>247</v>
      </c>
      <c r="AB281" s="52">
        <v>3</v>
      </c>
      <c r="AC281" s="52" t="s">
        <v>247</v>
      </c>
      <c r="AD281" s="52" t="s">
        <v>1</v>
      </c>
      <c r="AE281" s="52" t="s">
        <v>372</v>
      </c>
      <c r="AF281" s="155" t="s">
        <v>247</v>
      </c>
      <c r="AG281" s="155" t="s">
        <v>247</v>
      </c>
    </row>
    <row r="282" spans="25:33">
      <c r="Y282" s="47">
        <v>2245</v>
      </c>
      <c r="Z282" s="52" t="s">
        <v>410</v>
      </c>
      <c r="AA282" s="52" t="s">
        <v>247</v>
      </c>
      <c r="AB282" s="52">
        <v>3</v>
      </c>
      <c r="AC282" s="52" t="s">
        <v>247</v>
      </c>
      <c r="AD282" s="52" t="s">
        <v>1</v>
      </c>
      <c r="AE282" s="52" t="s">
        <v>372</v>
      </c>
      <c r="AF282" s="155" t="s">
        <v>247</v>
      </c>
      <c r="AG282" s="155" t="s">
        <v>247</v>
      </c>
    </row>
    <row r="283" spans="25:33">
      <c r="Y283" s="47">
        <v>2246</v>
      </c>
      <c r="Z283" s="52" t="s">
        <v>410</v>
      </c>
      <c r="AA283" s="52" t="s">
        <v>247</v>
      </c>
      <c r="AB283" s="52">
        <v>3</v>
      </c>
      <c r="AC283" s="52" t="s">
        <v>247</v>
      </c>
      <c r="AD283" s="52" t="s">
        <v>1</v>
      </c>
      <c r="AE283" s="52" t="s">
        <v>372</v>
      </c>
      <c r="AF283" s="155" t="s">
        <v>247</v>
      </c>
      <c r="AG283" s="155" t="s">
        <v>247</v>
      </c>
    </row>
    <row r="284" spans="25:33">
      <c r="Y284" s="47">
        <v>2247</v>
      </c>
      <c r="Z284" s="52" t="s">
        <v>410</v>
      </c>
      <c r="AA284" s="52" t="s">
        <v>247</v>
      </c>
      <c r="AB284" s="52">
        <v>3</v>
      </c>
      <c r="AC284" s="52" t="s">
        <v>247</v>
      </c>
      <c r="AD284" s="52" t="s">
        <v>1</v>
      </c>
      <c r="AE284" s="52" t="s">
        <v>372</v>
      </c>
      <c r="AF284" s="155" t="s">
        <v>247</v>
      </c>
      <c r="AG284" s="155" t="s">
        <v>247</v>
      </c>
    </row>
    <row r="285" spans="25:33">
      <c r="Y285" s="47">
        <v>2248</v>
      </c>
      <c r="Z285" s="52" t="s">
        <v>410</v>
      </c>
      <c r="AA285" s="52" t="s">
        <v>247</v>
      </c>
      <c r="AB285" s="52">
        <v>3</v>
      </c>
      <c r="AC285" s="52" t="s">
        <v>247</v>
      </c>
      <c r="AD285" s="52" t="s">
        <v>1</v>
      </c>
      <c r="AE285" s="52" t="s">
        <v>372</v>
      </c>
      <c r="AF285" s="155" t="s">
        <v>247</v>
      </c>
      <c r="AG285" s="155" t="s">
        <v>247</v>
      </c>
    </row>
    <row r="286" spans="25:33">
      <c r="Y286" s="47">
        <v>2249</v>
      </c>
      <c r="Z286" s="52" t="s">
        <v>410</v>
      </c>
      <c r="AA286" s="52" t="s">
        <v>247</v>
      </c>
      <c r="AB286" s="52">
        <v>3</v>
      </c>
      <c r="AC286" s="52" t="s">
        <v>247</v>
      </c>
      <c r="AD286" s="52" t="s">
        <v>1</v>
      </c>
      <c r="AE286" s="52" t="s">
        <v>372</v>
      </c>
      <c r="AF286" s="155" t="s">
        <v>247</v>
      </c>
      <c r="AG286" s="155" t="s">
        <v>247</v>
      </c>
    </row>
    <row r="287" spans="25:33">
      <c r="Y287" s="47">
        <v>2250</v>
      </c>
      <c r="Z287" s="52" t="s">
        <v>410</v>
      </c>
      <c r="AA287" s="52">
        <v>5</v>
      </c>
      <c r="AB287" s="52">
        <v>3</v>
      </c>
      <c r="AC287" s="52" t="s">
        <v>247</v>
      </c>
      <c r="AD287" s="52" t="s">
        <v>1</v>
      </c>
      <c r="AE287" s="52" t="s">
        <v>372</v>
      </c>
      <c r="AF287" s="155" t="s">
        <v>247</v>
      </c>
      <c r="AG287" s="155" t="s">
        <v>247</v>
      </c>
    </row>
    <row r="288" spans="25:33">
      <c r="Y288" s="47">
        <v>2251</v>
      </c>
      <c r="Z288" s="52" t="s">
        <v>410</v>
      </c>
      <c r="AA288" s="52">
        <v>5</v>
      </c>
      <c r="AB288" s="52">
        <v>3</v>
      </c>
      <c r="AC288" s="52" t="s">
        <v>247</v>
      </c>
      <c r="AD288" s="52" t="s">
        <v>1</v>
      </c>
      <c r="AE288" s="52" t="s">
        <v>372</v>
      </c>
      <c r="AF288" s="155" t="s">
        <v>247</v>
      </c>
      <c r="AG288" s="155" t="s">
        <v>247</v>
      </c>
    </row>
    <row r="289" spans="25:33">
      <c r="Y289" s="47">
        <v>2252</v>
      </c>
      <c r="Z289" s="52" t="s">
        <v>410</v>
      </c>
      <c r="AA289" s="52" t="s">
        <v>247</v>
      </c>
      <c r="AB289" s="52">
        <v>3</v>
      </c>
      <c r="AC289" s="52" t="s">
        <v>247</v>
      </c>
      <c r="AD289" s="52" t="s">
        <v>1</v>
      </c>
      <c r="AE289" s="52" t="s">
        <v>372</v>
      </c>
      <c r="AF289" s="155" t="s">
        <v>247</v>
      </c>
      <c r="AG289" s="155" t="s">
        <v>247</v>
      </c>
    </row>
    <row r="290" spans="25:33">
      <c r="Y290" s="47">
        <v>2253</v>
      </c>
      <c r="Z290" s="52" t="s">
        <v>410</v>
      </c>
      <c r="AA290" s="52" t="s">
        <v>247</v>
      </c>
      <c r="AB290" s="52">
        <v>3</v>
      </c>
      <c r="AC290" s="52" t="s">
        <v>247</v>
      </c>
      <c r="AD290" s="52" t="s">
        <v>1</v>
      </c>
      <c r="AE290" s="52" t="s">
        <v>372</v>
      </c>
      <c r="AF290" s="155" t="s">
        <v>247</v>
      </c>
      <c r="AG290" s="155" t="s">
        <v>247</v>
      </c>
    </row>
    <row r="291" spans="25:33">
      <c r="Y291" s="47">
        <v>2254</v>
      </c>
      <c r="Z291" s="52" t="s">
        <v>410</v>
      </c>
      <c r="AA291" s="52" t="s">
        <v>247</v>
      </c>
      <c r="AB291" s="52">
        <v>3</v>
      </c>
      <c r="AC291" s="52" t="s">
        <v>247</v>
      </c>
      <c r="AD291" s="52" t="s">
        <v>1</v>
      </c>
      <c r="AE291" s="52" t="s">
        <v>372</v>
      </c>
      <c r="AF291" s="155" t="s">
        <v>247</v>
      </c>
      <c r="AG291" s="155" t="s">
        <v>247</v>
      </c>
    </row>
    <row r="292" spans="25:33">
      <c r="Y292" s="47">
        <v>2255</v>
      </c>
      <c r="Z292" s="52" t="s">
        <v>410</v>
      </c>
      <c r="AA292" s="52" t="s">
        <v>247</v>
      </c>
      <c r="AB292" s="52">
        <v>3</v>
      </c>
      <c r="AC292" s="52" t="s">
        <v>247</v>
      </c>
      <c r="AD292" s="52" t="s">
        <v>1</v>
      </c>
      <c r="AE292" s="52" t="s">
        <v>372</v>
      </c>
      <c r="AF292" s="155" t="s">
        <v>247</v>
      </c>
      <c r="AG292" s="155" t="s">
        <v>247</v>
      </c>
    </row>
    <row r="293" spans="25:33">
      <c r="Y293" s="47">
        <v>2256</v>
      </c>
      <c r="Z293" s="52" t="s">
        <v>410</v>
      </c>
      <c r="AA293" s="52">
        <v>5</v>
      </c>
      <c r="AB293" s="52">
        <v>3</v>
      </c>
      <c r="AC293" s="52" t="s">
        <v>247</v>
      </c>
      <c r="AD293" s="52" t="s">
        <v>1</v>
      </c>
      <c r="AE293" s="52" t="s">
        <v>372</v>
      </c>
      <c r="AF293" s="155" t="s">
        <v>247</v>
      </c>
      <c r="AG293" s="155" t="s">
        <v>247</v>
      </c>
    </row>
    <row r="294" spans="25:33">
      <c r="Y294" s="47">
        <v>2257</v>
      </c>
      <c r="Z294" s="52" t="s">
        <v>410</v>
      </c>
      <c r="AA294" s="52">
        <v>5</v>
      </c>
      <c r="AB294" s="52">
        <v>3</v>
      </c>
      <c r="AC294" s="52" t="s">
        <v>247</v>
      </c>
      <c r="AD294" s="52" t="s">
        <v>1</v>
      </c>
      <c r="AE294" s="52" t="s">
        <v>372</v>
      </c>
      <c r="AF294" s="155" t="s">
        <v>247</v>
      </c>
      <c r="AG294" s="155" t="s">
        <v>247</v>
      </c>
    </row>
    <row r="295" spans="25:33">
      <c r="Y295" s="47">
        <v>2258</v>
      </c>
      <c r="Z295" s="52" t="s">
        <v>410</v>
      </c>
      <c r="AA295" s="52">
        <v>5</v>
      </c>
      <c r="AB295" s="52">
        <v>3</v>
      </c>
      <c r="AC295" s="52" t="s">
        <v>247</v>
      </c>
      <c r="AD295" s="52" t="s">
        <v>1</v>
      </c>
      <c r="AE295" s="52" t="s">
        <v>372</v>
      </c>
      <c r="AF295" s="155" t="s">
        <v>247</v>
      </c>
      <c r="AG295" s="155" t="s">
        <v>247</v>
      </c>
    </row>
    <row r="296" spans="25:33">
      <c r="Y296" s="47">
        <v>2259</v>
      </c>
      <c r="Z296" s="52" t="s">
        <v>410</v>
      </c>
      <c r="AA296" s="52">
        <v>5</v>
      </c>
      <c r="AB296" s="52">
        <v>3</v>
      </c>
      <c r="AC296" s="52" t="s">
        <v>247</v>
      </c>
      <c r="AD296" s="52" t="s">
        <v>1</v>
      </c>
      <c r="AE296" s="52" t="s">
        <v>372</v>
      </c>
      <c r="AF296" s="155" t="s">
        <v>247</v>
      </c>
      <c r="AG296" s="155" t="s">
        <v>247</v>
      </c>
    </row>
    <row r="297" spans="25:33">
      <c r="Y297" s="47">
        <v>2260</v>
      </c>
      <c r="Z297" s="52" t="s">
        <v>410</v>
      </c>
      <c r="AA297" s="52">
        <v>5</v>
      </c>
      <c r="AB297" s="52">
        <v>3</v>
      </c>
      <c r="AC297" s="52" t="s">
        <v>247</v>
      </c>
      <c r="AD297" s="52" t="s">
        <v>1</v>
      </c>
      <c r="AE297" s="52" t="s">
        <v>372</v>
      </c>
      <c r="AF297" s="155" t="s">
        <v>247</v>
      </c>
      <c r="AG297" s="155" t="s">
        <v>247</v>
      </c>
    </row>
    <row r="298" spans="25:33">
      <c r="Y298" s="47">
        <v>2261</v>
      </c>
      <c r="Z298" s="52" t="s">
        <v>410</v>
      </c>
      <c r="AA298" s="52">
        <v>5</v>
      </c>
      <c r="AB298" s="52">
        <v>3</v>
      </c>
      <c r="AC298" s="52" t="s">
        <v>247</v>
      </c>
      <c r="AD298" s="52" t="s">
        <v>1</v>
      </c>
      <c r="AE298" s="52" t="s">
        <v>372</v>
      </c>
      <c r="AF298" s="155" t="s">
        <v>247</v>
      </c>
      <c r="AG298" s="155" t="s">
        <v>247</v>
      </c>
    </row>
    <row r="299" spans="25:33">
      <c r="Y299" s="47">
        <v>2262</v>
      </c>
      <c r="Z299" s="52" t="s">
        <v>410</v>
      </c>
      <c r="AA299" s="52">
        <v>5</v>
      </c>
      <c r="AB299" s="52">
        <v>3</v>
      </c>
      <c r="AC299" s="52" t="s">
        <v>247</v>
      </c>
      <c r="AD299" s="52" t="s">
        <v>1</v>
      </c>
      <c r="AE299" s="52" t="s">
        <v>372</v>
      </c>
      <c r="AF299" s="155" t="s">
        <v>247</v>
      </c>
      <c r="AG299" s="155" t="s">
        <v>247</v>
      </c>
    </row>
    <row r="300" spans="25:33">
      <c r="Y300" s="47">
        <v>2263</v>
      </c>
      <c r="Z300" s="52" t="s">
        <v>410</v>
      </c>
      <c r="AA300" s="52">
        <v>5</v>
      </c>
      <c r="AB300" s="52">
        <v>3</v>
      </c>
      <c r="AC300" s="52" t="s">
        <v>247</v>
      </c>
      <c r="AD300" s="52" t="s">
        <v>1</v>
      </c>
      <c r="AE300" s="52" t="s">
        <v>372</v>
      </c>
      <c r="AF300" s="155" t="s">
        <v>247</v>
      </c>
      <c r="AG300" s="155" t="s">
        <v>247</v>
      </c>
    </row>
    <row r="301" spans="25:33">
      <c r="Y301" s="47">
        <v>2264</v>
      </c>
      <c r="Z301" s="52" t="s">
        <v>410</v>
      </c>
      <c r="AA301" s="52">
        <v>5</v>
      </c>
      <c r="AB301" s="52">
        <v>3</v>
      </c>
      <c r="AC301" s="52" t="s">
        <v>247</v>
      </c>
      <c r="AD301" s="52" t="s">
        <v>1</v>
      </c>
      <c r="AE301" s="52" t="s">
        <v>372</v>
      </c>
      <c r="AF301" s="155" t="s">
        <v>247</v>
      </c>
      <c r="AG301" s="155" t="s">
        <v>247</v>
      </c>
    </row>
    <row r="302" spans="25:33">
      <c r="Y302" s="47">
        <v>2265</v>
      </c>
      <c r="Z302" s="52" t="s">
        <v>410</v>
      </c>
      <c r="AA302" s="52">
        <v>5</v>
      </c>
      <c r="AB302" s="52">
        <v>3</v>
      </c>
      <c r="AC302" s="52" t="s">
        <v>247</v>
      </c>
      <c r="AD302" s="52" t="s">
        <v>1</v>
      </c>
      <c r="AE302" s="52" t="s">
        <v>372</v>
      </c>
      <c r="AF302" s="155" t="s">
        <v>247</v>
      </c>
      <c r="AG302" s="155" t="s">
        <v>247</v>
      </c>
    </row>
    <row r="303" spans="25:33">
      <c r="Y303" s="47">
        <v>2266</v>
      </c>
      <c r="Z303" s="52" t="s">
        <v>410</v>
      </c>
      <c r="AA303" s="52" t="s">
        <v>247</v>
      </c>
      <c r="AB303" s="52">
        <v>3</v>
      </c>
      <c r="AC303" s="52" t="s">
        <v>247</v>
      </c>
      <c r="AD303" s="52" t="s">
        <v>1</v>
      </c>
      <c r="AE303" s="52" t="s">
        <v>372</v>
      </c>
      <c r="AF303" s="155" t="s">
        <v>247</v>
      </c>
      <c r="AG303" s="155" t="s">
        <v>247</v>
      </c>
    </row>
    <row r="304" spans="25:33">
      <c r="Y304" s="47">
        <v>2267</v>
      </c>
      <c r="Z304" s="52" t="s">
        <v>410</v>
      </c>
      <c r="AA304" s="52">
        <v>5</v>
      </c>
      <c r="AB304" s="52">
        <v>3</v>
      </c>
      <c r="AC304" s="52" t="s">
        <v>247</v>
      </c>
      <c r="AD304" s="52" t="s">
        <v>1</v>
      </c>
      <c r="AE304" s="52" t="s">
        <v>372</v>
      </c>
      <c r="AF304" s="155" t="s">
        <v>247</v>
      </c>
      <c r="AG304" s="155" t="s">
        <v>247</v>
      </c>
    </row>
    <row r="305" spans="25:33">
      <c r="Y305" s="47">
        <v>2268</v>
      </c>
      <c r="Z305" s="52" t="s">
        <v>410</v>
      </c>
      <c r="AA305" s="52" t="s">
        <v>247</v>
      </c>
      <c r="AB305" s="52">
        <v>3</v>
      </c>
      <c r="AC305" s="52" t="s">
        <v>247</v>
      </c>
      <c r="AD305" s="52" t="s">
        <v>1</v>
      </c>
      <c r="AE305" s="52" t="s">
        <v>372</v>
      </c>
      <c r="AF305" s="155" t="s">
        <v>247</v>
      </c>
      <c r="AG305" s="155" t="s">
        <v>247</v>
      </c>
    </row>
    <row r="306" spans="25:33">
      <c r="Y306" s="47">
        <v>2269</v>
      </c>
      <c r="Z306" s="52" t="s">
        <v>410</v>
      </c>
      <c r="AA306" s="52" t="s">
        <v>247</v>
      </c>
      <c r="AB306" s="52">
        <v>3</v>
      </c>
      <c r="AC306" s="52" t="s">
        <v>247</v>
      </c>
      <c r="AD306" s="52" t="s">
        <v>1</v>
      </c>
      <c r="AE306" s="52" t="s">
        <v>372</v>
      </c>
      <c r="AF306" s="155" t="s">
        <v>247</v>
      </c>
      <c r="AG306" s="155" t="s">
        <v>247</v>
      </c>
    </row>
    <row r="307" spans="25:33">
      <c r="Y307" s="47">
        <v>2270</v>
      </c>
      <c r="Z307" s="52" t="s">
        <v>410</v>
      </c>
      <c r="AA307" s="52" t="s">
        <v>247</v>
      </c>
      <c r="AB307" s="52">
        <v>3</v>
      </c>
      <c r="AC307" s="52" t="s">
        <v>247</v>
      </c>
      <c r="AD307" s="52" t="s">
        <v>1</v>
      </c>
      <c r="AE307" s="52" t="s">
        <v>372</v>
      </c>
      <c r="AF307" s="155" t="s">
        <v>247</v>
      </c>
      <c r="AG307" s="155" t="s">
        <v>247</v>
      </c>
    </row>
    <row r="308" spans="25:33">
      <c r="Y308" s="47">
        <v>2271</v>
      </c>
      <c r="Z308" s="52" t="s">
        <v>410</v>
      </c>
      <c r="AA308" s="52" t="s">
        <v>247</v>
      </c>
      <c r="AB308" s="52">
        <v>3</v>
      </c>
      <c r="AC308" s="52" t="s">
        <v>247</v>
      </c>
      <c r="AD308" s="52" t="s">
        <v>1</v>
      </c>
      <c r="AE308" s="52" t="s">
        <v>372</v>
      </c>
      <c r="AF308" s="155" t="s">
        <v>247</v>
      </c>
      <c r="AG308" s="155" t="s">
        <v>247</v>
      </c>
    </row>
    <row r="309" spans="25:33">
      <c r="Y309" s="47">
        <v>2272</v>
      </c>
      <c r="Z309" s="52" t="s">
        <v>410</v>
      </c>
      <c r="AA309" s="52" t="s">
        <v>247</v>
      </c>
      <c r="AB309" s="52">
        <v>3</v>
      </c>
      <c r="AC309" s="52" t="s">
        <v>247</v>
      </c>
      <c r="AD309" s="52" t="s">
        <v>1</v>
      </c>
      <c r="AE309" s="52" t="s">
        <v>372</v>
      </c>
      <c r="AF309" s="155" t="s">
        <v>247</v>
      </c>
      <c r="AG309" s="155" t="s">
        <v>247</v>
      </c>
    </row>
    <row r="310" spans="25:33">
      <c r="Y310" s="47">
        <v>2273</v>
      </c>
      <c r="Z310" s="52" t="s">
        <v>410</v>
      </c>
      <c r="AA310" s="52" t="s">
        <v>247</v>
      </c>
      <c r="AB310" s="52">
        <v>3</v>
      </c>
      <c r="AC310" s="52" t="s">
        <v>247</v>
      </c>
      <c r="AD310" s="52" t="s">
        <v>1</v>
      </c>
      <c r="AE310" s="52" t="s">
        <v>372</v>
      </c>
      <c r="AF310" s="155" t="s">
        <v>247</v>
      </c>
      <c r="AG310" s="155" t="s">
        <v>247</v>
      </c>
    </row>
    <row r="311" spans="25:33">
      <c r="Y311" s="47">
        <v>2274</v>
      </c>
      <c r="Z311" s="52" t="s">
        <v>410</v>
      </c>
      <c r="AA311" s="52" t="s">
        <v>247</v>
      </c>
      <c r="AB311" s="52">
        <v>3</v>
      </c>
      <c r="AC311" s="52" t="s">
        <v>247</v>
      </c>
      <c r="AD311" s="52" t="s">
        <v>1</v>
      </c>
      <c r="AE311" s="52" t="s">
        <v>372</v>
      </c>
      <c r="AF311" s="155" t="s">
        <v>247</v>
      </c>
      <c r="AG311" s="155" t="s">
        <v>247</v>
      </c>
    </row>
    <row r="312" spans="25:33">
      <c r="Y312" s="47">
        <v>2275</v>
      </c>
      <c r="Z312" s="52" t="s">
        <v>410</v>
      </c>
      <c r="AA312" s="52" t="s">
        <v>247</v>
      </c>
      <c r="AB312" s="52">
        <v>3</v>
      </c>
      <c r="AC312" s="52" t="s">
        <v>247</v>
      </c>
      <c r="AD312" s="52" t="s">
        <v>1</v>
      </c>
      <c r="AE312" s="52" t="s">
        <v>372</v>
      </c>
      <c r="AF312" s="155" t="s">
        <v>247</v>
      </c>
      <c r="AG312" s="155" t="s">
        <v>247</v>
      </c>
    </row>
    <row r="313" spans="25:33">
      <c r="Y313" s="47">
        <v>2276</v>
      </c>
      <c r="Z313" s="52" t="s">
        <v>410</v>
      </c>
      <c r="AA313" s="52" t="s">
        <v>247</v>
      </c>
      <c r="AB313" s="52">
        <v>3</v>
      </c>
      <c r="AC313" s="52" t="s">
        <v>247</v>
      </c>
      <c r="AD313" s="52" t="s">
        <v>1</v>
      </c>
      <c r="AE313" s="52" t="s">
        <v>372</v>
      </c>
      <c r="AF313" s="155" t="s">
        <v>247</v>
      </c>
      <c r="AG313" s="155" t="s">
        <v>247</v>
      </c>
    </row>
    <row r="314" spans="25:33">
      <c r="Y314" s="47">
        <v>2277</v>
      </c>
      <c r="Z314" s="52" t="s">
        <v>410</v>
      </c>
      <c r="AA314" s="52" t="s">
        <v>247</v>
      </c>
      <c r="AB314" s="52">
        <v>3</v>
      </c>
      <c r="AC314" s="52" t="s">
        <v>247</v>
      </c>
      <c r="AD314" s="52" t="s">
        <v>1</v>
      </c>
      <c r="AE314" s="52" t="s">
        <v>372</v>
      </c>
      <c r="AF314" s="155" t="s">
        <v>247</v>
      </c>
      <c r="AG314" s="155" t="s">
        <v>247</v>
      </c>
    </row>
    <row r="315" spans="25:33">
      <c r="Y315" s="47">
        <v>2278</v>
      </c>
      <c r="Z315" s="52" t="s">
        <v>410</v>
      </c>
      <c r="AA315" s="52">
        <v>5</v>
      </c>
      <c r="AB315" s="52">
        <v>3</v>
      </c>
      <c r="AC315" s="52" t="s">
        <v>247</v>
      </c>
      <c r="AD315" s="52" t="s">
        <v>1</v>
      </c>
      <c r="AE315" s="52" t="s">
        <v>372</v>
      </c>
      <c r="AF315" s="155" t="s">
        <v>247</v>
      </c>
      <c r="AG315" s="155" t="s">
        <v>247</v>
      </c>
    </row>
    <row r="316" spans="25:33">
      <c r="Y316" s="47">
        <v>2279</v>
      </c>
      <c r="Z316" s="52" t="s">
        <v>410</v>
      </c>
      <c r="AA316" s="52" t="s">
        <v>247</v>
      </c>
      <c r="AB316" s="52">
        <v>3</v>
      </c>
      <c r="AC316" s="52" t="s">
        <v>247</v>
      </c>
      <c r="AD316" s="52" t="s">
        <v>1</v>
      </c>
      <c r="AE316" s="52" t="s">
        <v>372</v>
      </c>
      <c r="AF316" s="155" t="s">
        <v>247</v>
      </c>
      <c r="AG316" s="155" t="s">
        <v>247</v>
      </c>
    </row>
    <row r="317" spans="25:33">
      <c r="Y317" s="47">
        <v>2280</v>
      </c>
      <c r="Z317" s="52" t="s">
        <v>410</v>
      </c>
      <c r="AA317" s="52">
        <v>5</v>
      </c>
      <c r="AB317" s="52">
        <v>3</v>
      </c>
      <c r="AC317" s="52" t="s">
        <v>247</v>
      </c>
      <c r="AD317" s="52" t="s">
        <v>1</v>
      </c>
      <c r="AE317" s="52" t="s">
        <v>372</v>
      </c>
      <c r="AF317" s="155" t="s">
        <v>247</v>
      </c>
      <c r="AG317" s="155" t="s">
        <v>247</v>
      </c>
    </row>
    <row r="318" spans="25:33">
      <c r="Y318" s="47">
        <v>2281</v>
      </c>
      <c r="Z318" s="52" t="s">
        <v>410</v>
      </c>
      <c r="AA318" s="52">
        <v>5</v>
      </c>
      <c r="AB318" s="52">
        <v>3</v>
      </c>
      <c r="AC318" s="52" t="s">
        <v>247</v>
      </c>
      <c r="AD318" s="52" t="s">
        <v>1</v>
      </c>
      <c r="AE318" s="52" t="s">
        <v>372</v>
      </c>
      <c r="AF318" s="155" t="s">
        <v>247</v>
      </c>
      <c r="AG318" s="155" t="s">
        <v>247</v>
      </c>
    </row>
    <row r="319" spans="25:33">
      <c r="Y319" s="47">
        <v>2282</v>
      </c>
      <c r="Z319" s="52" t="s">
        <v>410</v>
      </c>
      <c r="AA319" s="52">
        <v>5</v>
      </c>
      <c r="AB319" s="52">
        <v>3</v>
      </c>
      <c r="AC319" s="52" t="s">
        <v>247</v>
      </c>
      <c r="AD319" s="52" t="s">
        <v>1</v>
      </c>
      <c r="AE319" s="52" t="s">
        <v>372</v>
      </c>
      <c r="AF319" s="155" t="s">
        <v>247</v>
      </c>
      <c r="AG319" s="155" t="s">
        <v>247</v>
      </c>
    </row>
    <row r="320" spans="25:33">
      <c r="Y320" s="47">
        <v>2283</v>
      </c>
      <c r="Z320" s="52" t="s">
        <v>410</v>
      </c>
      <c r="AA320" s="52">
        <v>5</v>
      </c>
      <c r="AB320" s="52">
        <v>3</v>
      </c>
      <c r="AC320" s="52" t="s">
        <v>247</v>
      </c>
      <c r="AD320" s="52" t="s">
        <v>1</v>
      </c>
      <c r="AE320" s="52" t="s">
        <v>372</v>
      </c>
      <c r="AF320" s="155" t="s">
        <v>247</v>
      </c>
      <c r="AG320" s="155" t="s">
        <v>247</v>
      </c>
    </row>
    <row r="321" spans="25:33">
      <c r="Y321" s="47">
        <v>2284</v>
      </c>
      <c r="Z321" s="52" t="s">
        <v>410</v>
      </c>
      <c r="AA321" s="52">
        <v>5</v>
      </c>
      <c r="AB321" s="52">
        <v>3</v>
      </c>
      <c r="AC321" s="52" t="s">
        <v>247</v>
      </c>
      <c r="AD321" s="52" t="s">
        <v>1</v>
      </c>
      <c r="AE321" s="52" t="s">
        <v>372</v>
      </c>
      <c r="AF321" s="155" t="s">
        <v>247</v>
      </c>
      <c r="AG321" s="155" t="s">
        <v>247</v>
      </c>
    </row>
    <row r="322" spans="25:33">
      <c r="Y322" s="47">
        <v>2285</v>
      </c>
      <c r="Z322" s="52" t="s">
        <v>410</v>
      </c>
      <c r="AA322" s="52">
        <v>5</v>
      </c>
      <c r="AB322" s="52">
        <v>3</v>
      </c>
      <c r="AC322" s="52" t="s">
        <v>247</v>
      </c>
      <c r="AD322" s="52" t="s">
        <v>1</v>
      </c>
      <c r="AE322" s="52" t="s">
        <v>372</v>
      </c>
      <c r="AF322" s="155" t="s">
        <v>247</v>
      </c>
      <c r="AG322" s="155" t="s">
        <v>247</v>
      </c>
    </row>
    <row r="323" spans="25:33">
      <c r="Y323" s="47">
        <v>2286</v>
      </c>
      <c r="Z323" s="52" t="s">
        <v>410</v>
      </c>
      <c r="AA323" s="52">
        <v>5</v>
      </c>
      <c r="AB323" s="52">
        <v>3</v>
      </c>
      <c r="AC323" s="52" t="s">
        <v>247</v>
      </c>
      <c r="AD323" s="52" t="s">
        <v>1</v>
      </c>
      <c r="AE323" s="52" t="s">
        <v>372</v>
      </c>
      <c r="AF323" s="155" t="s">
        <v>247</v>
      </c>
      <c r="AG323" s="155" t="s">
        <v>247</v>
      </c>
    </row>
    <row r="324" spans="25:33">
      <c r="Y324" s="47">
        <v>2287</v>
      </c>
      <c r="Z324" s="52" t="s">
        <v>410</v>
      </c>
      <c r="AA324" s="52">
        <v>5</v>
      </c>
      <c r="AB324" s="52">
        <v>3</v>
      </c>
      <c r="AC324" s="52" t="s">
        <v>247</v>
      </c>
      <c r="AD324" s="52" t="s">
        <v>1</v>
      </c>
      <c r="AE324" s="52" t="s">
        <v>372</v>
      </c>
      <c r="AF324" s="155" t="s">
        <v>247</v>
      </c>
      <c r="AG324" s="155" t="s">
        <v>247</v>
      </c>
    </row>
    <row r="325" spans="25:33">
      <c r="Y325" s="47">
        <v>2288</v>
      </c>
      <c r="Z325" s="52" t="s">
        <v>410</v>
      </c>
      <c r="AA325" s="52" t="s">
        <v>247</v>
      </c>
      <c r="AB325" s="52">
        <v>3</v>
      </c>
      <c r="AC325" s="52" t="s">
        <v>247</v>
      </c>
      <c r="AD325" s="52" t="s">
        <v>1</v>
      </c>
      <c r="AE325" s="52" t="s">
        <v>372</v>
      </c>
      <c r="AF325" s="155" t="s">
        <v>247</v>
      </c>
      <c r="AG325" s="155" t="s">
        <v>247</v>
      </c>
    </row>
    <row r="326" spans="25:33">
      <c r="Y326" s="47">
        <v>2289</v>
      </c>
      <c r="Z326" s="52" t="s">
        <v>410</v>
      </c>
      <c r="AA326" s="52">
        <v>5</v>
      </c>
      <c r="AB326" s="52">
        <v>3</v>
      </c>
      <c r="AC326" s="52" t="s">
        <v>247</v>
      </c>
      <c r="AD326" s="52" t="s">
        <v>1</v>
      </c>
      <c r="AE326" s="52" t="s">
        <v>372</v>
      </c>
      <c r="AF326" s="155" t="s">
        <v>247</v>
      </c>
      <c r="AG326" s="155" t="s">
        <v>247</v>
      </c>
    </row>
    <row r="327" spans="25:33">
      <c r="Y327" s="47">
        <v>2290</v>
      </c>
      <c r="Z327" s="52" t="s">
        <v>410</v>
      </c>
      <c r="AA327" s="52">
        <v>5</v>
      </c>
      <c r="AB327" s="52">
        <v>3</v>
      </c>
      <c r="AC327" s="52" t="s">
        <v>247</v>
      </c>
      <c r="AD327" s="52" t="s">
        <v>1</v>
      </c>
      <c r="AE327" s="52" t="s">
        <v>372</v>
      </c>
      <c r="AF327" s="155" t="s">
        <v>247</v>
      </c>
      <c r="AG327" s="155" t="s">
        <v>247</v>
      </c>
    </row>
    <row r="328" spans="25:33">
      <c r="Y328" s="47">
        <v>2291</v>
      </c>
      <c r="Z328" s="52" t="s">
        <v>410</v>
      </c>
      <c r="AA328" s="52">
        <v>5</v>
      </c>
      <c r="AB328" s="52">
        <v>3</v>
      </c>
      <c r="AC328" s="52" t="s">
        <v>247</v>
      </c>
      <c r="AD328" s="52" t="s">
        <v>1</v>
      </c>
      <c r="AE328" s="52" t="s">
        <v>372</v>
      </c>
      <c r="AF328" s="155" t="s">
        <v>247</v>
      </c>
      <c r="AG328" s="155" t="s">
        <v>247</v>
      </c>
    </row>
    <row r="329" spans="25:33">
      <c r="Y329" s="47">
        <v>2292</v>
      </c>
      <c r="Z329" s="52" t="s">
        <v>410</v>
      </c>
      <c r="AA329" s="52">
        <v>5</v>
      </c>
      <c r="AB329" s="52">
        <v>3</v>
      </c>
      <c r="AC329" s="52" t="s">
        <v>247</v>
      </c>
      <c r="AD329" s="52" t="s">
        <v>1</v>
      </c>
      <c r="AE329" s="52" t="s">
        <v>372</v>
      </c>
      <c r="AF329" s="155" t="s">
        <v>247</v>
      </c>
      <c r="AG329" s="155" t="s">
        <v>247</v>
      </c>
    </row>
    <row r="330" spans="25:33">
      <c r="Y330" s="47">
        <v>2293</v>
      </c>
      <c r="Z330" s="52" t="s">
        <v>410</v>
      </c>
      <c r="AA330" s="52">
        <v>5</v>
      </c>
      <c r="AB330" s="52">
        <v>3</v>
      </c>
      <c r="AC330" s="52" t="s">
        <v>247</v>
      </c>
      <c r="AD330" s="52" t="s">
        <v>1</v>
      </c>
      <c r="AE330" s="52" t="s">
        <v>372</v>
      </c>
      <c r="AF330" s="155" t="s">
        <v>247</v>
      </c>
      <c r="AG330" s="155" t="s">
        <v>247</v>
      </c>
    </row>
    <row r="331" spans="25:33">
      <c r="Y331" s="47">
        <v>2294</v>
      </c>
      <c r="Z331" s="52" t="s">
        <v>410</v>
      </c>
      <c r="AA331" s="52">
        <v>5</v>
      </c>
      <c r="AB331" s="52">
        <v>3</v>
      </c>
      <c r="AC331" s="52" t="s">
        <v>247</v>
      </c>
      <c r="AD331" s="52" t="s">
        <v>1</v>
      </c>
      <c r="AE331" s="52" t="s">
        <v>372</v>
      </c>
      <c r="AF331" s="155" t="s">
        <v>247</v>
      </c>
      <c r="AG331" s="155" t="s">
        <v>247</v>
      </c>
    </row>
    <row r="332" spans="25:33">
      <c r="Y332" s="47">
        <v>2295</v>
      </c>
      <c r="Z332" s="52" t="s">
        <v>410</v>
      </c>
      <c r="AA332" s="52">
        <v>5</v>
      </c>
      <c r="AB332" s="52">
        <v>3</v>
      </c>
      <c r="AC332" s="52" t="s">
        <v>247</v>
      </c>
      <c r="AD332" s="52" t="s">
        <v>1</v>
      </c>
      <c r="AE332" s="52" t="s">
        <v>372</v>
      </c>
      <c r="AF332" s="155" t="s">
        <v>247</v>
      </c>
      <c r="AG332" s="155" t="s">
        <v>247</v>
      </c>
    </row>
    <row r="333" spans="25:33">
      <c r="Y333" s="47">
        <v>2296</v>
      </c>
      <c r="Z333" s="52" t="s">
        <v>410</v>
      </c>
      <c r="AA333" s="52">
        <v>5</v>
      </c>
      <c r="AB333" s="52">
        <v>3</v>
      </c>
      <c r="AC333" s="52" t="s">
        <v>247</v>
      </c>
      <c r="AD333" s="52" t="s">
        <v>1</v>
      </c>
      <c r="AE333" s="52" t="s">
        <v>372</v>
      </c>
      <c r="AF333" s="155" t="s">
        <v>247</v>
      </c>
      <c r="AG333" s="155" t="s">
        <v>247</v>
      </c>
    </row>
    <row r="334" spans="25:33">
      <c r="Y334" s="47">
        <v>2297</v>
      </c>
      <c r="Z334" s="52" t="s">
        <v>410</v>
      </c>
      <c r="AA334" s="52">
        <v>5</v>
      </c>
      <c r="AB334" s="52">
        <v>3</v>
      </c>
      <c r="AC334" s="52" t="s">
        <v>247</v>
      </c>
      <c r="AD334" s="52" t="s">
        <v>1</v>
      </c>
      <c r="AE334" s="52" t="s">
        <v>372</v>
      </c>
      <c r="AF334" s="155" t="s">
        <v>247</v>
      </c>
      <c r="AG334" s="155" t="s">
        <v>247</v>
      </c>
    </row>
    <row r="335" spans="25:33">
      <c r="Y335" s="47">
        <v>2298</v>
      </c>
      <c r="Z335" s="52" t="s">
        <v>410</v>
      </c>
      <c r="AA335" s="52">
        <v>5</v>
      </c>
      <c r="AB335" s="52">
        <v>3</v>
      </c>
      <c r="AC335" s="52" t="s">
        <v>247</v>
      </c>
      <c r="AD335" s="52" t="s">
        <v>1</v>
      </c>
      <c r="AE335" s="52" t="s">
        <v>372</v>
      </c>
      <c r="AF335" s="155" t="s">
        <v>247</v>
      </c>
      <c r="AG335" s="155" t="s">
        <v>247</v>
      </c>
    </row>
    <row r="336" spans="25:33">
      <c r="Y336" s="47">
        <v>2299</v>
      </c>
      <c r="Z336" s="52" t="s">
        <v>410</v>
      </c>
      <c r="AA336" s="52">
        <v>5</v>
      </c>
      <c r="AB336" s="52">
        <v>3</v>
      </c>
      <c r="AC336" s="52" t="s">
        <v>247</v>
      </c>
      <c r="AD336" s="52" t="s">
        <v>1</v>
      </c>
      <c r="AE336" s="52" t="s">
        <v>372</v>
      </c>
      <c r="AF336" s="155" t="s">
        <v>247</v>
      </c>
      <c r="AG336" s="155" t="s">
        <v>247</v>
      </c>
    </row>
    <row r="337" spans="25:33">
      <c r="Y337" s="47">
        <v>2300</v>
      </c>
      <c r="Z337" s="52" t="s">
        <v>410</v>
      </c>
      <c r="AA337" s="52">
        <v>5</v>
      </c>
      <c r="AB337" s="52">
        <v>3</v>
      </c>
      <c r="AC337" s="52" t="s">
        <v>247</v>
      </c>
      <c r="AD337" s="52" t="s">
        <v>1</v>
      </c>
      <c r="AE337" s="52" t="s">
        <v>372</v>
      </c>
      <c r="AF337" s="155" t="s">
        <v>247</v>
      </c>
      <c r="AG337" s="155" t="s">
        <v>247</v>
      </c>
    </row>
    <row r="338" spans="25:33">
      <c r="Y338" s="47">
        <v>2301</v>
      </c>
      <c r="Z338" s="52" t="s">
        <v>410</v>
      </c>
      <c r="AA338" s="52" t="s">
        <v>247</v>
      </c>
      <c r="AB338" s="52">
        <v>3</v>
      </c>
      <c r="AC338" s="52" t="s">
        <v>247</v>
      </c>
      <c r="AD338" s="52" t="s">
        <v>1</v>
      </c>
      <c r="AE338" s="52" t="s">
        <v>372</v>
      </c>
      <c r="AF338" s="155" t="s">
        <v>247</v>
      </c>
      <c r="AG338" s="155" t="s">
        <v>247</v>
      </c>
    </row>
    <row r="339" spans="25:33">
      <c r="Y339" s="47">
        <v>2302</v>
      </c>
      <c r="Z339" s="52" t="s">
        <v>410</v>
      </c>
      <c r="AA339" s="52">
        <v>5</v>
      </c>
      <c r="AB339" s="52">
        <v>3</v>
      </c>
      <c r="AC339" s="52" t="s">
        <v>247</v>
      </c>
      <c r="AD339" s="52" t="s">
        <v>1</v>
      </c>
      <c r="AE339" s="52" t="s">
        <v>372</v>
      </c>
      <c r="AF339" s="155" t="s">
        <v>247</v>
      </c>
      <c r="AG339" s="155" t="s">
        <v>247</v>
      </c>
    </row>
    <row r="340" spans="25:33">
      <c r="Y340" s="47">
        <v>2303</v>
      </c>
      <c r="Z340" s="52" t="s">
        <v>410</v>
      </c>
      <c r="AA340" s="52">
        <v>5</v>
      </c>
      <c r="AB340" s="52">
        <v>3</v>
      </c>
      <c r="AC340" s="52" t="s">
        <v>247</v>
      </c>
      <c r="AD340" s="52" t="s">
        <v>1</v>
      </c>
      <c r="AE340" s="52" t="s">
        <v>372</v>
      </c>
      <c r="AF340" s="155" t="s">
        <v>247</v>
      </c>
      <c r="AG340" s="155" t="s">
        <v>247</v>
      </c>
    </row>
    <row r="341" spans="25:33">
      <c r="Y341" s="47">
        <v>2304</v>
      </c>
      <c r="Z341" s="52" t="s">
        <v>410</v>
      </c>
      <c r="AA341" s="52">
        <v>5</v>
      </c>
      <c r="AB341" s="52">
        <v>3</v>
      </c>
      <c r="AC341" s="52" t="s">
        <v>247</v>
      </c>
      <c r="AD341" s="52" t="s">
        <v>1</v>
      </c>
      <c r="AE341" s="52" t="s">
        <v>372</v>
      </c>
      <c r="AF341" s="155" t="s">
        <v>247</v>
      </c>
      <c r="AG341" s="155" t="s">
        <v>247</v>
      </c>
    </row>
    <row r="342" spans="25:33">
      <c r="Y342" s="47">
        <v>2305</v>
      </c>
      <c r="Z342" s="52" t="s">
        <v>410</v>
      </c>
      <c r="AA342" s="52">
        <v>5</v>
      </c>
      <c r="AB342" s="52">
        <v>3</v>
      </c>
      <c r="AC342" s="52" t="s">
        <v>247</v>
      </c>
      <c r="AD342" s="52" t="s">
        <v>1</v>
      </c>
      <c r="AE342" s="52" t="s">
        <v>372</v>
      </c>
      <c r="AF342" s="155" t="s">
        <v>247</v>
      </c>
      <c r="AG342" s="155" t="s">
        <v>247</v>
      </c>
    </row>
    <row r="343" spans="25:33">
      <c r="Y343" s="47">
        <v>2306</v>
      </c>
      <c r="Z343" s="52" t="s">
        <v>410</v>
      </c>
      <c r="AA343" s="52">
        <v>5</v>
      </c>
      <c r="AB343" s="52">
        <v>3</v>
      </c>
      <c r="AC343" s="52" t="s">
        <v>247</v>
      </c>
      <c r="AD343" s="52" t="s">
        <v>1</v>
      </c>
      <c r="AE343" s="52" t="s">
        <v>372</v>
      </c>
      <c r="AF343" s="155" t="s">
        <v>247</v>
      </c>
      <c r="AG343" s="155" t="s">
        <v>247</v>
      </c>
    </row>
    <row r="344" spans="25:33">
      <c r="Y344" s="47">
        <v>2307</v>
      </c>
      <c r="Z344" s="52" t="s">
        <v>410</v>
      </c>
      <c r="AA344" s="52">
        <v>5</v>
      </c>
      <c r="AB344" s="52">
        <v>3</v>
      </c>
      <c r="AC344" s="52" t="s">
        <v>247</v>
      </c>
      <c r="AD344" s="52" t="s">
        <v>1</v>
      </c>
      <c r="AE344" s="52" t="s">
        <v>372</v>
      </c>
      <c r="AF344" s="155" t="s">
        <v>247</v>
      </c>
      <c r="AG344" s="155" t="s">
        <v>247</v>
      </c>
    </row>
    <row r="345" spans="25:33">
      <c r="Y345" s="47">
        <v>2308</v>
      </c>
      <c r="Z345" s="52" t="s">
        <v>410</v>
      </c>
      <c r="AA345" s="52">
        <v>5</v>
      </c>
      <c r="AB345" s="52">
        <v>3</v>
      </c>
      <c r="AC345" s="52" t="s">
        <v>247</v>
      </c>
      <c r="AD345" s="52" t="s">
        <v>1</v>
      </c>
      <c r="AE345" s="52" t="s">
        <v>372</v>
      </c>
      <c r="AF345" s="155" t="s">
        <v>247</v>
      </c>
      <c r="AG345" s="155" t="s">
        <v>247</v>
      </c>
    </row>
    <row r="346" spans="25:33">
      <c r="Y346" s="47">
        <v>2309</v>
      </c>
      <c r="Z346" s="52" t="s">
        <v>410</v>
      </c>
      <c r="AA346" s="52">
        <v>5</v>
      </c>
      <c r="AB346" s="52">
        <v>3</v>
      </c>
      <c r="AC346" s="52" t="s">
        <v>247</v>
      </c>
      <c r="AD346" s="52" t="s">
        <v>1</v>
      </c>
      <c r="AE346" s="52" t="s">
        <v>372</v>
      </c>
      <c r="AF346" s="155" t="s">
        <v>247</v>
      </c>
      <c r="AG346" s="155" t="s">
        <v>247</v>
      </c>
    </row>
    <row r="347" spans="25:33">
      <c r="Y347" s="47">
        <v>2310</v>
      </c>
      <c r="Z347" s="52" t="s">
        <v>410</v>
      </c>
      <c r="AA347" s="52" t="s">
        <v>247</v>
      </c>
      <c r="AB347" s="52">
        <v>3</v>
      </c>
      <c r="AC347" s="52" t="s">
        <v>247</v>
      </c>
      <c r="AD347" s="52" t="s">
        <v>1</v>
      </c>
      <c r="AE347" s="52" t="s">
        <v>372</v>
      </c>
      <c r="AF347" s="155" t="s">
        <v>247</v>
      </c>
      <c r="AG347" s="155" t="s">
        <v>247</v>
      </c>
    </row>
    <row r="348" spans="25:33">
      <c r="Y348" s="47">
        <v>2311</v>
      </c>
      <c r="Z348" s="52" t="s">
        <v>410</v>
      </c>
      <c r="AA348" s="52">
        <v>5</v>
      </c>
      <c r="AB348" s="52">
        <v>3</v>
      </c>
      <c r="AC348" s="52" t="s">
        <v>247</v>
      </c>
      <c r="AD348" s="52" t="s">
        <v>2</v>
      </c>
      <c r="AE348" s="52" t="s">
        <v>372</v>
      </c>
      <c r="AF348" s="155" t="s">
        <v>247</v>
      </c>
      <c r="AG348" s="155" t="s">
        <v>247</v>
      </c>
    </row>
    <row r="349" spans="25:33">
      <c r="Y349" s="47">
        <v>2312</v>
      </c>
      <c r="Z349" s="52" t="s">
        <v>410</v>
      </c>
      <c r="AA349" s="52">
        <v>2</v>
      </c>
      <c r="AB349" s="52">
        <v>3</v>
      </c>
      <c r="AC349" s="52" t="s">
        <v>247</v>
      </c>
      <c r="AD349" s="52" t="s">
        <v>2</v>
      </c>
      <c r="AE349" s="52" t="s">
        <v>372</v>
      </c>
      <c r="AF349" s="155" t="s">
        <v>247</v>
      </c>
      <c r="AG349" s="155" t="s">
        <v>247</v>
      </c>
    </row>
    <row r="350" spans="25:33">
      <c r="Y350" s="47">
        <v>2313</v>
      </c>
      <c r="Z350" s="52" t="s">
        <v>410</v>
      </c>
      <c r="AA350" s="52" t="s">
        <v>247</v>
      </c>
      <c r="AB350" s="52">
        <v>3</v>
      </c>
      <c r="AC350" s="52" t="s">
        <v>247</v>
      </c>
      <c r="AD350" s="52" t="s">
        <v>1</v>
      </c>
      <c r="AE350" s="52" t="s">
        <v>372</v>
      </c>
      <c r="AF350" s="155" t="s">
        <v>247</v>
      </c>
      <c r="AG350" s="155" t="s">
        <v>247</v>
      </c>
    </row>
    <row r="351" spans="25:33">
      <c r="Y351" s="47">
        <v>2314</v>
      </c>
      <c r="Z351" s="52" t="s">
        <v>410</v>
      </c>
      <c r="AA351" s="52">
        <v>5</v>
      </c>
      <c r="AB351" s="52">
        <v>3</v>
      </c>
      <c r="AC351" s="52" t="s">
        <v>247</v>
      </c>
      <c r="AD351" s="52" t="s">
        <v>1</v>
      </c>
      <c r="AE351" s="52" t="s">
        <v>372</v>
      </c>
      <c r="AF351" s="155" t="s">
        <v>247</v>
      </c>
      <c r="AG351" s="155" t="s">
        <v>247</v>
      </c>
    </row>
    <row r="352" spans="25:33">
      <c r="Y352" s="47">
        <v>2315</v>
      </c>
      <c r="Z352" s="52" t="s">
        <v>410</v>
      </c>
      <c r="AA352" s="52">
        <v>5</v>
      </c>
      <c r="AB352" s="52">
        <v>3</v>
      </c>
      <c r="AC352" s="52" t="s">
        <v>247</v>
      </c>
      <c r="AD352" s="52" t="s">
        <v>1</v>
      </c>
      <c r="AE352" s="52" t="s">
        <v>372</v>
      </c>
      <c r="AF352" s="155" t="s">
        <v>247</v>
      </c>
      <c r="AG352" s="155" t="s">
        <v>247</v>
      </c>
    </row>
    <row r="353" spans="25:33">
      <c r="Y353" s="47">
        <v>2316</v>
      </c>
      <c r="Z353" s="52" t="s">
        <v>410</v>
      </c>
      <c r="AA353" s="52">
        <v>5</v>
      </c>
      <c r="AB353" s="52">
        <v>3</v>
      </c>
      <c r="AC353" s="52" t="s">
        <v>247</v>
      </c>
      <c r="AD353" s="52" t="s">
        <v>1</v>
      </c>
      <c r="AE353" s="52" t="s">
        <v>372</v>
      </c>
      <c r="AF353" s="155" t="s">
        <v>247</v>
      </c>
      <c r="AG353" s="155" t="s">
        <v>247</v>
      </c>
    </row>
    <row r="354" spans="25:33">
      <c r="Y354" s="47">
        <v>2317</v>
      </c>
      <c r="Z354" s="52" t="s">
        <v>410</v>
      </c>
      <c r="AA354" s="52">
        <v>5</v>
      </c>
      <c r="AB354" s="52">
        <v>3</v>
      </c>
      <c r="AC354" s="52" t="s">
        <v>247</v>
      </c>
      <c r="AD354" s="52" t="s">
        <v>1</v>
      </c>
      <c r="AE354" s="52" t="s">
        <v>372</v>
      </c>
      <c r="AF354" s="155" t="s">
        <v>247</v>
      </c>
      <c r="AG354" s="155" t="s">
        <v>247</v>
      </c>
    </row>
    <row r="355" spans="25:33">
      <c r="Y355" s="47">
        <v>2318</v>
      </c>
      <c r="Z355" s="52" t="s">
        <v>410</v>
      </c>
      <c r="AA355" s="52">
        <v>5</v>
      </c>
      <c r="AB355" s="52">
        <v>3</v>
      </c>
      <c r="AC355" s="52" t="s">
        <v>247</v>
      </c>
      <c r="AD355" s="52" t="s">
        <v>1</v>
      </c>
      <c r="AE355" s="52" t="s">
        <v>372</v>
      </c>
      <c r="AF355" s="155" t="s">
        <v>247</v>
      </c>
      <c r="AG355" s="155" t="s">
        <v>247</v>
      </c>
    </row>
    <row r="356" spans="25:33">
      <c r="Y356" s="47">
        <v>2319</v>
      </c>
      <c r="Z356" s="52" t="s">
        <v>410</v>
      </c>
      <c r="AA356" s="52">
        <v>5</v>
      </c>
      <c r="AB356" s="52">
        <v>3</v>
      </c>
      <c r="AC356" s="52" t="s">
        <v>247</v>
      </c>
      <c r="AD356" s="52" t="s">
        <v>1</v>
      </c>
      <c r="AE356" s="52" t="s">
        <v>372</v>
      </c>
      <c r="AF356" s="155" t="s">
        <v>247</v>
      </c>
      <c r="AG356" s="155" t="s">
        <v>247</v>
      </c>
    </row>
    <row r="357" spans="25:33">
      <c r="Y357" s="47">
        <v>2320</v>
      </c>
      <c r="Z357" s="52" t="s">
        <v>410</v>
      </c>
      <c r="AA357" s="52">
        <v>6</v>
      </c>
      <c r="AB357" s="52">
        <v>3</v>
      </c>
      <c r="AC357" s="52" t="s">
        <v>247</v>
      </c>
      <c r="AD357" s="52" t="s">
        <v>1</v>
      </c>
      <c r="AE357" s="52" t="s">
        <v>372</v>
      </c>
      <c r="AF357" s="155" t="s">
        <v>247</v>
      </c>
      <c r="AG357" s="155" t="s">
        <v>247</v>
      </c>
    </row>
    <row r="358" spans="25:33">
      <c r="Y358" s="47">
        <v>2321</v>
      </c>
      <c r="Z358" s="52" t="s">
        <v>410</v>
      </c>
      <c r="AA358" s="52">
        <v>5</v>
      </c>
      <c r="AB358" s="52">
        <v>3</v>
      </c>
      <c r="AC358" s="52" t="s">
        <v>247</v>
      </c>
      <c r="AD358" s="52" t="s">
        <v>2</v>
      </c>
      <c r="AE358" s="52" t="s">
        <v>372</v>
      </c>
      <c r="AF358" s="155" t="s">
        <v>247</v>
      </c>
      <c r="AG358" s="155" t="s">
        <v>247</v>
      </c>
    </row>
    <row r="359" spans="25:33">
      <c r="Y359" s="47">
        <v>2322</v>
      </c>
      <c r="Z359" s="52" t="s">
        <v>410</v>
      </c>
      <c r="AA359" s="52">
        <v>6</v>
      </c>
      <c r="AB359" s="52">
        <v>3</v>
      </c>
      <c r="AC359" s="52" t="s">
        <v>247</v>
      </c>
      <c r="AD359" s="52" t="s">
        <v>1</v>
      </c>
      <c r="AE359" s="52" t="s">
        <v>372</v>
      </c>
      <c r="AF359" s="155" t="s">
        <v>247</v>
      </c>
      <c r="AG359" s="155" t="s">
        <v>247</v>
      </c>
    </row>
    <row r="360" spans="25:33">
      <c r="Y360" s="47">
        <v>2323</v>
      </c>
      <c r="Z360" s="52" t="s">
        <v>410</v>
      </c>
      <c r="AA360" s="52">
        <v>5</v>
      </c>
      <c r="AB360" s="52">
        <v>3</v>
      </c>
      <c r="AC360" s="52" t="s">
        <v>247</v>
      </c>
      <c r="AD360" s="52" t="s">
        <v>1</v>
      </c>
      <c r="AE360" s="52" t="s">
        <v>372</v>
      </c>
      <c r="AF360" s="155" t="s">
        <v>247</v>
      </c>
      <c r="AG360" s="155" t="s">
        <v>247</v>
      </c>
    </row>
    <row r="361" spans="25:33">
      <c r="Y361" s="47">
        <v>2324</v>
      </c>
      <c r="Z361" s="52" t="s">
        <v>410</v>
      </c>
      <c r="AA361" s="52">
        <v>2</v>
      </c>
      <c r="AB361" s="52">
        <v>3</v>
      </c>
      <c r="AC361" s="52" t="s">
        <v>247</v>
      </c>
      <c r="AD361" s="52" t="s">
        <v>2</v>
      </c>
      <c r="AE361" s="52" t="s">
        <v>372</v>
      </c>
      <c r="AF361" s="155" t="s">
        <v>247</v>
      </c>
      <c r="AG361" s="155" t="s">
        <v>247</v>
      </c>
    </row>
    <row r="362" spans="25:33">
      <c r="Y362" s="47">
        <v>2325</v>
      </c>
      <c r="Z362" s="52" t="s">
        <v>410</v>
      </c>
      <c r="AA362" s="52">
        <v>6</v>
      </c>
      <c r="AB362" s="52">
        <v>3</v>
      </c>
      <c r="AC362" s="52" t="s">
        <v>247</v>
      </c>
      <c r="AD362" s="52" t="s">
        <v>1</v>
      </c>
      <c r="AE362" s="52" t="s">
        <v>372</v>
      </c>
      <c r="AF362" s="155" t="s">
        <v>247</v>
      </c>
      <c r="AG362" s="155" t="s">
        <v>247</v>
      </c>
    </row>
    <row r="363" spans="25:33">
      <c r="Y363" s="47">
        <v>2326</v>
      </c>
      <c r="Z363" s="52" t="s">
        <v>410</v>
      </c>
      <c r="AA363" s="52">
        <v>6</v>
      </c>
      <c r="AB363" s="52">
        <v>3</v>
      </c>
      <c r="AC363" s="52" t="s">
        <v>247</v>
      </c>
      <c r="AD363" s="52" t="s">
        <v>1</v>
      </c>
      <c r="AE363" s="52" t="s">
        <v>372</v>
      </c>
      <c r="AF363" s="155" t="s">
        <v>247</v>
      </c>
      <c r="AG363" s="155" t="s">
        <v>247</v>
      </c>
    </row>
    <row r="364" spans="25:33">
      <c r="Y364" s="47">
        <v>2327</v>
      </c>
      <c r="Z364" s="52" t="s">
        <v>410</v>
      </c>
      <c r="AA364" s="52">
        <v>6</v>
      </c>
      <c r="AB364" s="52">
        <v>3</v>
      </c>
      <c r="AC364" s="52" t="s">
        <v>247</v>
      </c>
      <c r="AD364" s="52" t="s">
        <v>1</v>
      </c>
      <c r="AE364" s="52" t="s">
        <v>372</v>
      </c>
      <c r="AF364" s="155" t="s">
        <v>247</v>
      </c>
      <c r="AG364" s="155" t="s">
        <v>247</v>
      </c>
    </row>
    <row r="365" spans="25:33">
      <c r="Y365" s="47">
        <v>2328</v>
      </c>
      <c r="Z365" s="52" t="s">
        <v>410</v>
      </c>
      <c r="AA365" s="52">
        <v>7</v>
      </c>
      <c r="AB365" s="52">
        <v>5</v>
      </c>
      <c r="AC365" s="52" t="s">
        <v>247</v>
      </c>
      <c r="AD365" s="52" t="s">
        <v>1</v>
      </c>
      <c r="AE365" s="52" t="s">
        <v>372</v>
      </c>
      <c r="AF365" s="155" t="s">
        <v>247</v>
      </c>
      <c r="AG365" s="155" t="s">
        <v>247</v>
      </c>
    </row>
    <row r="366" spans="25:33">
      <c r="Y366" s="47">
        <v>2329</v>
      </c>
      <c r="Z366" s="52" t="s">
        <v>410</v>
      </c>
      <c r="AA366" s="52">
        <v>7</v>
      </c>
      <c r="AB366" s="52">
        <v>5</v>
      </c>
      <c r="AC366" s="52" t="s">
        <v>247</v>
      </c>
      <c r="AD366" s="52" t="s">
        <v>2</v>
      </c>
      <c r="AE366" s="52" t="s">
        <v>372</v>
      </c>
      <c r="AF366" s="155" t="s">
        <v>247</v>
      </c>
      <c r="AG366" s="155" t="s">
        <v>247</v>
      </c>
    </row>
    <row r="367" spans="25:33">
      <c r="Y367" s="47">
        <v>2330</v>
      </c>
      <c r="Z367" s="52" t="s">
        <v>410</v>
      </c>
      <c r="AA367" s="52">
        <v>6</v>
      </c>
      <c r="AB367" s="52">
        <v>3</v>
      </c>
      <c r="AC367" s="52" t="s">
        <v>247</v>
      </c>
      <c r="AD367" s="52" t="s">
        <v>1</v>
      </c>
      <c r="AE367" s="52" t="s">
        <v>372</v>
      </c>
      <c r="AF367" s="155" t="s">
        <v>247</v>
      </c>
      <c r="AG367" s="155" t="s">
        <v>247</v>
      </c>
    </row>
    <row r="368" spans="25:33">
      <c r="Y368" s="47">
        <v>2331</v>
      </c>
      <c r="Z368" s="52" t="s">
        <v>410</v>
      </c>
      <c r="AA368" s="52">
        <v>6</v>
      </c>
      <c r="AB368" s="52">
        <v>3</v>
      </c>
      <c r="AC368" s="52" t="s">
        <v>247</v>
      </c>
      <c r="AD368" s="52" t="s">
        <v>1</v>
      </c>
      <c r="AE368" s="52" t="s">
        <v>372</v>
      </c>
      <c r="AF368" s="155" t="s">
        <v>247</v>
      </c>
      <c r="AG368" s="155" t="s">
        <v>247</v>
      </c>
    </row>
    <row r="369" spans="25:33">
      <c r="Y369" s="47">
        <v>2332</v>
      </c>
      <c r="Z369" s="52" t="s">
        <v>410</v>
      </c>
      <c r="AA369" s="52" t="s">
        <v>247</v>
      </c>
      <c r="AB369" s="52">
        <v>3</v>
      </c>
      <c r="AC369" s="52" t="s">
        <v>247</v>
      </c>
      <c r="AD369" s="52" t="s">
        <v>1</v>
      </c>
      <c r="AE369" s="52" t="s">
        <v>372</v>
      </c>
      <c r="AF369" s="155" t="s">
        <v>247</v>
      </c>
      <c r="AG369" s="155" t="s">
        <v>247</v>
      </c>
    </row>
    <row r="370" spans="25:33">
      <c r="Y370" s="47">
        <v>2333</v>
      </c>
      <c r="Z370" s="52" t="s">
        <v>410</v>
      </c>
      <c r="AA370" s="52">
        <v>7</v>
      </c>
      <c r="AB370" s="52">
        <v>5</v>
      </c>
      <c r="AC370" s="52" t="s">
        <v>247</v>
      </c>
      <c r="AD370" s="52" t="s">
        <v>1</v>
      </c>
      <c r="AE370" s="52" t="s">
        <v>372</v>
      </c>
      <c r="AF370" s="155" t="s">
        <v>247</v>
      </c>
      <c r="AG370" s="155" t="s">
        <v>247</v>
      </c>
    </row>
    <row r="371" spans="25:33">
      <c r="Y371" s="47">
        <v>2334</v>
      </c>
      <c r="Z371" s="52" t="s">
        <v>410</v>
      </c>
      <c r="AA371" s="52">
        <v>6</v>
      </c>
      <c r="AB371" s="52">
        <v>3</v>
      </c>
      <c r="AC371" s="52" t="s">
        <v>247</v>
      </c>
      <c r="AD371" s="52" t="s">
        <v>1</v>
      </c>
      <c r="AE371" s="52" t="s">
        <v>372</v>
      </c>
      <c r="AF371" s="155" t="s">
        <v>247</v>
      </c>
      <c r="AG371" s="155" t="s">
        <v>247</v>
      </c>
    </row>
    <row r="372" spans="25:33">
      <c r="Y372" s="47">
        <v>2335</v>
      </c>
      <c r="Z372" s="52" t="s">
        <v>410</v>
      </c>
      <c r="AA372" s="52">
        <v>6</v>
      </c>
      <c r="AB372" s="52">
        <v>3</v>
      </c>
      <c r="AC372" s="52" t="s">
        <v>247</v>
      </c>
      <c r="AD372" s="52" t="s">
        <v>1</v>
      </c>
      <c r="AE372" s="52" t="s">
        <v>372</v>
      </c>
      <c r="AF372" s="155" t="s">
        <v>247</v>
      </c>
      <c r="AG372" s="155" t="s">
        <v>247</v>
      </c>
    </row>
    <row r="373" spans="25:33">
      <c r="Y373" s="47">
        <v>2336</v>
      </c>
      <c r="Z373" s="52" t="s">
        <v>410</v>
      </c>
      <c r="AA373" s="52">
        <v>7</v>
      </c>
      <c r="AB373" s="52">
        <v>5</v>
      </c>
      <c r="AC373" s="52" t="s">
        <v>247</v>
      </c>
      <c r="AD373" s="52" t="s">
        <v>1</v>
      </c>
      <c r="AE373" s="52" t="s">
        <v>372</v>
      </c>
      <c r="AF373" s="155" t="s">
        <v>247</v>
      </c>
      <c r="AG373" s="155" t="s">
        <v>247</v>
      </c>
    </row>
    <row r="374" spans="25:33">
      <c r="Y374" s="47">
        <v>2337</v>
      </c>
      <c r="Z374" s="52" t="s">
        <v>410</v>
      </c>
      <c r="AA374" s="52">
        <v>7</v>
      </c>
      <c r="AB374" s="52">
        <v>5</v>
      </c>
      <c r="AC374" s="52" t="s">
        <v>247</v>
      </c>
      <c r="AD374" s="52" t="s">
        <v>1</v>
      </c>
      <c r="AE374" s="52" t="s">
        <v>372</v>
      </c>
      <c r="AF374" s="155" t="s">
        <v>247</v>
      </c>
      <c r="AG374" s="155" t="s">
        <v>247</v>
      </c>
    </row>
    <row r="375" spans="25:33">
      <c r="Y375" s="47">
        <v>2338</v>
      </c>
      <c r="Z375" s="52" t="s">
        <v>410</v>
      </c>
      <c r="AA375" s="52">
        <v>7</v>
      </c>
      <c r="AB375" s="52">
        <v>5</v>
      </c>
      <c r="AC375" s="52" t="s">
        <v>247</v>
      </c>
      <c r="AD375" s="52" t="s">
        <v>2</v>
      </c>
      <c r="AE375" s="52" t="s">
        <v>372</v>
      </c>
      <c r="AF375" s="155" t="s">
        <v>247</v>
      </c>
      <c r="AG375" s="155" t="s">
        <v>247</v>
      </c>
    </row>
    <row r="376" spans="25:33">
      <c r="Y376" s="47">
        <v>2339</v>
      </c>
      <c r="Z376" s="52" t="s">
        <v>410</v>
      </c>
      <c r="AA376" s="52">
        <v>7</v>
      </c>
      <c r="AB376" s="52">
        <v>5</v>
      </c>
      <c r="AC376" s="52" t="s">
        <v>247</v>
      </c>
      <c r="AD376" s="52" t="s">
        <v>2</v>
      </c>
      <c r="AE376" s="52" t="s">
        <v>372</v>
      </c>
      <c r="AF376" s="155" t="s">
        <v>247</v>
      </c>
      <c r="AG376" s="155" t="s">
        <v>247</v>
      </c>
    </row>
    <row r="377" spans="25:33">
      <c r="Y377" s="47">
        <v>2340</v>
      </c>
      <c r="Z377" s="52" t="s">
        <v>410</v>
      </c>
      <c r="AA377" s="52">
        <v>7</v>
      </c>
      <c r="AB377" s="52">
        <v>5</v>
      </c>
      <c r="AC377" s="52" t="s">
        <v>247</v>
      </c>
      <c r="AD377" s="52" t="s">
        <v>2</v>
      </c>
      <c r="AE377" s="52" t="s">
        <v>372</v>
      </c>
      <c r="AF377" s="155" t="s">
        <v>247</v>
      </c>
      <c r="AG377" s="155" t="s">
        <v>247</v>
      </c>
    </row>
    <row r="378" spans="25:33">
      <c r="Y378" s="47">
        <v>2341</v>
      </c>
      <c r="Z378" s="52" t="s">
        <v>410</v>
      </c>
      <c r="AA378" s="52">
        <v>7</v>
      </c>
      <c r="AB378" s="52">
        <v>5</v>
      </c>
      <c r="AC378" s="52" t="s">
        <v>247</v>
      </c>
      <c r="AD378" s="52" t="s">
        <v>2</v>
      </c>
      <c r="AE378" s="52" t="s">
        <v>372</v>
      </c>
      <c r="AF378" s="155" t="s">
        <v>247</v>
      </c>
      <c r="AG378" s="155" t="s">
        <v>247</v>
      </c>
    </row>
    <row r="379" spans="25:33">
      <c r="Y379" s="47">
        <v>2342</v>
      </c>
      <c r="Z379" s="52" t="s">
        <v>410</v>
      </c>
      <c r="AA379" s="52">
        <v>4</v>
      </c>
      <c r="AB379" s="52">
        <v>3</v>
      </c>
      <c r="AC379" s="52" t="s">
        <v>247</v>
      </c>
      <c r="AD379" s="52" t="s">
        <v>2</v>
      </c>
      <c r="AE379" s="52" t="s">
        <v>372</v>
      </c>
      <c r="AF379" s="155" t="s">
        <v>247</v>
      </c>
      <c r="AG379" s="155" t="s">
        <v>247</v>
      </c>
    </row>
    <row r="380" spans="25:33">
      <c r="Y380" s="47">
        <v>2343</v>
      </c>
      <c r="Z380" s="52" t="s">
        <v>410</v>
      </c>
      <c r="AA380" s="52">
        <v>7</v>
      </c>
      <c r="AB380" s="52">
        <v>5</v>
      </c>
      <c r="AC380" s="52" t="s">
        <v>247</v>
      </c>
      <c r="AD380" s="52" t="s">
        <v>2</v>
      </c>
      <c r="AE380" s="52" t="s">
        <v>372</v>
      </c>
      <c r="AF380" s="155" t="s">
        <v>247</v>
      </c>
      <c r="AG380" s="155" t="s">
        <v>247</v>
      </c>
    </row>
    <row r="381" spans="25:33">
      <c r="Y381" s="47">
        <v>2344</v>
      </c>
      <c r="Z381" s="52" t="s">
        <v>410</v>
      </c>
      <c r="AA381" s="52">
        <v>7</v>
      </c>
      <c r="AB381" s="52">
        <v>5</v>
      </c>
      <c r="AC381" s="52" t="s">
        <v>247</v>
      </c>
      <c r="AD381" s="52" t="s">
        <v>2</v>
      </c>
      <c r="AE381" s="52" t="s">
        <v>372</v>
      </c>
      <c r="AF381" s="155" t="s">
        <v>247</v>
      </c>
      <c r="AG381" s="155" t="s">
        <v>247</v>
      </c>
    </row>
    <row r="382" spans="25:33">
      <c r="Y382" s="47">
        <v>2345</v>
      </c>
      <c r="Z382" s="52" t="s">
        <v>410</v>
      </c>
      <c r="AA382" s="52">
        <v>7</v>
      </c>
      <c r="AB382" s="52">
        <v>5</v>
      </c>
      <c r="AC382" s="52" t="s">
        <v>247</v>
      </c>
      <c r="AD382" s="52" t="s">
        <v>2</v>
      </c>
      <c r="AE382" s="52" t="s">
        <v>372</v>
      </c>
      <c r="AF382" s="155" t="s">
        <v>247</v>
      </c>
      <c r="AG382" s="155" t="s">
        <v>247</v>
      </c>
    </row>
    <row r="383" spans="25:33">
      <c r="Y383" s="47">
        <v>2346</v>
      </c>
      <c r="Z383" s="52" t="s">
        <v>410</v>
      </c>
      <c r="AA383" s="52">
        <v>7</v>
      </c>
      <c r="AB383" s="52">
        <v>5</v>
      </c>
      <c r="AC383" s="52" t="s">
        <v>247</v>
      </c>
      <c r="AD383" s="52" t="s">
        <v>2</v>
      </c>
      <c r="AE383" s="52" t="s">
        <v>372</v>
      </c>
      <c r="AF383" s="155" t="s">
        <v>247</v>
      </c>
      <c r="AG383" s="155" t="s">
        <v>247</v>
      </c>
    </row>
    <row r="384" spans="25:33">
      <c r="Y384" s="47">
        <v>2347</v>
      </c>
      <c r="Z384" s="52" t="s">
        <v>410</v>
      </c>
      <c r="AA384" s="52">
        <v>7</v>
      </c>
      <c r="AB384" s="52">
        <v>5</v>
      </c>
      <c r="AC384" s="52" t="s">
        <v>247</v>
      </c>
      <c r="AD384" s="52" t="s">
        <v>2</v>
      </c>
      <c r="AE384" s="52" t="s">
        <v>372</v>
      </c>
      <c r="AF384" s="155" t="s">
        <v>247</v>
      </c>
      <c r="AG384" s="155" t="s">
        <v>247</v>
      </c>
    </row>
    <row r="385" spans="25:33">
      <c r="Y385" s="47">
        <v>2350</v>
      </c>
      <c r="Z385" s="52" t="s">
        <v>407</v>
      </c>
      <c r="AA385" s="52">
        <v>7</v>
      </c>
      <c r="AB385" s="52">
        <v>5</v>
      </c>
      <c r="AC385" s="52" t="s">
        <v>247</v>
      </c>
      <c r="AD385" s="52" t="s">
        <v>2</v>
      </c>
      <c r="AE385" s="52" t="s">
        <v>372</v>
      </c>
      <c r="AF385" s="155" t="s">
        <v>247</v>
      </c>
      <c r="AG385" s="155" t="s">
        <v>247</v>
      </c>
    </row>
    <row r="386" spans="25:33">
      <c r="Y386" s="47">
        <v>2352</v>
      </c>
      <c r="Z386" s="52" t="s">
        <v>410</v>
      </c>
      <c r="AA386" s="52">
        <v>7</v>
      </c>
      <c r="AB386" s="52">
        <v>5</v>
      </c>
      <c r="AC386" s="52" t="s">
        <v>247</v>
      </c>
      <c r="AD386" s="52" t="s">
        <v>2</v>
      </c>
      <c r="AE386" s="52" t="s">
        <v>372</v>
      </c>
      <c r="AF386" s="155" t="s">
        <v>247</v>
      </c>
      <c r="AG386" s="155" t="s">
        <v>247</v>
      </c>
    </row>
    <row r="387" spans="25:33">
      <c r="Y387" s="47">
        <v>2353</v>
      </c>
      <c r="Z387" s="52" t="s">
        <v>410</v>
      </c>
      <c r="AA387" s="52">
        <v>7</v>
      </c>
      <c r="AB387" s="52">
        <v>5</v>
      </c>
      <c r="AC387" s="52" t="s">
        <v>247</v>
      </c>
      <c r="AD387" s="52" t="s">
        <v>2</v>
      </c>
      <c r="AE387" s="52" t="s">
        <v>372</v>
      </c>
      <c r="AF387" s="155" t="s">
        <v>247</v>
      </c>
      <c r="AG387" s="155" t="s">
        <v>247</v>
      </c>
    </row>
    <row r="388" spans="25:33">
      <c r="Y388" s="47">
        <v>2354</v>
      </c>
      <c r="Z388" s="52" t="s">
        <v>410</v>
      </c>
      <c r="AA388" s="52">
        <v>7</v>
      </c>
      <c r="AB388" s="52">
        <v>5</v>
      </c>
      <c r="AC388" s="52" t="s">
        <v>247</v>
      </c>
      <c r="AD388" s="52" t="s">
        <v>2</v>
      </c>
      <c r="AE388" s="52" t="s">
        <v>372</v>
      </c>
      <c r="AF388" s="155" t="s">
        <v>247</v>
      </c>
      <c r="AG388" s="155" t="s">
        <v>247</v>
      </c>
    </row>
    <row r="389" spans="25:33">
      <c r="Y389" s="47">
        <v>2355</v>
      </c>
      <c r="Z389" s="52" t="s">
        <v>410</v>
      </c>
      <c r="AA389" s="52">
        <v>7</v>
      </c>
      <c r="AB389" s="52">
        <v>5</v>
      </c>
      <c r="AC389" s="52" t="s">
        <v>247</v>
      </c>
      <c r="AD389" s="52" t="s">
        <v>2</v>
      </c>
      <c r="AE389" s="52" t="s">
        <v>372</v>
      </c>
      <c r="AF389" s="155" t="s">
        <v>247</v>
      </c>
      <c r="AG389" s="155" t="s">
        <v>247</v>
      </c>
    </row>
    <row r="390" spans="25:33">
      <c r="Y390" s="47">
        <v>2356</v>
      </c>
      <c r="Z390" s="52" t="s">
        <v>410</v>
      </c>
      <c r="AA390" s="52">
        <v>4</v>
      </c>
      <c r="AB390" s="52">
        <v>3</v>
      </c>
      <c r="AC390" s="52" t="s">
        <v>247</v>
      </c>
      <c r="AD390" s="52" t="s">
        <v>2</v>
      </c>
      <c r="AE390" s="52" t="s">
        <v>372</v>
      </c>
      <c r="AF390" s="155" t="s">
        <v>247</v>
      </c>
      <c r="AG390" s="155" t="s">
        <v>247</v>
      </c>
    </row>
    <row r="391" spans="25:33">
      <c r="Y391" s="47">
        <v>2357</v>
      </c>
      <c r="Z391" s="52" t="s">
        <v>410</v>
      </c>
      <c r="AA391" s="52">
        <v>4</v>
      </c>
      <c r="AB391" s="52">
        <v>3</v>
      </c>
      <c r="AC391" s="52" t="s">
        <v>247</v>
      </c>
      <c r="AD391" s="52" t="s">
        <v>2</v>
      </c>
      <c r="AE391" s="52" t="s">
        <v>372</v>
      </c>
      <c r="AF391" s="155" t="s">
        <v>247</v>
      </c>
      <c r="AG391" s="155" t="s">
        <v>247</v>
      </c>
    </row>
    <row r="392" spans="25:33">
      <c r="Y392" s="47">
        <v>2358</v>
      </c>
      <c r="Z392" s="52" t="s">
        <v>410</v>
      </c>
      <c r="AA392" s="52">
        <v>7</v>
      </c>
      <c r="AB392" s="52">
        <v>5</v>
      </c>
      <c r="AC392" s="52" t="s">
        <v>247</v>
      </c>
      <c r="AD392" s="52" t="s">
        <v>2</v>
      </c>
      <c r="AE392" s="52" t="s">
        <v>372</v>
      </c>
      <c r="AF392" s="155" t="s">
        <v>247</v>
      </c>
      <c r="AG392" s="155" t="s">
        <v>247</v>
      </c>
    </row>
    <row r="393" spans="25:33">
      <c r="Y393" s="47">
        <v>2359</v>
      </c>
      <c r="Z393" s="52" t="s">
        <v>410</v>
      </c>
      <c r="AA393" s="52">
        <v>4</v>
      </c>
      <c r="AB393" s="52">
        <v>3</v>
      </c>
      <c r="AC393" s="52" t="s">
        <v>247</v>
      </c>
      <c r="AD393" s="52" t="s">
        <v>2</v>
      </c>
      <c r="AE393" s="52" t="s">
        <v>372</v>
      </c>
      <c r="AF393" s="155" t="s">
        <v>247</v>
      </c>
      <c r="AG393" s="155" t="s">
        <v>247</v>
      </c>
    </row>
    <row r="394" spans="25:33">
      <c r="Y394" s="47">
        <v>2360</v>
      </c>
      <c r="Z394" s="52" t="s">
        <v>410</v>
      </c>
      <c r="AA394" s="52">
        <v>7</v>
      </c>
      <c r="AB394" s="52">
        <v>5</v>
      </c>
      <c r="AC394" s="52" t="s">
        <v>247</v>
      </c>
      <c r="AD394" s="52" t="s">
        <v>2</v>
      </c>
      <c r="AE394" s="52" t="s">
        <v>372</v>
      </c>
      <c r="AF394" s="155" t="s">
        <v>247</v>
      </c>
      <c r="AG394" s="155" t="s">
        <v>247</v>
      </c>
    </row>
    <row r="395" spans="25:33">
      <c r="Y395" s="47">
        <v>2361</v>
      </c>
      <c r="Z395" s="52" t="s">
        <v>410</v>
      </c>
      <c r="AA395" s="52">
        <v>7</v>
      </c>
      <c r="AB395" s="52">
        <v>5</v>
      </c>
      <c r="AC395" s="52" t="s">
        <v>247</v>
      </c>
      <c r="AD395" s="52" t="s">
        <v>2</v>
      </c>
      <c r="AE395" s="52" t="s">
        <v>372</v>
      </c>
      <c r="AF395" s="155" t="s">
        <v>247</v>
      </c>
      <c r="AG395" s="155" t="s">
        <v>247</v>
      </c>
    </row>
    <row r="396" spans="25:33">
      <c r="Y396" s="47">
        <v>2365</v>
      </c>
      <c r="Z396" s="52" t="s">
        <v>407</v>
      </c>
      <c r="AA396" s="52">
        <v>7</v>
      </c>
      <c r="AB396" s="52">
        <v>5</v>
      </c>
      <c r="AC396" s="52" t="s">
        <v>247</v>
      </c>
      <c r="AD396" s="52" t="s">
        <v>2</v>
      </c>
      <c r="AE396" s="52" t="s">
        <v>372</v>
      </c>
      <c r="AF396" s="155" t="s">
        <v>247</v>
      </c>
      <c r="AG396" s="155" t="s">
        <v>247</v>
      </c>
    </row>
    <row r="397" spans="25:33">
      <c r="Y397" s="47">
        <v>2366</v>
      </c>
      <c r="Z397" s="52" t="s">
        <v>407</v>
      </c>
      <c r="AA397" s="52" t="s">
        <v>247</v>
      </c>
      <c r="AB397" s="52">
        <v>3</v>
      </c>
      <c r="AC397" s="52" t="s">
        <v>247</v>
      </c>
      <c r="AD397" s="52" t="s">
        <v>2</v>
      </c>
      <c r="AE397" s="52" t="s">
        <v>372</v>
      </c>
      <c r="AF397" s="155" t="s">
        <v>247</v>
      </c>
      <c r="AG397" s="155" t="s">
        <v>247</v>
      </c>
    </row>
    <row r="398" spans="25:33">
      <c r="Y398" s="47">
        <v>2367</v>
      </c>
      <c r="Z398" s="52" t="s">
        <v>407</v>
      </c>
      <c r="AA398" s="52" t="s">
        <v>247</v>
      </c>
      <c r="AB398" s="52">
        <v>3</v>
      </c>
      <c r="AC398" s="52" t="s">
        <v>247</v>
      </c>
      <c r="AD398" s="52" t="s">
        <v>2</v>
      </c>
      <c r="AE398" s="52" t="s">
        <v>372</v>
      </c>
      <c r="AF398" s="155" t="s">
        <v>247</v>
      </c>
      <c r="AG398" s="155" t="s">
        <v>247</v>
      </c>
    </row>
    <row r="399" spans="25:33">
      <c r="Y399" s="47">
        <v>2368</v>
      </c>
      <c r="Z399" s="52" t="s">
        <v>407</v>
      </c>
      <c r="AA399" s="52" t="s">
        <v>247</v>
      </c>
      <c r="AB399" s="52">
        <v>3</v>
      </c>
      <c r="AC399" s="52" t="s">
        <v>247</v>
      </c>
      <c r="AD399" s="52" t="s">
        <v>2</v>
      </c>
      <c r="AE399" s="52" t="s">
        <v>372</v>
      </c>
      <c r="AF399" s="155" t="s">
        <v>247</v>
      </c>
      <c r="AG399" s="155" t="s">
        <v>247</v>
      </c>
    </row>
    <row r="400" spans="25:33">
      <c r="Y400" s="47">
        <v>2369</v>
      </c>
      <c r="Z400" s="52" t="s">
        <v>407</v>
      </c>
      <c r="AA400" s="52">
        <v>7</v>
      </c>
      <c r="AB400" s="52">
        <v>5</v>
      </c>
      <c r="AC400" s="52" t="s">
        <v>247</v>
      </c>
      <c r="AD400" s="52" t="s">
        <v>2</v>
      </c>
      <c r="AE400" s="52" t="s">
        <v>372</v>
      </c>
      <c r="AF400" s="155" t="s">
        <v>247</v>
      </c>
      <c r="AG400" s="155" t="s">
        <v>247</v>
      </c>
    </row>
    <row r="401" spans="25:33">
      <c r="Y401" s="47">
        <v>2370</v>
      </c>
      <c r="Z401" s="52" t="s">
        <v>410</v>
      </c>
      <c r="AA401" s="52">
        <v>7</v>
      </c>
      <c r="AB401" s="52">
        <v>5</v>
      </c>
      <c r="AC401" s="52" t="s">
        <v>247</v>
      </c>
      <c r="AD401" s="52" t="s">
        <v>2</v>
      </c>
      <c r="AE401" s="52" t="s">
        <v>372</v>
      </c>
      <c r="AF401" s="155" t="s">
        <v>247</v>
      </c>
      <c r="AG401" s="155" t="s">
        <v>247</v>
      </c>
    </row>
    <row r="402" spans="25:33">
      <c r="Y402" s="47">
        <v>2371</v>
      </c>
      <c r="Z402" s="52" t="s">
        <v>410</v>
      </c>
      <c r="AA402" s="52">
        <v>7</v>
      </c>
      <c r="AB402" s="52">
        <v>5</v>
      </c>
      <c r="AC402" s="52" t="s">
        <v>247</v>
      </c>
      <c r="AD402" s="52" t="s">
        <v>2</v>
      </c>
      <c r="AE402" s="52" t="s">
        <v>372</v>
      </c>
      <c r="AF402" s="155" t="s">
        <v>247</v>
      </c>
      <c r="AG402" s="155" t="s">
        <v>247</v>
      </c>
    </row>
    <row r="403" spans="25:33">
      <c r="Y403" s="47">
        <v>2372</v>
      </c>
      <c r="Z403" s="52" t="s">
        <v>410</v>
      </c>
      <c r="AA403" s="52">
        <v>4</v>
      </c>
      <c r="AB403" s="52">
        <v>3</v>
      </c>
      <c r="AC403" s="52" t="s">
        <v>247</v>
      </c>
      <c r="AD403" s="52" t="s">
        <v>2</v>
      </c>
      <c r="AE403" s="52" t="s">
        <v>372</v>
      </c>
      <c r="AF403" s="155" t="s">
        <v>247</v>
      </c>
      <c r="AG403" s="155" t="s">
        <v>247</v>
      </c>
    </row>
    <row r="404" spans="25:33">
      <c r="Y404" s="47">
        <v>2373</v>
      </c>
      <c r="Z404" s="52" t="s">
        <v>410</v>
      </c>
      <c r="AA404" s="52" t="s">
        <v>247</v>
      </c>
      <c r="AB404" s="52">
        <v>3</v>
      </c>
      <c r="AC404" s="52" t="s">
        <v>247</v>
      </c>
      <c r="AD404" s="52" t="s">
        <v>2</v>
      </c>
      <c r="AE404" s="52" t="s">
        <v>372</v>
      </c>
      <c r="AF404" s="155" t="s">
        <v>247</v>
      </c>
      <c r="AG404" s="155" t="s">
        <v>247</v>
      </c>
    </row>
    <row r="405" spans="25:33">
      <c r="Y405" s="47">
        <v>2374</v>
      </c>
      <c r="Z405" s="52" t="s">
        <v>410</v>
      </c>
      <c r="AA405" s="52" t="s">
        <v>247</v>
      </c>
      <c r="AB405" s="52">
        <v>3</v>
      </c>
      <c r="AC405" s="52" t="s">
        <v>247</v>
      </c>
      <c r="AD405" s="52" t="s">
        <v>2</v>
      </c>
      <c r="AE405" s="52" t="s">
        <v>372</v>
      </c>
      <c r="AF405" s="155" t="s">
        <v>247</v>
      </c>
      <c r="AG405" s="155" t="s">
        <v>247</v>
      </c>
    </row>
    <row r="406" spans="25:33">
      <c r="Y406" s="47">
        <v>2375</v>
      </c>
      <c r="Z406" s="52" t="s">
        <v>410</v>
      </c>
      <c r="AA406" s="52" t="s">
        <v>247</v>
      </c>
      <c r="AB406" s="52">
        <v>3</v>
      </c>
      <c r="AC406" s="52" t="s">
        <v>247</v>
      </c>
      <c r="AD406" s="52" t="s">
        <v>2</v>
      </c>
      <c r="AE406" s="52" t="s">
        <v>372</v>
      </c>
      <c r="AF406" s="155" t="s">
        <v>247</v>
      </c>
      <c r="AG406" s="155" t="s">
        <v>247</v>
      </c>
    </row>
    <row r="407" spans="25:33">
      <c r="Y407" s="47">
        <v>2376</v>
      </c>
      <c r="Z407" s="52" t="s">
        <v>410</v>
      </c>
      <c r="AA407" s="52" t="s">
        <v>247</v>
      </c>
      <c r="AB407" s="52">
        <v>3</v>
      </c>
      <c r="AC407" s="52" t="s">
        <v>247</v>
      </c>
      <c r="AD407" s="52" t="s">
        <v>2</v>
      </c>
      <c r="AE407" s="52" t="s">
        <v>372</v>
      </c>
      <c r="AF407" s="155" t="s">
        <v>247</v>
      </c>
      <c r="AG407" s="155" t="s">
        <v>247</v>
      </c>
    </row>
    <row r="408" spans="25:33">
      <c r="Y408" s="47">
        <v>2377</v>
      </c>
      <c r="Z408" s="52" t="s">
        <v>410</v>
      </c>
      <c r="AA408" s="52" t="s">
        <v>247</v>
      </c>
      <c r="AB408" s="52">
        <v>3</v>
      </c>
      <c r="AC408" s="52" t="s">
        <v>247</v>
      </c>
      <c r="AD408" s="52" t="s">
        <v>2</v>
      </c>
      <c r="AE408" s="52" t="s">
        <v>372</v>
      </c>
      <c r="AF408" s="155" t="s">
        <v>247</v>
      </c>
      <c r="AG408" s="155" t="s">
        <v>247</v>
      </c>
    </row>
    <row r="409" spans="25:33">
      <c r="Y409" s="47">
        <v>2378</v>
      </c>
      <c r="Z409" s="52" t="s">
        <v>410</v>
      </c>
      <c r="AA409" s="52" t="s">
        <v>247</v>
      </c>
      <c r="AB409" s="52">
        <v>3</v>
      </c>
      <c r="AC409" s="52" t="s">
        <v>247</v>
      </c>
      <c r="AD409" s="52" t="s">
        <v>2</v>
      </c>
      <c r="AE409" s="52" t="s">
        <v>372</v>
      </c>
      <c r="AF409" s="155" t="s">
        <v>247</v>
      </c>
      <c r="AG409" s="155" t="s">
        <v>247</v>
      </c>
    </row>
    <row r="410" spans="25:33">
      <c r="Y410" s="47">
        <v>2379</v>
      </c>
      <c r="Z410" s="52" t="s">
        <v>410</v>
      </c>
      <c r="AA410" s="52">
        <v>4</v>
      </c>
      <c r="AB410" s="52">
        <v>3</v>
      </c>
      <c r="AC410" s="52" t="s">
        <v>247</v>
      </c>
      <c r="AD410" s="52" t="s">
        <v>2</v>
      </c>
      <c r="AE410" s="52" t="s">
        <v>372</v>
      </c>
      <c r="AF410" s="155" t="s">
        <v>247</v>
      </c>
      <c r="AG410" s="155" t="s">
        <v>247</v>
      </c>
    </row>
    <row r="411" spans="25:33">
      <c r="Y411" s="47">
        <v>2380</v>
      </c>
      <c r="Z411" s="52" t="s">
        <v>410</v>
      </c>
      <c r="AA411" s="52">
        <v>7</v>
      </c>
      <c r="AB411" s="52">
        <v>5</v>
      </c>
      <c r="AC411" s="52" t="s">
        <v>247</v>
      </c>
      <c r="AD411" s="52" t="s">
        <v>2</v>
      </c>
      <c r="AE411" s="52" t="s">
        <v>372</v>
      </c>
      <c r="AF411" s="155" t="s">
        <v>247</v>
      </c>
      <c r="AG411" s="155" t="s">
        <v>247</v>
      </c>
    </row>
    <row r="412" spans="25:33">
      <c r="Y412" s="47">
        <v>2381</v>
      </c>
      <c r="Z412" s="52" t="s">
        <v>410</v>
      </c>
      <c r="AA412" s="52">
        <v>7</v>
      </c>
      <c r="AB412" s="52">
        <v>5</v>
      </c>
      <c r="AC412" s="52" t="s">
        <v>247</v>
      </c>
      <c r="AD412" s="52" t="s">
        <v>2</v>
      </c>
      <c r="AE412" s="52" t="s">
        <v>372</v>
      </c>
      <c r="AF412" s="155" t="s">
        <v>247</v>
      </c>
      <c r="AG412" s="155" t="s">
        <v>247</v>
      </c>
    </row>
    <row r="413" spans="25:33">
      <c r="Y413" s="47">
        <v>2382</v>
      </c>
      <c r="Z413" s="52" t="s">
        <v>410</v>
      </c>
      <c r="AA413" s="52">
        <v>7</v>
      </c>
      <c r="AB413" s="52">
        <v>5</v>
      </c>
      <c r="AC413" s="52" t="s">
        <v>247</v>
      </c>
      <c r="AD413" s="52" t="s">
        <v>2</v>
      </c>
      <c r="AE413" s="52" t="s">
        <v>372</v>
      </c>
      <c r="AF413" s="155" t="s">
        <v>247</v>
      </c>
      <c r="AG413" s="155" t="s">
        <v>247</v>
      </c>
    </row>
    <row r="414" spans="25:33">
      <c r="Y414" s="47">
        <v>2383</v>
      </c>
      <c r="Z414" s="52" t="s">
        <v>410</v>
      </c>
      <c r="AA414" s="52" t="s">
        <v>247</v>
      </c>
      <c r="AB414" s="52">
        <v>3</v>
      </c>
      <c r="AC414" s="52" t="s">
        <v>247</v>
      </c>
      <c r="AD414" s="52" t="s">
        <v>2</v>
      </c>
      <c r="AE414" s="52" t="s">
        <v>372</v>
      </c>
      <c r="AF414" s="155" t="s">
        <v>247</v>
      </c>
      <c r="AG414" s="155" t="s">
        <v>247</v>
      </c>
    </row>
    <row r="415" spans="25:33">
      <c r="Y415" s="47">
        <v>2384</v>
      </c>
      <c r="Z415" s="52" t="s">
        <v>410</v>
      </c>
      <c r="AA415" s="52" t="s">
        <v>247</v>
      </c>
      <c r="AB415" s="52">
        <v>3</v>
      </c>
      <c r="AC415" s="52" t="s">
        <v>247</v>
      </c>
      <c r="AD415" s="52" t="s">
        <v>2</v>
      </c>
      <c r="AE415" s="52" t="s">
        <v>372</v>
      </c>
      <c r="AF415" s="155" t="s">
        <v>247</v>
      </c>
      <c r="AG415" s="155" t="s">
        <v>247</v>
      </c>
    </row>
    <row r="416" spans="25:33">
      <c r="Y416" s="47">
        <v>2385</v>
      </c>
      <c r="Z416" s="52" t="s">
        <v>410</v>
      </c>
      <c r="AA416" s="52" t="s">
        <v>247</v>
      </c>
      <c r="AB416" s="52">
        <v>3</v>
      </c>
      <c r="AC416" s="52" t="s">
        <v>247</v>
      </c>
      <c r="AD416" s="52" t="s">
        <v>2</v>
      </c>
      <c r="AE416" s="52" t="s">
        <v>372</v>
      </c>
      <c r="AF416" s="155" t="s">
        <v>247</v>
      </c>
      <c r="AG416" s="155" t="s">
        <v>247</v>
      </c>
    </row>
    <row r="417" spans="25:33">
      <c r="Y417" s="47">
        <v>2386</v>
      </c>
      <c r="Z417" s="52" t="s">
        <v>410</v>
      </c>
      <c r="AA417" s="52">
        <v>4</v>
      </c>
      <c r="AB417" s="52">
        <v>3</v>
      </c>
      <c r="AC417" s="52" t="s">
        <v>247</v>
      </c>
      <c r="AD417" s="52" t="s">
        <v>2</v>
      </c>
      <c r="AE417" s="52" t="s">
        <v>372</v>
      </c>
      <c r="AF417" s="155" t="s">
        <v>247</v>
      </c>
      <c r="AG417" s="155" t="s">
        <v>247</v>
      </c>
    </row>
    <row r="418" spans="25:33">
      <c r="Y418" s="47">
        <v>2387</v>
      </c>
      <c r="Z418" s="52" t="s">
        <v>410</v>
      </c>
      <c r="AA418" s="52">
        <v>4</v>
      </c>
      <c r="AB418" s="52">
        <v>3</v>
      </c>
      <c r="AC418" s="52" t="s">
        <v>247</v>
      </c>
      <c r="AD418" s="52" t="s">
        <v>2</v>
      </c>
      <c r="AE418" s="52" t="s">
        <v>372</v>
      </c>
      <c r="AF418" s="155" t="s">
        <v>247</v>
      </c>
      <c r="AG418" s="155" t="s">
        <v>247</v>
      </c>
    </row>
    <row r="419" spans="25:33">
      <c r="Y419" s="47">
        <v>2388</v>
      </c>
      <c r="Z419" s="52" t="s">
        <v>410</v>
      </c>
      <c r="AA419" s="52">
        <v>4</v>
      </c>
      <c r="AB419" s="52">
        <v>3</v>
      </c>
      <c r="AC419" s="52" t="s">
        <v>247</v>
      </c>
      <c r="AD419" s="52" t="s">
        <v>2</v>
      </c>
      <c r="AE419" s="52" t="s">
        <v>372</v>
      </c>
      <c r="AF419" s="155" t="s">
        <v>247</v>
      </c>
      <c r="AG419" s="155" t="s">
        <v>247</v>
      </c>
    </row>
    <row r="420" spans="25:33">
      <c r="Y420" s="47">
        <v>2389</v>
      </c>
      <c r="Z420" s="52" t="s">
        <v>410</v>
      </c>
      <c r="AA420" s="52" t="s">
        <v>247</v>
      </c>
      <c r="AB420" s="52">
        <v>3</v>
      </c>
      <c r="AC420" s="52" t="s">
        <v>247</v>
      </c>
      <c r="AD420" s="52" t="s">
        <v>2</v>
      </c>
      <c r="AE420" s="52" t="s">
        <v>372</v>
      </c>
      <c r="AF420" s="155" t="s">
        <v>247</v>
      </c>
      <c r="AG420" s="155" t="s">
        <v>247</v>
      </c>
    </row>
    <row r="421" spans="25:33">
      <c r="Y421" s="47">
        <v>2390</v>
      </c>
      <c r="Z421" s="52" t="s">
        <v>410</v>
      </c>
      <c r="AA421" s="52">
        <v>4</v>
      </c>
      <c r="AB421" s="52">
        <v>3</v>
      </c>
      <c r="AC421" s="52" t="s">
        <v>247</v>
      </c>
      <c r="AD421" s="52" t="s">
        <v>2</v>
      </c>
      <c r="AE421" s="52" t="s">
        <v>372</v>
      </c>
      <c r="AF421" s="155" t="s">
        <v>247</v>
      </c>
      <c r="AG421" s="155" t="s">
        <v>247</v>
      </c>
    </row>
    <row r="422" spans="25:33">
      <c r="Y422" s="47">
        <v>2391</v>
      </c>
      <c r="Z422" s="52" t="s">
        <v>410</v>
      </c>
      <c r="AA422" s="52" t="s">
        <v>247</v>
      </c>
      <c r="AB422" s="52">
        <v>3</v>
      </c>
      <c r="AC422" s="52" t="s">
        <v>247</v>
      </c>
      <c r="AD422" s="52" t="s">
        <v>2</v>
      </c>
      <c r="AE422" s="52" t="s">
        <v>372</v>
      </c>
      <c r="AF422" s="155" t="s">
        <v>247</v>
      </c>
      <c r="AG422" s="155" t="s">
        <v>247</v>
      </c>
    </row>
    <row r="423" spans="25:33">
      <c r="Y423" s="47">
        <v>2392</v>
      </c>
      <c r="Z423" s="52" t="s">
        <v>410</v>
      </c>
      <c r="AA423" s="52" t="s">
        <v>247</v>
      </c>
      <c r="AB423" s="52">
        <v>3</v>
      </c>
      <c r="AC423" s="52" t="s">
        <v>247</v>
      </c>
      <c r="AD423" s="52" t="s">
        <v>2</v>
      </c>
      <c r="AE423" s="52" t="s">
        <v>372</v>
      </c>
      <c r="AF423" s="155" t="s">
        <v>247</v>
      </c>
      <c r="AG423" s="155" t="s">
        <v>247</v>
      </c>
    </row>
    <row r="424" spans="25:33">
      <c r="Y424" s="47">
        <v>2393</v>
      </c>
      <c r="Z424" s="52" t="s">
        <v>410</v>
      </c>
      <c r="AA424" s="52" t="s">
        <v>247</v>
      </c>
      <c r="AB424" s="52">
        <v>3</v>
      </c>
      <c r="AC424" s="52" t="s">
        <v>247</v>
      </c>
      <c r="AD424" s="52" t="s">
        <v>2</v>
      </c>
      <c r="AE424" s="52" t="s">
        <v>372</v>
      </c>
      <c r="AF424" s="155" t="s">
        <v>247</v>
      </c>
      <c r="AG424" s="155" t="s">
        <v>247</v>
      </c>
    </row>
    <row r="425" spans="25:33">
      <c r="Y425" s="47">
        <v>2394</v>
      </c>
      <c r="Z425" s="52" t="s">
        <v>410</v>
      </c>
      <c r="AA425" s="52" t="s">
        <v>247</v>
      </c>
      <c r="AB425" s="52">
        <v>3</v>
      </c>
      <c r="AC425" s="52" t="s">
        <v>247</v>
      </c>
      <c r="AD425" s="52" t="s">
        <v>2</v>
      </c>
      <c r="AE425" s="52" t="s">
        <v>372</v>
      </c>
      <c r="AF425" s="155" t="s">
        <v>247</v>
      </c>
      <c r="AG425" s="155" t="s">
        <v>247</v>
      </c>
    </row>
    <row r="426" spans="25:33">
      <c r="Y426" s="47">
        <v>2395</v>
      </c>
      <c r="Z426" s="52" t="s">
        <v>410</v>
      </c>
      <c r="AA426" s="52">
        <v>4</v>
      </c>
      <c r="AB426" s="52">
        <v>3</v>
      </c>
      <c r="AC426" s="52" t="s">
        <v>247</v>
      </c>
      <c r="AD426" s="52" t="s">
        <v>2</v>
      </c>
      <c r="AE426" s="52" t="s">
        <v>372</v>
      </c>
      <c r="AF426" s="155" t="s">
        <v>247</v>
      </c>
      <c r="AG426" s="155" t="s">
        <v>247</v>
      </c>
    </row>
    <row r="427" spans="25:33">
      <c r="Y427" s="47">
        <v>2396</v>
      </c>
      <c r="Z427" s="52" t="s">
        <v>410</v>
      </c>
      <c r="AA427" s="52">
        <v>4</v>
      </c>
      <c r="AB427" s="52">
        <v>3</v>
      </c>
      <c r="AC427" s="52" t="s">
        <v>247</v>
      </c>
      <c r="AD427" s="52" t="s">
        <v>2</v>
      </c>
      <c r="AE427" s="52" t="s">
        <v>372</v>
      </c>
      <c r="AF427" s="155" t="s">
        <v>247</v>
      </c>
      <c r="AG427" s="155" t="s">
        <v>247</v>
      </c>
    </row>
    <row r="428" spans="25:33">
      <c r="Y428" s="47">
        <v>2397</v>
      </c>
      <c r="Z428" s="52" t="s">
        <v>410</v>
      </c>
      <c r="AA428" s="52">
        <v>4</v>
      </c>
      <c r="AB428" s="52">
        <v>3</v>
      </c>
      <c r="AC428" s="52" t="s">
        <v>247</v>
      </c>
      <c r="AD428" s="52" t="s">
        <v>2</v>
      </c>
      <c r="AE428" s="52" t="s">
        <v>372</v>
      </c>
      <c r="AF428" s="155" t="s">
        <v>247</v>
      </c>
      <c r="AG428" s="155" t="s">
        <v>247</v>
      </c>
    </row>
    <row r="429" spans="25:33">
      <c r="Y429" s="47">
        <v>2398</v>
      </c>
      <c r="Z429" s="52" t="s">
        <v>410</v>
      </c>
      <c r="AA429" s="52">
        <v>4</v>
      </c>
      <c r="AB429" s="52">
        <v>3</v>
      </c>
      <c r="AC429" s="52" t="s">
        <v>247</v>
      </c>
      <c r="AD429" s="52" t="s">
        <v>2</v>
      </c>
      <c r="AE429" s="52" t="s">
        <v>372</v>
      </c>
      <c r="AF429" s="155" t="s">
        <v>247</v>
      </c>
      <c r="AG429" s="155" t="s">
        <v>247</v>
      </c>
    </row>
    <row r="430" spans="25:33">
      <c r="Y430" s="47">
        <v>2399</v>
      </c>
      <c r="Z430" s="52" t="s">
        <v>410</v>
      </c>
      <c r="AA430" s="52">
        <v>4</v>
      </c>
      <c r="AB430" s="52">
        <v>3</v>
      </c>
      <c r="AC430" s="52" t="s">
        <v>247</v>
      </c>
      <c r="AD430" s="52" t="s">
        <v>2</v>
      </c>
      <c r="AE430" s="52" t="s">
        <v>372</v>
      </c>
      <c r="AF430" s="155" t="s">
        <v>247</v>
      </c>
      <c r="AG430" s="155" t="s">
        <v>247</v>
      </c>
    </row>
    <row r="431" spans="25:33">
      <c r="Y431" s="47">
        <v>2400</v>
      </c>
      <c r="Z431" s="52" t="s">
        <v>410</v>
      </c>
      <c r="AA431" s="52">
        <v>4</v>
      </c>
      <c r="AB431" s="52">
        <v>3</v>
      </c>
      <c r="AC431" s="52" t="s">
        <v>247</v>
      </c>
      <c r="AD431" s="52" t="s">
        <v>2</v>
      </c>
      <c r="AE431" s="52" t="s">
        <v>372</v>
      </c>
      <c r="AF431" s="155" t="s">
        <v>247</v>
      </c>
      <c r="AG431" s="155" t="s">
        <v>247</v>
      </c>
    </row>
    <row r="432" spans="25:33">
      <c r="Y432" s="47">
        <v>2401</v>
      </c>
      <c r="Z432" s="52" t="s">
        <v>410</v>
      </c>
      <c r="AA432" s="52">
        <v>4</v>
      </c>
      <c r="AB432" s="52">
        <v>3</v>
      </c>
      <c r="AC432" s="52" t="s">
        <v>247</v>
      </c>
      <c r="AD432" s="52" t="s">
        <v>2</v>
      </c>
      <c r="AE432" s="52" t="s">
        <v>372</v>
      </c>
      <c r="AF432" s="155" t="s">
        <v>247</v>
      </c>
      <c r="AG432" s="155" t="s">
        <v>247</v>
      </c>
    </row>
    <row r="433" spans="25:33">
      <c r="Y433" s="47">
        <v>2402</v>
      </c>
      <c r="Z433" s="52" t="s">
        <v>410</v>
      </c>
      <c r="AA433" s="52">
        <v>4</v>
      </c>
      <c r="AB433" s="52">
        <v>3</v>
      </c>
      <c r="AC433" s="52" t="s">
        <v>247</v>
      </c>
      <c r="AD433" s="52" t="s">
        <v>2</v>
      </c>
      <c r="AE433" s="52" t="s">
        <v>372</v>
      </c>
      <c r="AF433" s="155" t="s">
        <v>247</v>
      </c>
      <c r="AG433" s="155" t="s">
        <v>247</v>
      </c>
    </row>
    <row r="434" spans="25:33">
      <c r="Y434" s="47">
        <v>2403</v>
      </c>
      <c r="Z434" s="52" t="s">
        <v>410</v>
      </c>
      <c r="AA434" s="52">
        <v>7</v>
      </c>
      <c r="AB434" s="52">
        <v>5</v>
      </c>
      <c r="AC434" s="52" t="s">
        <v>247</v>
      </c>
      <c r="AD434" s="52" t="s">
        <v>2</v>
      </c>
      <c r="AE434" s="52" t="s">
        <v>372</v>
      </c>
      <c r="AF434" s="155" t="s">
        <v>247</v>
      </c>
      <c r="AG434" s="155" t="s">
        <v>247</v>
      </c>
    </row>
    <row r="435" spans="25:33">
      <c r="Y435" s="47">
        <v>2404</v>
      </c>
      <c r="Z435" s="52" t="s">
        <v>410</v>
      </c>
      <c r="AA435" s="52">
        <v>7</v>
      </c>
      <c r="AB435" s="52">
        <v>5</v>
      </c>
      <c r="AC435" s="52" t="s">
        <v>247</v>
      </c>
      <c r="AD435" s="52" t="s">
        <v>2</v>
      </c>
      <c r="AE435" s="52" t="s">
        <v>372</v>
      </c>
      <c r="AF435" s="155" t="s">
        <v>247</v>
      </c>
      <c r="AG435" s="155" t="s">
        <v>247</v>
      </c>
    </row>
    <row r="436" spans="25:33">
      <c r="Y436" s="47">
        <v>2405</v>
      </c>
      <c r="Z436" s="52" t="s">
        <v>410</v>
      </c>
      <c r="AA436" s="52">
        <v>3</v>
      </c>
      <c r="AB436" s="52">
        <v>3</v>
      </c>
      <c r="AC436" s="52" t="s">
        <v>247</v>
      </c>
      <c r="AD436" s="52" t="s">
        <v>2</v>
      </c>
      <c r="AE436" s="52" t="s">
        <v>372</v>
      </c>
      <c r="AF436" s="155" t="s">
        <v>247</v>
      </c>
      <c r="AG436" s="155" t="s">
        <v>247</v>
      </c>
    </row>
    <row r="437" spans="25:33">
      <c r="Y437" s="47">
        <v>2406</v>
      </c>
      <c r="Z437" s="52" t="s">
        <v>410</v>
      </c>
      <c r="AA437" s="52">
        <v>4</v>
      </c>
      <c r="AB437" s="52">
        <v>3</v>
      </c>
      <c r="AC437" s="52" t="s">
        <v>247</v>
      </c>
      <c r="AD437" s="52" t="s">
        <v>2</v>
      </c>
      <c r="AE437" s="52" t="s">
        <v>372</v>
      </c>
      <c r="AF437" s="155" t="s">
        <v>247</v>
      </c>
      <c r="AG437" s="155" t="s">
        <v>247</v>
      </c>
    </row>
    <row r="438" spans="25:33">
      <c r="Y438" s="47">
        <v>2407</v>
      </c>
      <c r="Z438" s="52" t="s">
        <v>410</v>
      </c>
      <c r="AA438" s="52" t="s">
        <v>247</v>
      </c>
      <c r="AB438" s="52">
        <v>3</v>
      </c>
      <c r="AC438" s="52" t="s">
        <v>247</v>
      </c>
      <c r="AD438" s="52" t="s">
        <v>2</v>
      </c>
      <c r="AE438" s="52" t="s">
        <v>372</v>
      </c>
      <c r="AF438" s="155" t="s">
        <v>247</v>
      </c>
      <c r="AG438" s="155" t="s">
        <v>247</v>
      </c>
    </row>
    <row r="439" spans="25:33">
      <c r="Y439" s="47">
        <v>2408</v>
      </c>
      <c r="Z439" s="52" t="s">
        <v>410</v>
      </c>
      <c r="AA439" s="52">
        <v>4</v>
      </c>
      <c r="AB439" s="52">
        <v>3</v>
      </c>
      <c r="AC439" s="52" t="s">
        <v>247</v>
      </c>
      <c r="AD439" s="52" t="s">
        <v>2</v>
      </c>
      <c r="AE439" s="52" t="s">
        <v>372</v>
      </c>
      <c r="AF439" s="155" t="s">
        <v>247</v>
      </c>
      <c r="AG439" s="155" t="s">
        <v>247</v>
      </c>
    </row>
    <row r="440" spans="25:33">
      <c r="Y440" s="47">
        <v>2409</v>
      </c>
      <c r="Z440" s="52" t="s">
        <v>410</v>
      </c>
      <c r="AA440" s="52">
        <v>4</v>
      </c>
      <c r="AB440" s="52">
        <v>3</v>
      </c>
      <c r="AC440" s="52" t="s">
        <v>247</v>
      </c>
      <c r="AD440" s="52" t="s">
        <v>2</v>
      </c>
      <c r="AE440" s="52" t="s">
        <v>372</v>
      </c>
      <c r="AF440" s="155" t="s">
        <v>247</v>
      </c>
      <c r="AG440" s="155" t="s">
        <v>247</v>
      </c>
    </row>
    <row r="441" spans="25:33">
      <c r="Y441" s="47">
        <v>2410</v>
      </c>
      <c r="Z441" s="52" t="s">
        <v>410</v>
      </c>
      <c r="AA441" s="52">
        <v>4</v>
      </c>
      <c r="AB441" s="52">
        <v>3</v>
      </c>
      <c r="AC441" s="52" t="s">
        <v>247</v>
      </c>
      <c r="AD441" s="52" t="s">
        <v>2</v>
      </c>
      <c r="AE441" s="52" t="s">
        <v>372</v>
      </c>
      <c r="AF441" s="155" t="s">
        <v>247</v>
      </c>
      <c r="AG441" s="155" t="s">
        <v>247</v>
      </c>
    </row>
    <row r="442" spans="25:33">
      <c r="Y442" s="47">
        <v>2411</v>
      </c>
      <c r="Z442" s="52" t="s">
        <v>410</v>
      </c>
      <c r="AA442" s="52">
        <v>4</v>
      </c>
      <c r="AB442" s="52">
        <v>3</v>
      </c>
      <c r="AC442" s="52" t="s">
        <v>247</v>
      </c>
      <c r="AD442" s="52" t="s">
        <v>2</v>
      </c>
      <c r="AE442" s="52" t="s">
        <v>372</v>
      </c>
      <c r="AF442" s="155" t="s">
        <v>247</v>
      </c>
      <c r="AG442" s="155" t="s">
        <v>247</v>
      </c>
    </row>
    <row r="443" spans="25:33">
      <c r="Y443" s="47">
        <v>2412</v>
      </c>
      <c r="Z443" s="52" t="s">
        <v>410</v>
      </c>
      <c r="AA443" s="52" t="s">
        <v>247</v>
      </c>
      <c r="AB443" s="52">
        <v>3</v>
      </c>
      <c r="AC443" s="52" t="s">
        <v>247</v>
      </c>
      <c r="AD443" s="52" t="s">
        <v>2</v>
      </c>
      <c r="AE443" s="52" t="s">
        <v>372</v>
      </c>
      <c r="AF443" s="155" t="s">
        <v>247</v>
      </c>
      <c r="AG443" s="155" t="s">
        <v>247</v>
      </c>
    </row>
    <row r="444" spans="25:33">
      <c r="Y444" s="47">
        <v>2413</v>
      </c>
      <c r="Z444" s="52" t="s">
        <v>410</v>
      </c>
      <c r="AA444" s="52" t="s">
        <v>247</v>
      </c>
      <c r="AB444" s="52">
        <v>3</v>
      </c>
      <c r="AC444" s="52" t="s">
        <v>247</v>
      </c>
      <c r="AD444" s="52" t="s">
        <v>2</v>
      </c>
      <c r="AE444" s="52" t="s">
        <v>372</v>
      </c>
      <c r="AF444" s="155" t="s">
        <v>247</v>
      </c>
      <c r="AG444" s="155" t="s">
        <v>247</v>
      </c>
    </row>
    <row r="445" spans="25:33">
      <c r="Y445" s="47">
        <v>2414</v>
      </c>
      <c r="Z445" s="52" t="s">
        <v>410</v>
      </c>
      <c r="AA445" s="52" t="s">
        <v>247</v>
      </c>
      <c r="AB445" s="52">
        <v>3</v>
      </c>
      <c r="AC445" s="52" t="s">
        <v>247</v>
      </c>
      <c r="AD445" s="52" t="s">
        <v>2</v>
      </c>
      <c r="AE445" s="52" t="s">
        <v>372</v>
      </c>
      <c r="AF445" s="155" t="s">
        <v>247</v>
      </c>
      <c r="AG445" s="155" t="s">
        <v>247</v>
      </c>
    </row>
    <row r="446" spans="25:33">
      <c r="Y446" s="47">
        <v>2415</v>
      </c>
      <c r="Z446" s="52" t="s">
        <v>410</v>
      </c>
      <c r="AA446" s="52">
        <v>6</v>
      </c>
      <c r="AB446" s="52">
        <v>3</v>
      </c>
      <c r="AC446" s="52" t="s">
        <v>247</v>
      </c>
      <c r="AD446" s="52" t="s">
        <v>2</v>
      </c>
      <c r="AE446" s="52" t="s">
        <v>372</v>
      </c>
      <c r="AF446" s="155" t="s">
        <v>247</v>
      </c>
      <c r="AG446" s="155" t="s">
        <v>247</v>
      </c>
    </row>
    <row r="447" spans="25:33">
      <c r="Y447" s="47">
        <v>2416</v>
      </c>
      <c r="Z447" s="52" t="s">
        <v>410</v>
      </c>
      <c r="AA447" s="52" t="s">
        <v>247</v>
      </c>
      <c r="AB447" s="52">
        <v>3</v>
      </c>
      <c r="AC447" s="52" t="s">
        <v>247</v>
      </c>
      <c r="AD447" s="52" t="s">
        <v>2</v>
      </c>
      <c r="AE447" s="52" t="s">
        <v>372</v>
      </c>
      <c r="AF447" s="155" t="s">
        <v>247</v>
      </c>
      <c r="AG447" s="155" t="s">
        <v>247</v>
      </c>
    </row>
    <row r="448" spans="25:33">
      <c r="Y448" s="47">
        <v>2417</v>
      </c>
      <c r="Z448" s="52" t="s">
        <v>410</v>
      </c>
      <c r="AA448" s="52" t="s">
        <v>247</v>
      </c>
      <c r="AB448" s="52">
        <v>3</v>
      </c>
      <c r="AC448" s="52" t="s">
        <v>247</v>
      </c>
      <c r="AD448" s="52" t="s">
        <v>2</v>
      </c>
      <c r="AE448" s="52" t="s">
        <v>372</v>
      </c>
      <c r="AF448" s="155" t="s">
        <v>247</v>
      </c>
      <c r="AG448" s="155" t="s">
        <v>247</v>
      </c>
    </row>
    <row r="449" spans="25:33">
      <c r="Y449" s="47">
        <v>2418</v>
      </c>
      <c r="Z449" s="52" t="s">
        <v>410</v>
      </c>
      <c r="AA449" s="52" t="s">
        <v>247</v>
      </c>
      <c r="AB449" s="52">
        <v>3</v>
      </c>
      <c r="AC449" s="52" t="s">
        <v>247</v>
      </c>
      <c r="AD449" s="52" t="s">
        <v>2</v>
      </c>
      <c r="AE449" s="52" t="s">
        <v>372</v>
      </c>
      <c r="AF449" s="155" t="s">
        <v>247</v>
      </c>
      <c r="AG449" s="155" t="s">
        <v>247</v>
      </c>
    </row>
    <row r="450" spans="25:33">
      <c r="Y450" s="47">
        <v>2419</v>
      </c>
      <c r="Z450" s="52" t="s">
        <v>410</v>
      </c>
      <c r="AA450" s="52" t="s">
        <v>247</v>
      </c>
      <c r="AB450" s="52">
        <v>3</v>
      </c>
      <c r="AC450" s="52" t="s">
        <v>247</v>
      </c>
      <c r="AD450" s="52" t="s">
        <v>2</v>
      </c>
      <c r="AE450" s="52" t="s">
        <v>372</v>
      </c>
      <c r="AF450" s="155" t="s">
        <v>247</v>
      </c>
      <c r="AG450" s="155" t="s">
        <v>247</v>
      </c>
    </row>
    <row r="451" spans="25:33">
      <c r="Y451" s="47">
        <v>2420</v>
      </c>
      <c r="Z451" s="52" t="s">
        <v>410</v>
      </c>
      <c r="AA451" s="52">
        <v>6</v>
      </c>
      <c r="AB451" s="52">
        <v>3</v>
      </c>
      <c r="AC451" s="52" t="s">
        <v>247</v>
      </c>
      <c r="AD451" s="52" t="s">
        <v>2</v>
      </c>
      <c r="AE451" s="52" t="s">
        <v>372</v>
      </c>
      <c r="AF451" s="155" t="s">
        <v>247</v>
      </c>
      <c r="AG451" s="155" t="s">
        <v>247</v>
      </c>
    </row>
    <row r="452" spans="25:33">
      <c r="Y452" s="47">
        <v>2421</v>
      </c>
      <c r="Z452" s="52" t="s">
        <v>410</v>
      </c>
      <c r="AA452" s="52">
        <v>6</v>
      </c>
      <c r="AB452" s="52">
        <v>3</v>
      </c>
      <c r="AC452" s="52" t="s">
        <v>247</v>
      </c>
      <c r="AD452" s="52" t="s">
        <v>2</v>
      </c>
      <c r="AE452" s="52" t="s">
        <v>372</v>
      </c>
      <c r="AF452" s="155" t="s">
        <v>247</v>
      </c>
      <c r="AG452" s="155" t="s">
        <v>247</v>
      </c>
    </row>
    <row r="453" spans="25:33">
      <c r="Y453" s="47">
        <v>2422</v>
      </c>
      <c r="Z453" s="52" t="s">
        <v>410</v>
      </c>
      <c r="AA453" s="52">
        <v>6</v>
      </c>
      <c r="AB453" s="52">
        <v>3</v>
      </c>
      <c r="AC453" s="52" t="s">
        <v>247</v>
      </c>
      <c r="AD453" s="52" t="s">
        <v>2</v>
      </c>
      <c r="AE453" s="52" t="s">
        <v>372</v>
      </c>
      <c r="AF453" s="155" t="s">
        <v>247</v>
      </c>
      <c r="AG453" s="155" t="s">
        <v>247</v>
      </c>
    </row>
    <row r="454" spans="25:33">
      <c r="Y454" s="47">
        <v>2423</v>
      </c>
      <c r="Z454" s="52" t="s">
        <v>410</v>
      </c>
      <c r="AA454" s="52">
        <v>2</v>
      </c>
      <c r="AB454" s="52">
        <v>3</v>
      </c>
      <c r="AC454" s="52" t="s">
        <v>247</v>
      </c>
      <c r="AD454" s="52" t="s">
        <v>2</v>
      </c>
      <c r="AE454" s="52" t="s">
        <v>372</v>
      </c>
      <c r="AF454" s="155" t="s">
        <v>247</v>
      </c>
      <c r="AG454" s="155" t="s">
        <v>247</v>
      </c>
    </row>
    <row r="455" spans="25:33">
      <c r="Y455" s="47">
        <v>2424</v>
      </c>
      <c r="Z455" s="52" t="s">
        <v>410</v>
      </c>
      <c r="AA455" s="52">
        <v>6</v>
      </c>
      <c r="AB455" s="52">
        <v>3</v>
      </c>
      <c r="AC455" s="52" t="s">
        <v>247</v>
      </c>
      <c r="AD455" s="52" t="s">
        <v>2</v>
      </c>
      <c r="AE455" s="52" t="s">
        <v>372</v>
      </c>
      <c r="AF455" s="155" t="s">
        <v>247</v>
      </c>
      <c r="AG455" s="155" t="s">
        <v>247</v>
      </c>
    </row>
    <row r="456" spans="25:33">
      <c r="Y456" s="47">
        <v>2425</v>
      </c>
      <c r="Z456" s="52" t="s">
        <v>410</v>
      </c>
      <c r="AA456" s="52">
        <v>6</v>
      </c>
      <c r="AB456" s="52">
        <v>3</v>
      </c>
      <c r="AC456" s="52" t="s">
        <v>247</v>
      </c>
      <c r="AD456" s="52" t="s">
        <v>2</v>
      </c>
      <c r="AE456" s="52" t="s">
        <v>372</v>
      </c>
      <c r="AF456" s="155" t="s">
        <v>247</v>
      </c>
      <c r="AG456" s="155" t="s">
        <v>247</v>
      </c>
    </row>
    <row r="457" spans="25:33">
      <c r="Y457" s="47">
        <v>2426</v>
      </c>
      <c r="Z457" s="52" t="s">
        <v>410</v>
      </c>
      <c r="AA457" s="52">
        <v>5</v>
      </c>
      <c r="AB457" s="52">
        <v>3</v>
      </c>
      <c r="AC457" s="52" t="s">
        <v>247</v>
      </c>
      <c r="AD457" s="52" t="s">
        <v>2</v>
      </c>
      <c r="AE457" s="52" t="s">
        <v>372</v>
      </c>
      <c r="AF457" s="155" t="s">
        <v>247</v>
      </c>
      <c r="AG457" s="155" t="s">
        <v>247</v>
      </c>
    </row>
    <row r="458" spans="25:33">
      <c r="Y458" s="47">
        <v>2427</v>
      </c>
      <c r="Z458" s="52" t="s">
        <v>410</v>
      </c>
      <c r="AA458" s="52">
        <v>5</v>
      </c>
      <c r="AB458" s="52">
        <v>3</v>
      </c>
      <c r="AC458" s="52" t="s">
        <v>247</v>
      </c>
      <c r="AD458" s="52" t="s">
        <v>2</v>
      </c>
      <c r="AE458" s="52" t="s">
        <v>372</v>
      </c>
      <c r="AF458" s="155" t="s">
        <v>247</v>
      </c>
      <c r="AG458" s="155" t="s">
        <v>247</v>
      </c>
    </row>
    <row r="459" spans="25:33">
      <c r="Y459" s="47">
        <v>2428</v>
      </c>
      <c r="Z459" s="52" t="s">
        <v>410</v>
      </c>
      <c r="AA459" s="52">
        <v>5</v>
      </c>
      <c r="AB459" s="52">
        <v>3</v>
      </c>
      <c r="AC459" s="52" t="s">
        <v>247</v>
      </c>
      <c r="AD459" s="52" t="s">
        <v>2</v>
      </c>
      <c r="AE459" s="52" t="s">
        <v>372</v>
      </c>
      <c r="AF459" s="155" t="s">
        <v>247</v>
      </c>
      <c r="AG459" s="155" t="s">
        <v>247</v>
      </c>
    </row>
    <row r="460" spans="25:33">
      <c r="Y460" s="47">
        <v>2429</v>
      </c>
      <c r="Z460" s="52" t="s">
        <v>410</v>
      </c>
      <c r="AA460" s="52">
        <v>5</v>
      </c>
      <c r="AB460" s="52">
        <v>3</v>
      </c>
      <c r="AC460" s="52" t="s">
        <v>247</v>
      </c>
      <c r="AD460" s="52" t="s">
        <v>2</v>
      </c>
      <c r="AE460" s="52" t="s">
        <v>372</v>
      </c>
      <c r="AF460" s="155" t="s">
        <v>247</v>
      </c>
      <c r="AG460" s="155" t="s">
        <v>247</v>
      </c>
    </row>
    <row r="461" spans="25:33">
      <c r="Y461" s="47">
        <v>2430</v>
      </c>
      <c r="Z461" s="52" t="s">
        <v>410</v>
      </c>
      <c r="AA461" s="52">
        <v>5</v>
      </c>
      <c r="AB461" s="52">
        <v>3</v>
      </c>
      <c r="AC461" s="52" t="s">
        <v>247</v>
      </c>
      <c r="AD461" s="52" t="s">
        <v>2</v>
      </c>
      <c r="AE461" s="52" t="s">
        <v>372</v>
      </c>
      <c r="AF461" s="155" t="s">
        <v>247</v>
      </c>
      <c r="AG461" s="155" t="s">
        <v>247</v>
      </c>
    </row>
    <row r="462" spans="25:33">
      <c r="Y462" s="47">
        <v>2431</v>
      </c>
      <c r="Z462" s="52" t="s">
        <v>410</v>
      </c>
      <c r="AA462" s="52">
        <v>2</v>
      </c>
      <c r="AB462" s="52">
        <v>3</v>
      </c>
      <c r="AC462" s="52" t="s">
        <v>247</v>
      </c>
      <c r="AD462" s="52" t="s">
        <v>2</v>
      </c>
      <c r="AE462" s="52" t="s">
        <v>372</v>
      </c>
      <c r="AF462" s="155" t="s">
        <v>247</v>
      </c>
      <c r="AG462" s="155" t="s">
        <v>247</v>
      </c>
    </row>
    <row r="463" spans="25:33">
      <c r="Y463" s="47">
        <v>2432</v>
      </c>
      <c r="Z463" s="52" t="s">
        <v>410</v>
      </c>
      <c r="AA463" s="52" t="s">
        <v>247</v>
      </c>
      <c r="AB463" s="52">
        <v>3</v>
      </c>
      <c r="AC463" s="52" t="s">
        <v>247</v>
      </c>
      <c r="AD463" s="52" t="s">
        <v>2</v>
      </c>
      <c r="AE463" s="52" t="s">
        <v>372</v>
      </c>
      <c r="AF463" s="155" t="s">
        <v>247</v>
      </c>
      <c r="AG463" s="155" t="s">
        <v>247</v>
      </c>
    </row>
    <row r="464" spans="25:33">
      <c r="Y464" s="47">
        <v>2433</v>
      </c>
      <c r="Z464" s="52" t="s">
        <v>410</v>
      </c>
      <c r="AA464" s="52" t="s">
        <v>247</v>
      </c>
      <c r="AB464" s="52">
        <v>3</v>
      </c>
      <c r="AC464" s="52" t="s">
        <v>247</v>
      </c>
      <c r="AD464" s="52" t="s">
        <v>2</v>
      </c>
      <c r="AE464" s="52" t="s">
        <v>372</v>
      </c>
      <c r="AF464" s="155" t="s">
        <v>247</v>
      </c>
      <c r="AG464" s="155" t="s">
        <v>247</v>
      </c>
    </row>
    <row r="465" spans="25:33">
      <c r="Y465" s="47">
        <v>2434</v>
      </c>
      <c r="Z465" s="52" t="s">
        <v>410</v>
      </c>
      <c r="AA465" s="52" t="s">
        <v>247</v>
      </c>
      <c r="AB465" s="52">
        <v>3</v>
      </c>
      <c r="AC465" s="52" t="s">
        <v>247</v>
      </c>
      <c r="AD465" s="52" t="s">
        <v>2</v>
      </c>
      <c r="AE465" s="52" t="s">
        <v>372</v>
      </c>
      <c r="AF465" s="155" t="s">
        <v>247</v>
      </c>
      <c r="AG465" s="155" t="s">
        <v>247</v>
      </c>
    </row>
    <row r="466" spans="25:33">
      <c r="Y466" s="47">
        <v>2435</v>
      </c>
      <c r="Z466" s="52" t="s">
        <v>410</v>
      </c>
      <c r="AA466" s="52" t="s">
        <v>247</v>
      </c>
      <c r="AB466" s="52">
        <v>3</v>
      </c>
      <c r="AC466" s="52" t="s">
        <v>247</v>
      </c>
      <c r="AD466" s="52" t="s">
        <v>2</v>
      </c>
      <c r="AE466" s="52" t="s">
        <v>372</v>
      </c>
      <c r="AF466" s="155" t="s">
        <v>247</v>
      </c>
      <c r="AG466" s="155" t="s">
        <v>247</v>
      </c>
    </row>
    <row r="467" spans="25:33">
      <c r="Y467" s="47">
        <v>2436</v>
      </c>
      <c r="Z467" s="52" t="s">
        <v>410</v>
      </c>
      <c r="AA467" s="52" t="s">
        <v>247</v>
      </c>
      <c r="AB467" s="52">
        <v>3</v>
      </c>
      <c r="AC467" s="52" t="s">
        <v>247</v>
      </c>
      <c r="AD467" s="52" t="s">
        <v>2</v>
      </c>
      <c r="AE467" s="52" t="s">
        <v>372</v>
      </c>
      <c r="AF467" s="155" t="s">
        <v>247</v>
      </c>
      <c r="AG467" s="155" t="s">
        <v>247</v>
      </c>
    </row>
    <row r="468" spans="25:33">
      <c r="Y468" s="47">
        <v>2437</v>
      </c>
      <c r="Z468" s="52" t="s">
        <v>410</v>
      </c>
      <c r="AA468" s="52" t="s">
        <v>247</v>
      </c>
      <c r="AB468" s="52">
        <v>3</v>
      </c>
      <c r="AC468" s="52" t="s">
        <v>247</v>
      </c>
      <c r="AD468" s="52" t="s">
        <v>2</v>
      </c>
      <c r="AE468" s="52" t="s">
        <v>372</v>
      </c>
      <c r="AF468" s="155" t="s">
        <v>247</v>
      </c>
      <c r="AG468" s="155" t="s">
        <v>247</v>
      </c>
    </row>
    <row r="469" spans="25:33">
      <c r="Y469" s="47">
        <v>2438</v>
      </c>
      <c r="Z469" s="52" t="s">
        <v>410</v>
      </c>
      <c r="AA469" s="52" t="s">
        <v>247</v>
      </c>
      <c r="AB469" s="52">
        <v>3</v>
      </c>
      <c r="AC469" s="52" t="s">
        <v>247</v>
      </c>
      <c r="AD469" s="52" t="s">
        <v>2</v>
      </c>
      <c r="AE469" s="52" t="s">
        <v>372</v>
      </c>
      <c r="AF469" s="155" t="s">
        <v>247</v>
      </c>
      <c r="AG469" s="155" t="s">
        <v>247</v>
      </c>
    </row>
    <row r="470" spans="25:33">
      <c r="Y470" s="47">
        <v>2439</v>
      </c>
      <c r="Z470" s="52" t="s">
        <v>410</v>
      </c>
      <c r="AA470" s="52">
        <v>5</v>
      </c>
      <c r="AB470" s="52">
        <v>3</v>
      </c>
      <c r="AC470" s="52" t="s">
        <v>247</v>
      </c>
      <c r="AD470" s="52" t="s">
        <v>2</v>
      </c>
      <c r="AE470" s="52" t="s">
        <v>372</v>
      </c>
      <c r="AF470" s="155" t="s">
        <v>247</v>
      </c>
      <c r="AG470" s="155" t="s">
        <v>247</v>
      </c>
    </row>
    <row r="471" spans="25:33">
      <c r="Y471" s="47">
        <v>2440</v>
      </c>
      <c r="Z471" s="52" t="s">
        <v>410</v>
      </c>
      <c r="AA471" s="52">
        <v>2</v>
      </c>
      <c r="AB471" s="52">
        <v>3</v>
      </c>
      <c r="AC471" s="52" t="s">
        <v>247</v>
      </c>
      <c r="AD471" s="52" t="s">
        <v>2</v>
      </c>
      <c r="AE471" s="52" t="s">
        <v>372</v>
      </c>
      <c r="AF471" s="155" t="s">
        <v>247</v>
      </c>
      <c r="AG471" s="155" t="s">
        <v>247</v>
      </c>
    </row>
    <row r="472" spans="25:33">
      <c r="Y472" s="47">
        <v>2441</v>
      </c>
      <c r="Z472" s="52" t="s">
        <v>410</v>
      </c>
      <c r="AA472" s="52">
        <v>2</v>
      </c>
      <c r="AB472" s="52">
        <v>3</v>
      </c>
      <c r="AC472" s="52" t="s">
        <v>247</v>
      </c>
      <c r="AD472" s="52" t="s">
        <v>2</v>
      </c>
      <c r="AE472" s="52" t="s">
        <v>372</v>
      </c>
      <c r="AF472" s="155" t="s">
        <v>247</v>
      </c>
      <c r="AG472" s="155" t="s">
        <v>247</v>
      </c>
    </row>
    <row r="473" spans="25:33">
      <c r="Y473" s="47">
        <v>2442</v>
      </c>
      <c r="Z473" s="52" t="s">
        <v>410</v>
      </c>
      <c r="AA473" s="52" t="s">
        <v>247</v>
      </c>
      <c r="AB473" s="52">
        <v>3</v>
      </c>
      <c r="AC473" s="52" t="s">
        <v>247</v>
      </c>
      <c r="AD473" s="52" t="s">
        <v>2</v>
      </c>
      <c r="AE473" s="52" t="s">
        <v>372</v>
      </c>
      <c r="AF473" s="155" t="s">
        <v>247</v>
      </c>
      <c r="AG473" s="155" t="s">
        <v>247</v>
      </c>
    </row>
    <row r="474" spans="25:33">
      <c r="Y474" s="47">
        <v>2443</v>
      </c>
      <c r="Z474" s="52" t="s">
        <v>410</v>
      </c>
      <c r="AA474" s="52">
        <v>5</v>
      </c>
      <c r="AB474" s="52">
        <v>3</v>
      </c>
      <c r="AC474" s="52" t="s">
        <v>247</v>
      </c>
      <c r="AD474" s="52" t="s">
        <v>2</v>
      </c>
      <c r="AE474" s="52" t="s">
        <v>372</v>
      </c>
      <c r="AF474" s="155" t="s">
        <v>247</v>
      </c>
      <c r="AG474" s="155" t="s">
        <v>247</v>
      </c>
    </row>
    <row r="475" spans="25:33">
      <c r="Y475" s="47">
        <v>2444</v>
      </c>
      <c r="Z475" s="52" t="s">
        <v>410</v>
      </c>
      <c r="AA475" s="52">
        <v>5</v>
      </c>
      <c r="AB475" s="52">
        <v>3</v>
      </c>
      <c r="AC475" s="52" t="s">
        <v>247</v>
      </c>
      <c r="AD475" s="52" t="s">
        <v>2</v>
      </c>
      <c r="AE475" s="52" t="s">
        <v>372</v>
      </c>
      <c r="AF475" s="155" t="s">
        <v>247</v>
      </c>
      <c r="AG475" s="155" t="s">
        <v>247</v>
      </c>
    </row>
    <row r="476" spans="25:33">
      <c r="Y476" s="47">
        <v>2445</v>
      </c>
      <c r="Z476" s="52" t="s">
        <v>410</v>
      </c>
      <c r="AA476" s="52">
        <v>5</v>
      </c>
      <c r="AB476" s="52">
        <v>3</v>
      </c>
      <c r="AC476" s="52" t="s">
        <v>247</v>
      </c>
      <c r="AD476" s="52" t="s">
        <v>2</v>
      </c>
      <c r="AE476" s="52" t="s">
        <v>372</v>
      </c>
      <c r="AF476" s="155" t="s">
        <v>247</v>
      </c>
      <c r="AG476" s="155" t="s">
        <v>247</v>
      </c>
    </row>
    <row r="477" spans="25:33">
      <c r="Y477" s="47">
        <v>2446</v>
      </c>
      <c r="Z477" s="52" t="s">
        <v>410</v>
      </c>
      <c r="AA477" s="52">
        <v>5</v>
      </c>
      <c r="AB477" s="52">
        <v>3</v>
      </c>
      <c r="AC477" s="52" t="s">
        <v>247</v>
      </c>
      <c r="AD477" s="52" t="s">
        <v>2</v>
      </c>
      <c r="AE477" s="52" t="s">
        <v>372</v>
      </c>
      <c r="AF477" s="155" t="s">
        <v>247</v>
      </c>
      <c r="AG477" s="155" t="s">
        <v>247</v>
      </c>
    </row>
    <row r="478" spans="25:33">
      <c r="Y478" s="47">
        <v>2447</v>
      </c>
      <c r="Z478" s="52" t="s">
        <v>410</v>
      </c>
      <c r="AA478" s="52">
        <v>2</v>
      </c>
      <c r="AB478" s="52">
        <v>3</v>
      </c>
      <c r="AC478" s="52" t="s">
        <v>247</v>
      </c>
      <c r="AD478" s="52" t="s">
        <v>2</v>
      </c>
      <c r="AE478" s="52" t="s">
        <v>372</v>
      </c>
      <c r="AF478" s="155" t="s">
        <v>247</v>
      </c>
      <c r="AG478" s="155" t="s">
        <v>247</v>
      </c>
    </row>
    <row r="479" spans="25:33">
      <c r="Y479" s="47">
        <v>2448</v>
      </c>
      <c r="Z479" s="52" t="s">
        <v>410</v>
      </c>
      <c r="AA479" s="52">
        <v>2</v>
      </c>
      <c r="AB479" s="52">
        <v>3</v>
      </c>
      <c r="AC479" s="52" t="s">
        <v>247</v>
      </c>
      <c r="AD479" s="52" t="s">
        <v>2</v>
      </c>
      <c r="AE479" s="52" t="s">
        <v>372</v>
      </c>
      <c r="AF479" s="155" t="s">
        <v>247</v>
      </c>
      <c r="AG479" s="155" t="s">
        <v>247</v>
      </c>
    </row>
    <row r="480" spans="25:33">
      <c r="Y480" s="47">
        <v>2449</v>
      </c>
      <c r="Z480" s="52" t="s">
        <v>410</v>
      </c>
      <c r="AA480" s="52">
        <v>2</v>
      </c>
      <c r="AB480" s="52">
        <v>3</v>
      </c>
      <c r="AC480" s="52" t="s">
        <v>247</v>
      </c>
      <c r="AD480" s="52" t="s">
        <v>2</v>
      </c>
      <c r="AE480" s="52" t="s">
        <v>372</v>
      </c>
      <c r="AF480" s="155" t="s">
        <v>247</v>
      </c>
      <c r="AG480" s="155" t="s">
        <v>247</v>
      </c>
    </row>
    <row r="481" spans="25:33">
      <c r="Y481" s="47">
        <v>2450</v>
      </c>
      <c r="Z481" s="52" t="s">
        <v>410</v>
      </c>
      <c r="AA481" s="52">
        <v>2</v>
      </c>
      <c r="AB481" s="52">
        <v>3</v>
      </c>
      <c r="AC481" s="52" t="s">
        <v>247</v>
      </c>
      <c r="AD481" s="52" t="s">
        <v>2</v>
      </c>
      <c r="AE481" s="52" t="s">
        <v>372</v>
      </c>
      <c r="AF481" s="155" t="s">
        <v>247</v>
      </c>
      <c r="AG481" s="155" t="s">
        <v>247</v>
      </c>
    </row>
    <row r="482" spans="25:33">
      <c r="Y482" s="47">
        <v>2451</v>
      </c>
      <c r="Z482" s="52" t="s">
        <v>410</v>
      </c>
      <c r="AA482" s="52" t="s">
        <v>247</v>
      </c>
      <c r="AB482" s="52">
        <v>3</v>
      </c>
      <c r="AC482" s="52" t="s">
        <v>247</v>
      </c>
      <c r="AD482" s="52" t="s">
        <v>2</v>
      </c>
      <c r="AE482" s="52" t="s">
        <v>372</v>
      </c>
      <c r="AF482" s="155" t="s">
        <v>247</v>
      </c>
      <c r="AG482" s="155" t="s">
        <v>247</v>
      </c>
    </row>
    <row r="483" spans="25:33">
      <c r="Y483" s="47">
        <v>2452</v>
      </c>
      <c r="Z483" s="52" t="s">
        <v>410</v>
      </c>
      <c r="AA483" s="52">
        <v>2</v>
      </c>
      <c r="AB483" s="52">
        <v>3</v>
      </c>
      <c r="AC483" s="52" t="s">
        <v>247</v>
      </c>
      <c r="AD483" s="52" t="s">
        <v>2</v>
      </c>
      <c r="AE483" s="52" t="s">
        <v>372</v>
      </c>
      <c r="AF483" s="155" t="s">
        <v>247</v>
      </c>
      <c r="AG483" s="155" t="s">
        <v>247</v>
      </c>
    </row>
    <row r="484" spans="25:33">
      <c r="Y484" s="47">
        <v>2453</v>
      </c>
      <c r="Z484" s="52" t="s">
        <v>410</v>
      </c>
      <c r="AA484" s="52">
        <v>7</v>
      </c>
      <c r="AB484" s="52">
        <v>5</v>
      </c>
      <c r="AC484" s="52" t="s">
        <v>247</v>
      </c>
      <c r="AD484" s="52" t="s">
        <v>2</v>
      </c>
      <c r="AE484" s="52" t="s">
        <v>372</v>
      </c>
      <c r="AF484" s="155" t="s">
        <v>247</v>
      </c>
      <c r="AG484" s="155" t="s">
        <v>247</v>
      </c>
    </row>
    <row r="485" spans="25:33">
      <c r="Y485" s="47">
        <v>2454</v>
      </c>
      <c r="Z485" s="52" t="s">
        <v>410</v>
      </c>
      <c r="AA485" s="52">
        <v>2</v>
      </c>
      <c r="AB485" s="52">
        <v>3</v>
      </c>
      <c r="AC485" s="52" t="s">
        <v>247</v>
      </c>
      <c r="AD485" s="52" t="s">
        <v>2</v>
      </c>
      <c r="AE485" s="52" t="s">
        <v>372</v>
      </c>
      <c r="AF485" s="155" t="s">
        <v>247</v>
      </c>
      <c r="AG485" s="155" t="s">
        <v>247</v>
      </c>
    </row>
    <row r="486" spans="25:33">
      <c r="Y486" s="47">
        <v>2455</v>
      </c>
      <c r="Z486" s="52" t="s">
        <v>410</v>
      </c>
      <c r="AA486" s="52">
        <v>2</v>
      </c>
      <c r="AB486" s="52">
        <v>3</v>
      </c>
      <c r="AC486" s="52" t="s">
        <v>247</v>
      </c>
      <c r="AD486" s="52" t="s">
        <v>2</v>
      </c>
      <c r="AE486" s="52" t="s">
        <v>372</v>
      </c>
      <c r="AF486" s="155" t="s">
        <v>247</v>
      </c>
      <c r="AG486" s="155" t="s">
        <v>247</v>
      </c>
    </row>
    <row r="487" spans="25:33">
      <c r="Y487" s="47">
        <v>2456</v>
      </c>
      <c r="Z487" s="52" t="s">
        <v>410</v>
      </c>
      <c r="AA487" s="52">
        <v>2</v>
      </c>
      <c r="AB487" s="52">
        <v>3</v>
      </c>
      <c r="AC487" s="52" t="s">
        <v>247</v>
      </c>
      <c r="AD487" s="52" t="s">
        <v>2</v>
      </c>
      <c r="AE487" s="52" t="s">
        <v>372</v>
      </c>
      <c r="AF487" s="155" t="s">
        <v>247</v>
      </c>
      <c r="AG487" s="155" t="s">
        <v>247</v>
      </c>
    </row>
    <row r="488" spans="25:33">
      <c r="Y488" s="47">
        <v>2457</v>
      </c>
      <c r="Z488" s="52" t="s">
        <v>410</v>
      </c>
      <c r="AA488" s="52" t="s">
        <v>247</v>
      </c>
      <c r="AB488" s="52">
        <v>3</v>
      </c>
      <c r="AC488" s="52" t="s">
        <v>247</v>
      </c>
      <c r="AD488" s="52" t="s">
        <v>2</v>
      </c>
      <c r="AE488" s="52" t="s">
        <v>372</v>
      </c>
      <c r="AF488" s="155" t="s">
        <v>247</v>
      </c>
      <c r="AG488" s="155" t="s">
        <v>247</v>
      </c>
    </row>
    <row r="489" spans="25:33">
      <c r="Y489" s="47">
        <v>2458</v>
      </c>
      <c r="Z489" s="52" t="s">
        <v>410</v>
      </c>
      <c r="AA489" s="52" t="s">
        <v>247</v>
      </c>
      <c r="AB489" s="52">
        <v>3</v>
      </c>
      <c r="AC489" s="52" t="s">
        <v>247</v>
      </c>
      <c r="AD489" s="52" t="s">
        <v>2</v>
      </c>
      <c r="AE489" s="52" t="s">
        <v>372</v>
      </c>
      <c r="AF489" s="155" t="s">
        <v>247</v>
      </c>
      <c r="AG489" s="155" t="s">
        <v>247</v>
      </c>
    </row>
    <row r="490" spans="25:33">
      <c r="Y490" s="47">
        <v>2459</v>
      </c>
      <c r="Z490" s="52" t="s">
        <v>410</v>
      </c>
      <c r="AA490" s="52" t="s">
        <v>247</v>
      </c>
      <c r="AB490" s="52">
        <v>3</v>
      </c>
      <c r="AC490" s="52" t="s">
        <v>247</v>
      </c>
      <c r="AD490" s="52" t="s">
        <v>2</v>
      </c>
      <c r="AE490" s="52" t="s">
        <v>372</v>
      </c>
      <c r="AF490" s="155" t="s">
        <v>247</v>
      </c>
      <c r="AG490" s="155" t="s">
        <v>247</v>
      </c>
    </row>
    <row r="491" spans="25:33">
      <c r="Y491" s="47">
        <v>2460</v>
      </c>
      <c r="Z491" s="52" t="s">
        <v>410</v>
      </c>
      <c r="AA491" s="52">
        <v>2</v>
      </c>
      <c r="AB491" s="52">
        <v>3</v>
      </c>
      <c r="AC491" s="52" t="s">
        <v>247</v>
      </c>
      <c r="AD491" s="52" t="s">
        <v>2</v>
      </c>
      <c r="AE491" s="52" t="s">
        <v>372</v>
      </c>
      <c r="AF491" s="155" t="s">
        <v>247</v>
      </c>
      <c r="AG491" s="155" t="s">
        <v>247</v>
      </c>
    </row>
    <row r="492" spans="25:33">
      <c r="Y492" s="47">
        <v>2461</v>
      </c>
      <c r="Z492" s="52" t="s">
        <v>410</v>
      </c>
      <c r="AA492" s="52" t="s">
        <v>247</v>
      </c>
      <c r="AB492" s="52">
        <v>3</v>
      </c>
      <c r="AC492" s="52" t="s">
        <v>247</v>
      </c>
      <c r="AD492" s="52" t="s">
        <v>2</v>
      </c>
      <c r="AE492" s="52" t="s">
        <v>372</v>
      </c>
      <c r="AF492" s="155" t="s">
        <v>247</v>
      </c>
      <c r="AG492" s="155" t="s">
        <v>247</v>
      </c>
    </row>
    <row r="493" spans="25:33">
      <c r="Y493" s="47">
        <v>2462</v>
      </c>
      <c r="Z493" s="52" t="s">
        <v>410</v>
      </c>
      <c r="AA493" s="52">
        <v>2</v>
      </c>
      <c r="AB493" s="52">
        <v>3</v>
      </c>
      <c r="AC493" s="52" t="s">
        <v>247</v>
      </c>
      <c r="AD493" s="52" t="s">
        <v>2</v>
      </c>
      <c r="AE493" s="52" t="s">
        <v>372</v>
      </c>
      <c r="AF493" s="155" t="s">
        <v>247</v>
      </c>
      <c r="AG493" s="155" t="s">
        <v>247</v>
      </c>
    </row>
    <row r="494" spans="25:33">
      <c r="Y494" s="47">
        <v>2463</v>
      </c>
      <c r="Z494" s="52" t="s">
        <v>410</v>
      </c>
      <c r="AA494" s="52">
        <v>2</v>
      </c>
      <c r="AB494" s="52">
        <v>3</v>
      </c>
      <c r="AC494" s="52" t="s">
        <v>247</v>
      </c>
      <c r="AD494" s="52" t="s">
        <v>2</v>
      </c>
      <c r="AE494" s="52" t="s">
        <v>372</v>
      </c>
      <c r="AF494" s="155" t="s">
        <v>247</v>
      </c>
      <c r="AG494" s="155" t="s">
        <v>247</v>
      </c>
    </row>
    <row r="495" spans="25:33">
      <c r="Y495" s="47">
        <v>2464</v>
      </c>
      <c r="Z495" s="52" t="s">
        <v>410</v>
      </c>
      <c r="AA495" s="52">
        <v>2</v>
      </c>
      <c r="AB495" s="52">
        <v>3</v>
      </c>
      <c r="AC495" s="52" t="s">
        <v>247</v>
      </c>
      <c r="AD495" s="52" t="s">
        <v>2</v>
      </c>
      <c r="AE495" s="52" t="s">
        <v>372</v>
      </c>
      <c r="AF495" s="155" t="s">
        <v>247</v>
      </c>
      <c r="AG495" s="155" t="s">
        <v>247</v>
      </c>
    </row>
    <row r="496" spans="25:33">
      <c r="Y496" s="47">
        <v>2465</v>
      </c>
      <c r="Z496" s="52" t="s">
        <v>410</v>
      </c>
      <c r="AA496" s="52">
        <v>2</v>
      </c>
      <c r="AB496" s="52">
        <v>3</v>
      </c>
      <c r="AC496" s="52" t="s">
        <v>247</v>
      </c>
      <c r="AD496" s="52" t="s">
        <v>2</v>
      </c>
      <c r="AE496" s="52" t="s">
        <v>372</v>
      </c>
      <c r="AF496" s="155" t="s">
        <v>247</v>
      </c>
      <c r="AG496" s="155" t="s">
        <v>247</v>
      </c>
    </row>
    <row r="497" spans="25:33">
      <c r="Y497" s="47">
        <v>2466</v>
      </c>
      <c r="Z497" s="52" t="s">
        <v>410</v>
      </c>
      <c r="AA497" s="52">
        <v>2</v>
      </c>
      <c r="AB497" s="52">
        <v>3</v>
      </c>
      <c r="AC497" s="52" t="s">
        <v>247</v>
      </c>
      <c r="AD497" s="52" t="s">
        <v>2</v>
      </c>
      <c r="AE497" s="52" t="s">
        <v>372</v>
      </c>
      <c r="AF497" s="155" t="s">
        <v>247</v>
      </c>
      <c r="AG497" s="155" t="s">
        <v>247</v>
      </c>
    </row>
    <row r="498" spans="25:33">
      <c r="Y498" s="47">
        <v>2467</v>
      </c>
      <c r="Z498" s="52" t="s">
        <v>410</v>
      </c>
      <c r="AA498" s="52" t="s">
        <v>247</v>
      </c>
      <c r="AB498" s="52">
        <v>3</v>
      </c>
      <c r="AC498" s="52" t="s">
        <v>247</v>
      </c>
      <c r="AD498" s="52" t="s">
        <v>2</v>
      </c>
      <c r="AE498" s="52" t="s">
        <v>372</v>
      </c>
      <c r="AF498" s="155" t="s">
        <v>247</v>
      </c>
      <c r="AG498" s="155" t="s">
        <v>247</v>
      </c>
    </row>
    <row r="499" spans="25:33">
      <c r="Y499" s="47">
        <v>2468</v>
      </c>
      <c r="Z499" s="52" t="s">
        <v>410</v>
      </c>
      <c r="AA499" s="52" t="s">
        <v>247</v>
      </c>
      <c r="AB499" s="52">
        <v>3</v>
      </c>
      <c r="AC499" s="52" t="s">
        <v>247</v>
      </c>
      <c r="AD499" s="52" t="s">
        <v>2</v>
      </c>
      <c r="AE499" s="52" t="s">
        <v>372</v>
      </c>
      <c r="AF499" s="155" t="s">
        <v>247</v>
      </c>
      <c r="AG499" s="155" t="s">
        <v>247</v>
      </c>
    </row>
    <row r="500" spans="25:33">
      <c r="Y500" s="47">
        <v>2469</v>
      </c>
      <c r="Z500" s="52" t="s">
        <v>410</v>
      </c>
      <c r="AA500" s="52">
        <v>2</v>
      </c>
      <c r="AB500" s="52">
        <v>3</v>
      </c>
      <c r="AC500" s="52" t="s">
        <v>247</v>
      </c>
      <c r="AD500" s="52" t="s">
        <v>2</v>
      </c>
      <c r="AE500" s="52" t="s">
        <v>372</v>
      </c>
      <c r="AF500" s="155" t="s">
        <v>247</v>
      </c>
      <c r="AG500" s="155" t="s">
        <v>247</v>
      </c>
    </row>
    <row r="501" spans="25:33">
      <c r="Y501" s="47">
        <v>2470</v>
      </c>
      <c r="Z501" s="52" t="s">
        <v>410</v>
      </c>
      <c r="AA501" s="52">
        <v>2</v>
      </c>
      <c r="AB501" s="52">
        <v>3</v>
      </c>
      <c r="AC501" s="52" t="s">
        <v>247</v>
      </c>
      <c r="AD501" s="52" t="s">
        <v>2</v>
      </c>
      <c r="AE501" s="52" t="s">
        <v>372</v>
      </c>
      <c r="AF501" s="155" t="s">
        <v>247</v>
      </c>
      <c r="AG501" s="155" t="s">
        <v>247</v>
      </c>
    </row>
    <row r="502" spans="25:33">
      <c r="Y502" s="47">
        <v>2471</v>
      </c>
      <c r="Z502" s="52" t="s">
        <v>410</v>
      </c>
      <c r="AA502" s="52">
        <v>2</v>
      </c>
      <c r="AB502" s="52">
        <v>3</v>
      </c>
      <c r="AC502" s="52" t="s">
        <v>247</v>
      </c>
      <c r="AD502" s="52" t="s">
        <v>2</v>
      </c>
      <c r="AE502" s="52" t="s">
        <v>372</v>
      </c>
      <c r="AF502" s="155" t="s">
        <v>247</v>
      </c>
      <c r="AG502" s="155" t="s">
        <v>247</v>
      </c>
    </row>
    <row r="503" spans="25:33">
      <c r="Y503" s="47">
        <v>2472</v>
      </c>
      <c r="Z503" s="52" t="s">
        <v>410</v>
      </c>
      <c r="AA503" s="52">
        <v>2</v>
      </c>
      <c r="AB503" s="52">
        <v>3</v>
      </c>
      <c r="AC503" s="52" t="s">
        <v>247</v>
      </c>
      <c r="AD503" s="52" t="s">
        <v>2</v>
      </c>
      <c r="AE503" s="52" t="s">
        <v>372</v>
      </c>
      <c r="AF503" s="155" t="s">
        <v>247</v>
      </c>
      <c r="AG503" s="155" t="s">
        <v>247</v>
      </c>
    </row>
    <row r="504" spans="25:33">
      <c r="Y504" s="47">
        <v>2473</v>
      </c>
      <c r="Z504" s="52" t="s">
        <v>410</v>
      </c>
      <c r="AA504" s="52">
        <v>2</v>
      </c>
      <c r="AB504" s="52">
        <v>3</v>
      </c>
      <c r="AC504" s="52" t="s">
        <v>247</v>
      </c>
      <c r="AD504" s="52" t="s">
        <v>2</v>
      </c>
      <c r="AE504" s="52" t="s">
        <v>372</v>
      </c>
      <c r="AF504" s="155" t="s">
        <v>247</v>
      </c>
      <c r="AG504" s="155" t="s">
        <v>247</v>
      </c>
    </row>
    <row r="505" spans="25:33">
      <c r="Y505" s="47">
        <v>2474</v>
      </c>
      <c r="Z505" s="52" t="s">
        <v>410</v>
      </c>
      <c r="AA505" s="52">
        <v>2</v>
      </c>
      <c r="AB505" s="52">
        <v>3</v>
      </c>
      <c r="AC505" s="52" t="s">
        <v>247</v>
      </c>
      <c r="AD505" s="52" t="s">
        <v>2</v>
      </c>
      <c r="AE505" s="52" t="s">
        <v>372</v>
      </c>
      <c r="AF505" s="155" t="s">
        <v>247</v>
      </c>
      <c r="AG505" s="155" t="s">
        <v>247</v>
      </c>
    </row>
    <row r="506" spans="25:33">
      <c r="Y506" s="47">
        <v>2475</v>
      </c>
      <c r="Z506" s="52" t="s">
        <v>410</v>
      </c>
      <c r="AA506" s="52">
        <v>2</v>
      </c>
      <c r="AB506" s="52">
        <v>3</v>
      </c>
      <c r="AC506" s="52" t="s">
        <v>247</v>
      </c>
      <c r="AD506" s="52" t="s">
        <v>2</v>
      </c>
      <c r="AE506" s="52" t="s">
        <v>372</v>
      </c>
      <c r="AF506" s="155" t="s">
        <v>247</v>
      </c>
      <c r="AG506" s="155" t="s">
        <v>247</v>
      </c>
    </row>
    <row r="507" spans="25:33">
      <c r="Y507" s="47">
        <v>2476</v>
      </c>
      <c r="Z507" s="52" t="s">
        <v>410</v>
      </c>
      <c r="AA507" s="52">
        <v>7</v>
      </c>
      <c r="AB507" s="52">
        <v>5</v>
      </c>
      <c r="AC507" s="52" t="s">
        <v>247</v>
      </c>
      <c r="AD507" s="52" t="s">
        <v>2</v>
      </c>
      <c r="AE507" s="52" t="s">
        <v>372</v>
      </c>
      <c r="AF507" s="155" t="s">
        <v>247</v>
      </c>
      <c r="AG507" s="155" t="s">
        <v>247</v>
      </c>
    </row>
    <row r="508" spans="25:33">
      <c r="Y508" s="47">
        <v>2477</v>
      </c>
      <c r="Z508" s="52" t="s">
        <v>410</v>
      </c>
      <c r="AA508" s="52">
        <v>2</v>
      </c>
      <c r="AB508" s="52">
        <v>3</v>
      </c>
      <c r="AC508" s="52" t="s">
        <v>247</v>
      </c>
      <c r="AD508" s="52" t="s">
        <v>2</v>
      </c>
      <c r="AE508" s="52" t="s">
        <v>372</v>
      </c>
      <c r="AF508" s="155" t="s">
        <v>247</v>
      </c>
      <c r="AG508" s="155" t="s">
        <v>247</v>
      </c>
    </row>
    <row r="509" spans="25:33">
      <c r="Y509" s="47">
        <v>2478</v>
      </c>
      <c r="Z509" s="52" t="s">
        <v>410</v>
      </c>
      <c r="AA509" s="52">
        <v>2</v>
      </c>
      <c r="AB509" s="52">
        <v>3</v>
      </c>
      <c r="AC509" s="52" t="s">
        <v>247</v>
      </c>
      <c r="AD509" s="52" t="s">
        <v>2</v>
      </c>
      <c r="AE509" s="52" t="s">
        <v>372</v>
      </c>
      <c r="AF509" s="155" t="s">
        <v>247</v>
      </c>
      <c r="AG509" s="155" t="s">
        <v>247</v>
      </c>
    </row>
    <row r="510" spans="25:33">
      <c r="Y510" s="47">
        <v>2479</v>
      </c>
      <c r="Z510" s="52" t="s">
        <v>410</v>
      </c>
      <c r="AA510" s="52">
        <v>2</v>
      </c>
      <c r="AB510" s="52">
        <v>3</v>
      </c>
      <c r="AC510" s="52" t="s">
        <v>247</v>
      </c>
      <c r="AD510" s="52" t="s">
        <v>2</v>
      </c>
      <c r="AE510" s="52" t="s">
        <v>372</v>
      </c>
      <c r="AF510" s="155" t="s">
        <v>247</v>
      </c>
      <c r="AG510" s="155" t="s">
        <v>247</v>
      </c>
    </row>
    <row r="511" spans="25:33">
      <c r="Y511" s="47">
        <v>2480</v>
      </c>
      <c r="Z511" s="52" t="s">
        <v>410</v>
      </c>
      <c r="AA511" s="52">
        <v>2</v>
      </c>
      <c r="AB511" s="52">
        <v>3</v>
      </c>
      <c r="AC511" s="52" t="s">
        <v>247</v>
      </c>
      <c r="AD511" s="52" t="s">
        <v>2</v>
      </c>
      <c r="AE511" s="52" t="s">
        <v>372</v>
      </c>
      <c r="AF511" s="155" t="s">
        <v>247</v>
      </c>
      <c r="AG511" s="155" t="s">
        <v>247</v>
      </c>
    </row>
    <row r="512" spans="25:33">
      <c r="Y512" s="47">
        <v>2481</v>
      </c>
      <c r="Z512" s="52" t="s">
        <v>410</v>
      </c>
      <c r="AA512" s="52">
        <v>2</v>
      </c>
      <c r="AB512" s="52">
        <v>3</v>
      </c>
      <c r="AC512" s="52" t="s">
        <v>247</v>
      </c>
      <c r="AD512" s="52" t="s">
        <v>2</v>
      </c>
      <c r="AE512" s="52" t="s">
        <v>372</v>
      </c>
      <c r="AF512" s="155" t="s">
        <v>247</v>
      </c>
      <c r="AG512" s="155" t="s">
        <v>247</v>
      </c>
    </row>
    <row r="513" spans="25:33">
      <c r="Y513" s="47">
        <v>2482</v>
      </c>
      <c r="Z513" s="52" t="s">
        <v>410</v>
      </c>
      <c r="AA513" s="52">
        <v>2</v>
      </c>
      <c r="AB513" s="52">
        <v>3</v>
      </c>
      <c r="AC513" s="52" t="s">
        <v>247</v>
      </c>
      <c r="AD513" s="52" t="s">
        <v>2</v>
      </c>
      <c r="AE513" s="52" t="s">
        <v>372</v>
      </c>
      <c r="AF513" s="155" t="s">
        <v>247</v>
      </c>
      <c r="AG513" s="155" t="s">
        <v>247</v>
      </c>
    </row>
    <row r="514" spans="25:33">
      <c r="Y514" s="47">
        <v>2483</v>
      </c>
      <c r="Z514" s="52" t="s">
        <v>410</v>
      </c>
      <c r="AA514" s="52">
        <v>2</v>
      </c>
      <c r="AB514" s="52">
        <v>3</v>
      </c>
      <c r="AC514" s="52" t="s">
        <v>247</v>
      </c>
      <c r="AD514" s="52" t="s">
        <v>2</v>
      </c>
      <c r="AE514" s="52" t="s">
        <v>372</v>
      </c>
      <c r="AF514" s="155" t="s">
        <v>247</v>
      </c>
      <c r="AG514" s="155" t="s">
        <v>247</v>
      </c>
    </row>
    <row r="515" spans="25:33">
      <c r="Y515" s="47">
        <v>2484</v>
      </c>
      <c r="Z515" s="52" t="s">
        <v>410</v>
      </c>
      <c r="AA515" s="52">
        <v>2</v>
      </c>
      <c r="AB515" s="52">
        <v>3</v>
      </c>
      <c r="AC515" s="52" t="s">
        <v>247</v>
      </c>
      <c r="AD515" s="52" t="s">
        <v>2</v>
      </c>
      <c r="AE515" s="52" t="s">
        <v>372</v>
      </c>
      <c r="AF515" s="155" t="s">
        <v>247</v>
      </c>
      <c r="AG515" s="155" t="s">
        <v>247</v>
      </c>
    </row>
    <row r="516" spans="25:33">
      <c r="Y516" s="47">
        <v>2485</v>
      </c>
      <c r="Z516" s="52" t="s">
        <v>410</v>
      </c>
      <c r="AA516" s="52">
        <v>2</v>
      </c>
      <c r="AB516" s="52">
        <v>3</v>
      </c>
      <c r="AC516" s="52" t="s">
        <v>247</v>
      </c>
      <c r="AD516" s="52" t="s">
        <v>2</v>
      </c>
      <c r="AE516" s="52" t="s">
        <v>372</v>
      </c>
      <c r="AF516" s="155" t="s">
        <v>247</v>
      </c>
      <c r="AG516" s="155" t="s">
        <v>247</v>
      </c>
    </row>
    <row r="517" spans="25:33">
      <c r="Y517" s="47">
        <v>2486</v>
      </c>
      <c r="Z517" s="52" t="s">
        <v>410</v>
      </c>
      <c r="AA517" s="52">
        <v>2</v>
      </c>
      <c r="AB517" s="52">
        <v>3</v>
      </c>
      <c r="AC517" s="52" t="s">
        <v>247</v>
      </c>
      <c r="AD517" s="52" t="s">
        <v>2</v>
      </c>
      <c r="AE517" s="52" t="s">
        <v>372</v>
      </c>
      <c r="AF517" s="155" t="s">
        <v>247</v>
      </c>
      <c r="AG517" s="155" t="s">
        <v>247</v>
      </c>
    </row>
    <row r="518" spans="25:33">
      <c r="Y518" s="47">
        <v>2487</v>
      </c>
      <c r="Z518" s="52" t="s">
        <v>410</v>
      </c>
      <c r="AA518" s="52">
        <v>2</v>
      </c>
      <c r="AB518" s="52">
        <v>3</v>
      </c>
      <c r="AC518" s="52" t="s">
        <v>247</v>
      </c>
      <c r="AD518" s="52" t="s">
        <v>2</v>
      </c>
      <c r="AE518" s="52" t="s">
        <v>372</v>
      </c>
      <c r="AF518" s="155" t="s">
        <v>247</v>
      </c>
      <c r="AG518" s="155" t="s">
        <v>247</v>
      </c>
    </row>
    <row r="519" spans="25:33">
      <c r="Y519" s="47">
        <v>2488</v>
      </c>
      <c r="Z519" s="52" t="s">
        <v>410</v>
      </c>
      <c r="AA519" s="52">
        <v>2</v>
      </c>
      <c r="AB519" s="52">
        <v>3</v>
      </c>
      <c r="AC519" s="52" t="s">
        <v>247</v>
      </c>
      <c r="AD519" s="52" t="s">
        <v>2</v>
      </c>
      <c r="AE519" s="52" t="s">
        <v>372</v>
      </c>
      <c r="AF519" s="155" t="s">
        <v>247</v>
      </c>
      <c r="AG519" s="155" t="s">
        <v>247</v>
      </c>
    </row>
    <row r="520" spans="25:33">
      <c r="Y520" s="47">
        <v>2489</v>
      </c>
      <c r="Z520" s="52" t="s">
        <v>410</v>
      </c>
      <c r="AA520" s="52">
        <v>2</v>
      </c>
      <c r="AB520" s="52">
        <v>3</v>
      </c>
      <c r="AC520" s="52" t="s">
        <v>247</v>
      </c>
      <c r="AD520" s="52" t="s">
        <v>2</v>
      </c>
      <c r="AE520" s="52" t="s">
        <v>372</v>
      </c>
      <c r="AF520" s="155" t="s">
        <v>247</v>
      </c>
      <c r="AG520" s="155" t="s">
        <v>247</v>
      </c>
    </row>
    <row r="521" spans="25:33">
      <c r="Y521" s="47">
        <v>2490</v>
      </c>
      <c r="Z521" s="52" t="s">
        <v>410</v>
      </c>
      <c r="AA521" s="52">
        <v>2</v>
      </c>
      <c r="AB521" s="52">
        <v>3</v>
      </c>
      <c r="AC521" s="52" t="s">
        <v>247</v>
      </c>
      <c r="AD521" s="52" t="s">
        <v>2</v>
      </c>
      <c r="AE521" s="52" t="s">
        <v>372</v>
      </c>
      <c r="AF521" s="155" t="s">
        <v>247</v>
      </c>
      <c r="AG521" s="155" t="s">
        <v>247</v>
      </c>
    </row>
    <row r="522" spans="25:33">
      <c r="Y522" s="47">
        <v>2491</v>
      </c>
      <c r="Z522" s="52" t="s">
        <v>410</v>
      </c>
      <c r="AA522" s="52" t="s">
        <v>247</v>
      </c>
      <c r="AB522" s="52">
        <v>3</v>
      </c>
      <c r="AC522" s="52" t="s">
        <v>247</v>
      </c>
      <c r="AD522" s="52" t="s">
        <v>1</v>
      </c>
      <c r="AE522" s="52" t="s">
        <v>372</v>
      </c>
      <c r="AF522" s="155" t="s">
        <v>247</v>
      </c>
      <c r="AG522" s="155" t="s">
        <v>247</v>
      </c>
    </row>
    <row r="523" spans="25:33">
      <c r="Y523" s="47">
        <v>2492</v>
      </c>
      <c r="Z523" s="52" t="s">
        <v>410</v>
      </c>
      <c r="AA523" s="52" t="s">
        <v>247</v>
      </c>
      <c r="AB523" s="52">
        <v>3</v>
      </c>
      <c r="AC523" s="52" t="s">
        <v>247</v>
      </c>
      <c r="AD523" s="52" t="s">
        <v>1</v>
      </c>
      <c r="AE523" s="52" t="s">
        <v>372</v>
      </c>
      <c r="AF523" s="155" t="s">
        <v>247</v>
      </c>
      <c r="AG523" s="155" t="s">
        <v>247</v>
      </c>
    </row>
    <row r="524" spans="25:33">
      <c r="Y524" s="47">
        <v>2493</v>
      </c>
      <c r="Z524" s="52" t="s">
        <v>410</v>
      </c>
      <c r="AA524" s="52" t="s">
        <v>247</v>
      </c>
      <c r="AB524" s="52">
        <v>3</v>
      </c>
      <c r="AC524" s="52" t="s">
        <v>247</v>
      </c>
      <c r="AD524" s="52" t="s">
        <v>1</v>
      </c>
      <c r="AE524" s="52" t="s">
        <v>372</v>
      </c>
      <c r="AF524" s="155" t="s">
        <v>247</v>
      </c>
      <c r="AG524" s="155" t="s">
        <v>247</v>
      </c>
    </row>
    <row r="525" spans="25:33">
      <c r="Y525" s="47">
        <v>2494</v>
      </c>
      <c r="Z525" s="52" t="s">
        <v>410</v>
      </c>
      <c r="AA525" s="52" t="s">
        <v>247</v>
      </c>
      <c r="AB525" s="52">
        <v>3</v>
      </c>
      <c r="AC525" s="52" t="s">
        <v>247</v>
      </c>
      <c r="AD525" s="52" t="s">
        <v>1</v>
      </c>
      <c r="AE525" s="52" t="s">
        <v>372</v>
      </c>
      <c r="AF525" s="155" t="s">
        <v>247</v>
      </c>
      <c r="AG525" s="155" t="s">
        <v>247</v>
      </c>
    </row>
    <row r="526" spans="25:33">
      <c r="Y526" s="47">
        <v>2495</v>
      </c>
      <c r="Z526" s="52" t="s">
        <v>410</v>
      </c>
      <c r="AA526" s="52" t="s">
        <v>247</v>
      </c>
      <c r="AB526" s="52">
        <v>3</v>
      </c>
      <c r="AC526" s="52" t="s">
        <v>247</v>
      </c>
      <c r="AD526" s="52" t="s">
        <v>1</v>
      </c>
      <c r="AE526" s="52" t="s">
        <v>372</v>
      </c>
      <c r="AF526" s="155" t="s">
        <v>247</v>
      </c>
      <c r="AG526" s="155" t="s">
        <v>247</v>
      </c>
    </row>
    <row r="527" spans="25:33">
      <c r="Y527" s="47">
        <v>2496</v>
      </c>
      <c r="Z527" s="52" t="s">
        <v>410</v>
      </c>
      <c r="AA527" s="52" t="s">
        <v>247</v>
      </c>
      <c r="AB527" s="52">
        <v>3</v>
      </c>
      <c r="AC527" s="52" t="s">
        <v>247</v>
      </c>
      <c r="AD527" s="52" t="s">
        <v>1</v>
      </c>
      <c r="AE527" s="52" t="s">
        <v>372</v>
      </c>
      <c r="AF527" s="155" t="s">
        <v>247</v>
      </c>
      <c r="AG527" s="155" t="s">
        <v>247</v>
      </c>
    </row>
    <row r="528" spans="25:33">
      <c r="Y528" s="47">
        <v>2497</v>
      </c>
      <c r="Z528" s="52" t="s">
        <v>410</v>
      </c>
      <c r="AA528" s="52" t="s">
        <v>247</v>
      </c>
      <c r="AB528" s="52">
        <v>3</v>
      </c>
      <c r="AC528" s="52" t="s">
        <v>247</v>
      </c>
      <c r="AD528" s="52" t="s">
        <v>1</v>
      </c>
      <c r="AE528" s="52" t="s">
        <v>372</v>
      </c>
      <c r="AF528" s="155" t="s">
        <v>247</v>
      </c>
      <c r="AG528" s="155" t="s">
        <v>247</v>
      </c>
    </row>
    <row r="529" spans="25:33">
      <c r="Y529" s="47">
        <v>2498</v>
      </c>
      <c r="Z529" s="52" t="s">
        <v>410</v>
      </c>
      <c r="AA529" s="52" t="s">
        <v>247</v>
      </c>
      <c r="AB529" s="52">
        <v>3</v>
      </c>
      <c r="AC529" s="52" t="s">
        <v>247</v>
      </c>
      <c r="AD529" s="52" t="s">
        <v>1</v>
      </c>
      <c r="AE529" s="52" t="s">
        <v>372</v>
      </c>
      <c r="AF529" s="155" t="s">
        <v>247</v>
      </c>
      <c r="AG529" s="155" t="s">
        <v>247</v>
      </c>
    </row>
    <row r="530" spans="25:33">
      <c r="Y530" s="47">
        <v>2499</v>
      </c>
      <c r="Z530" s="52" t="s">
        <v>410</v>
      </c>
      <c r="AA530" s="52" t="s">
        <v>247</v>
      </c>
      <c r="AB530" s="52">
        <v>3</v>
      </c>
      <c r="AC530" s="52" t="s">
        <v>247</v>
      </c>
      <c r="AD530" s="52" t="s">
        <v>1</v>
      </c>
      <c r="AE530" s="52" t="s">
        <v>372</v>
      </c>
      <c r="AF530" s="155" t="s">
        <v>247</v>
      </c>
      <c r="AG530" s="155" t="s">
        <v>247</v>
      </c>
    </row>
    <row r="531" spans="25:33">
      <c r="Y531" s="47">
        <v>2500</v>
      </c>
      <c r="Z531" s="52" t="s">
        <v>410</v>
      </c>
      <c r="AA531" s="52">
        <v>5</v>
      </c>
      <c r="AB531" s="52">
        <v>3</v>
      </c>
      <c r="AC531" s="52" t="s">
        <v>247</v>
      </c>
      <c r="AD531" s="52" t="s">
        <v>1</v>
      </c>
      <c r="AE531" s="52" t="s">
        <v>372</v>
      </c>
      <c r="AF531" s="155" t="s">
        <v>247</v>
      </c>
      <c r="AG531" s="155" t="s">
        <v>247</v>
      </c>
    </row>
    <row r="532" spans="25:33">
      <c r="Y532" s="47">
        <v>2501</v>
      </c>
      <c r="Z532" s="52" t="s">
        <v>410</v>
      </c>
      <c r="AA532" s="52" t="s">
        <v>247</v>
      </c>
      <c r="AB532" s="52">
        <v>3</v>
      </c>
      <c r="AC532" s="52" t="s">
        <v>247</v>
      </c>
      <c r="AD532" s="52" t="s">
        <v>1</v>
      </c>
      <c r="AE532" s="52" t="s">
        <v>372</v>
      </c>
      <c r="AF532" s="155" t="s">
        <v>247</v>
      </c>
      <c r="AG532" s="155" t="s">
        <v>247</v>
      </c>
    </row>
    <row r="533" spans="25:33">
      <c r="Y533" s="47">
        <v>2502</v>
      </c>
      <c r="Z533" s="52" t="s">
        <v>410</v>
      </c>
      <c r="AA533" s="52">
        <v>5</v>
      </c>
      <c r="AB533" s="52">
        <v>3</v>
      </c>
      <c r="AC533" s="52" t="s">
        <v>247</v>
      </c>
      <c r="AD533" s="52" t="s">
        <v>1</v>
      </c>
      <c r="AE533" s="52" t="s">
        <v>372</v>
      </c>
      <c r="AF533" s="155" t="s">
        <v>247</v>
      </c>
      <c r="AG533" s="155" t="s">
        <v>247</v>
      </c>
    </row>
    <row r="534" spans="25:33">
      <c r="Y534" s="47">
        <v>2503</v>
      </c>
      <c r="Z534" s="52" t="s">
        <v>410</v>
      </c>
      <c r="AA534" s="52" t="s">
        <v>247</v>
      </c>
      <c r="AB534" s="52">
        <v>3</v>
      </c>
      <c r="AC534" s="52" t="s">
        <v>247</v>
      </c>
      <c r="AD534" s="52" t="s">
        <v>1</v>
      </c>
      <c r="AE534" s="52" t="s">
        <v>372</v>
      </c>
      <c r="AF534" s="155" t="s">
        <v>247</v>
      </c>
      <c r="AG534" s="155" t="s">
        <v>247</v>
      </c>
    </row>
    <row r="535" spans="25:33">
      <c r="Y535" s="47">
        <v>2504</v>
      </c>
      <c r="Z535" s="52" t="s">
        <v>410</v>
      </c>
      <c r="AA535" s="52" t="s">
        <v>247</v>
      </c>
      <c r="AB535" s="52">
        <v>3</v>
      </c>
      <c r="AC535" s="52" t="s">
        <v>247</v>
      </c>
      <c r="AD535" s="52" t="s">
        <v>1</v>
      </c>
      <c r="AE535" s="52" t="s">
        <v>372</v>
      </c>
      <c r="AF535" s="155" t="s">
        <v>247</v>
      </c>
      <c r="AG535" s="155" t="s">
        <v>247</v>
      </c>
    </row>
    <row r="536" spans="25:33">
      <c r="Y536" s="47">
        <v>2505</v>
      </c>
      <c r="Z536" s="52" t="s">
        <v>410</v>
      </c>
      <c r="AA536" s="52">
        <v>5</v>
      </c>
      <c r="AB536" s="52">
        <v>3</v>
      </c>
      <c r="AC536" s="52" t="s">
        <v>247</v>
      </c>
      <c r="AD536" s="52" t="s">
        <v>1</v>
      </c>
      <c r="AE536" s="52" t="s">
        <v>372</v>
      </c>
      <c r="AF536" s="155" t="s">
        <v>247</v>
      </c>
      <c r="AG536" s="155" t="s">
        <v>247</v>
      </c>
    </row>
    <row r="537" spans="25:33">
      <c r="Y537" s="47">
        <v>2506</v>
      </c>
      <c r="Z537" s="52" t="s">
        <v>410</v>
      </c>
      <c r="AA537" s="52">
        <v>5</v>
      </c>
      <c r="AB537" s="52">
        <v>3</v>
      </c>
      <c r="AC537" s="52" t="s">
        <v>247</v>
      </c>
      <c r="AD537" s="52" t="s">
        <v>1</v>
      </c>
      <c r="AE537" s="52" t="s">
        <v>372</v>
      </c>
      <c r="AF537" s="155" t="s">
        <v>247</v>
      </c>
      <c r="AG537" s="155" t="s">
        <v>247</v>
      </c>
    </row>
    <row r="538" spans="25:33">
      <c r="Y538" s="47">
        <v>2507</v>
      </c>
      <c r="Z538" s="52" t="s">
        <v>410</v>
      </c>
      <c r="AA538" s="52" t="s">
        <v>247</v>
      </c>
      <c r="AB538" s="52">
        <v>3</v>
      </c>
      <c r="AC538" s="52" t="s">
        <v>247</v>
      </c>
      <c r="AD538" s="52" t="s">
        <v>1</v>
      </c>
      <c r="AE538" s="52" t="s">
        <v>372</v>
      </c>
      <c r="AF538" s="155" t="s">
        <v>247</v>
      </c>
      <c r="AG538" s="155" t="s">
        <v>247</v>
      </c>
    </row>
    <row r="539" spans="25:33">
      <c r="Y539" s="47">
        <v>2508</v>
      </c>
      <c r="Z539" s="52" t="s">
        <v>410</v>
      </c>
      <c r="AA539" s="52">
        <v>5</v>
      </c>
      <c r="AB539" s="52">
        <v>3</v>
      </c>
      <c r="AC539" s="52" t="s">
        <v>247</v>
      </c>
      <c r="AD539" s="52" t="s">
        <v>1</v>
      </c>
      <c r="AE539" s="52" t="s">
        <v>372</v>
      </c>
      <c r="AF539" s="155" t="s">
        <v>247</v>
      </c>
      <c r="AG539" s="155" t="s">
        <v>247</v>
      </c>
    </row>
    <row r="540" spans="25:33">
      <c r="Y540" s="47">
        <v>2509</v>
      </c>
      <c r="Z540" s="52" t="s">
        <v>410</v>
      </c>
      <c r="AA540" s="52" t="s">
        <v>247</v>
      </c>
      <c r="AB540" s="52">
        <v>3</v>
      </c>
      <c r="AC540" s="52" t="s">
        <v>247</v>
      </c>
      <c r="AD540" s="52" t="s">
        <v>1</v>
      </c>
      <c r="AE540" s="52" t="s">
        <v>372</v>
      </c>
      <c r="AF540" s="155" t="s">
        <v>247</v>
      </c>
      <c r="AG540" s="155" t="s">
        <v>247</v>
      </c>
    </row>
    <row r="541" spans="25:33">
      <c r="Y541" s="47">
        <v>2510</v>
      </c>
      <c r="Z541" s="52" t="s">
        <v>410</v>
      </c>
      <c r="AA541" s="52" t="s">
        <v>247</v>
      </c>
      <c r="AB541" s="52">
        <v>3</v>
      </c>
      <c r="AC541" s="52" t="s">
        <v>247</v>
      </c>
      <c r="AD541" s="52" t="s">
        <v>1</v>
      </c>
      <c r="AE541" s="52" t="s">
        <v>372</v>
      </c>
      <c r="AF541" s="155" t="s">
        <v>247</v>
      </c>
      <c r="AG541" s="155" t="s">
        <v>247</v>
      </c>
    </row>
    <row r="542" spans="25:33">
      <c r="Y542" s="47">
        <v>2511</v>
      </c>
      <c r="Z542" s="52" t="s">
        <v>410</v>
      </c>
      <c r="AA542" s="52" t="s">
        <v>247</v>
      </c>
      <c r="AB542" s="52">
        <v>3</v>
      </c>
      <c r="AC542" s="52" t="s">
        <v>247</v>
      </c>
      <c r="AD542" s="52" t="s">
        <v>1</v>
      </c>
      <c r="AE542" s="52" t="s">
        <v>372</v>
      </c>
      <c r="AF542" s="155" t="s">
        <v>247</v>
      </c>
      <c r="AG542" s="155" t="s">
        <v>247</v>
      </c>
    </row>
    <row r="543" spans="25:33">
      <c r="Y543" s="47">
        <v>2512</v>
      </c>
      <c r="Z543" s="52" t="s">
        <v>410</v>
      </c>
      <c r="AA543" s="52" t="s">
        <v>247</v>
      </c>
      <c r="AB543" s="52">
        <v>3</v>
      </c>
      <c r="AC543" s="52" t="s">
        <v>247</v>
      </c>
      <c r="AD543" s="52" t="s">
        <v>1</v>
      </c>
      <c r="AE543" s="52" t="s">
        <v>372</v>
      </c>
      <c r="AF543" s="155" t="s">
        <v>247</v>
      </c>
      <c r="AG543" s="155" t="s">
        <v>247</v>
      </c>
    </row>
    <row r="544" spans="25:33">
      <c r="Y544" s="47">
        <v>2513</v>
      </c>
      <c r="Z544" s="52" t="s">
        <v>410</v>
      </c>
      <c r="AA544" s="52" t="s">
        <v>247</v>
      </c>
      <c r="AB544" s="52">
        <v>3</v>
      </c>
      <c r="AC544" s="52" t="s">
        <v>247</v>
      </c>
      <c r="AD544" s="52" t="s">
        <v>1</v>
      </c>
      <c r="AE544" s="52" t="s">
        <v>372</v>
      </c>
      <c r="AF544" s="155" t="s">
        <v>247</v>
      </c>
      <c r="AG544" s="155" t="s">
        <v>247</v>
      </c>
    </row>
    <row r="545" spans="25:33">
      <c r="Y545" s="47">
        <v>2514</v>
      </c>
      <c r="Z545" s="52" t="s">
        <v>410</v>
      </c>
      <c r="AA545" s="52" t="s">
        <v>247</v>
      </c>
      <c r="AB545" s="52">
        <v>3</v>
      </c>
      <c r="AC545" s="52" t="s">
        <v>247</v>
      </c>
      <c r="AD545" s="52" t="s">
        <v>1</v>
      </c>
      <c r="AE545" s="52" t="s">
        <v>372</v>
      </c>
      <c r="AF545" s="155" t="s">
        <v>247</v>
      </c>
      <c r="AG545" s="155" t="s">
        <v>247</v>
      </c>
    </row>
    <row r="546" spans="25:33">
      <c r="Y546" s="47">
        <v>2515</v>
      </c>
      <c r="Z546" s="52" t="s">
        <v>410</v>
      </c>
      <c r="AA546" s="52">
        <v>5</v>
      </c>
      <c r="AB546" s="52">
        <v>3</v>
      </c>
      <c r="AC546" s="52" t="s">
        <v>247</v>
      </c>
      <c r="AD546" s="52" t="s">
        <v>1</v>
      </c>
      <c r="AE546" s="52" t="s">
        <v>372</v>
      </c>
      <c r="AF546" s="155" t="s">
        <v>247</v>
      </c>
      <c r="AG546" s="155" t="s">
        <v>247</v>
      </c>
    </row>
    <row r="547" spans="25:33">
      <c r="Y547" s="47">
        <v>2516</v>
      </c>
      <c r="Z547" s="52" t="s">
        <v>410</v>
      </c>
      <c r="AA547" s="52">
        <v>5</v>
      </c>
      <c r="AB547" s="52">
        <v>3</v>
      </c>
      <c r="AC547" s="52" t="s">
        <v>247</v>
      </c>
      <c r="AD547" s="52" t="s">
        <v>1</v>
      </c>
      <c r="AE547" s="52" t="s">
        <v>372</v>
      </c>
      <c r="AF547" s="155" t="s">
        <v>247</v>
      </c>
      <c r="AG547" s="155" t="s">
        <v>247</v>
      </c>
    </row>
    <row r="548" spans="25:33">
      <c r="Y548" s="47">
        <v>2517</v>
      </c>
      <c r="Z548" s="52" t="s">
        <v>410</v>
      </c>
      <c r="AA548" s="52">
        <v>5</v>
      </c>
      <c r="AB548" s="52">
        <v>3</v>
      </c>
      <c r="AC548" s="52" t="s">
        <v>247</v>
      </c>
      <c r="AD548" s="52" t="s">
        <v>1</v>
      </c>
      <c r="AE548" s="52" t="s">
        <v>372</v>
      </c>
      <c r="AF548" s="155" t="s">
        <v>247</v>
      </c>
      <c r="AG548" s="155" t="s">
        <v>247</v>
      </c>
    </row>
    <row r="549" spans="25:33">
      <c r="Y549" s="47">
        <v>2518</v>
      </c>
      <c r="Z549" s="52" t="s">
        <v>410</v>
      </c>
      <c r="AA549" s="52">
        <v>5</v>
      </c>
      <c r="AB549" s="52">
        <v>3</v>
      </c>
      <c r="AC549" s="52" t="s">
        <v>247</v>
      </c>
      <c r="AD549" s="52" t="s">
        <v>1</v>
      </c>
      <c r="AE549" s="52" t="s">
        <v>372</v>
      </c>
      <c r="AF549" s="155" t="s">
        <v>247</v>
      </c>
      <c r="AG549" s="155" t="s">
        <v>247</v>
      </c>
    </row>
    <row r="550" spans="25:33">
      <c r="Y550" s="47">
        <v>2519</v>
      </c>
      <c r="Z550" s="52" t="s">
        <v>410</v>
      </c>
      <c r="AA550" s="52">
        <v>5</v>
      </c>
      <c r="AB550" s="52">
        <v>3</v>
      </c>
      <c r="AC550" s="52" t="s">
        <v>247</v>
      </c>
      <c r="AD550" s="52" t="s">
        <v>1</v>
      </c>
      <c r="AE550" s="52" t="s">
        <v>372</v>
      </c>
      <c r="AF550" s="155" t="s">
        <v>247</v>
      </c>
      <c r="AG550" s="155" t="s">
        <v>247</v>
      </c>
    </row>
    <row r="551" spans="25:33">
      <c r="Y551" s="47">
        <v>2520</v>
      </c>
      <c r="Z551" s="52" t="s">
        <v>410</v>
      </c>
      <c r="AA551" s="52" t="s">
        <v>247</v>
      </c>
      <c r="AB551" s="52">
        <v>3</v>
      </c>
      <c r="AC551" s="52" t="s">
        <v>247</v>
      </c>
      <c r="AD551" s="52" t="s">
        <v>1</v>
      </c>
      <c r="AE551" s="52" t="s">
        <v>372</v>
      </c>
      <c r="AF551" s="155" t="s">
        <v>247</v>
      </c>
      <c r="AG551" s="155" t="s">
        <v>247</v>
      </c>
    </row>
    <row r="552" spans="25:33">
      <c r="Y552" s="47">
        <v>2521</v>
      </c>
      <c r="Z552" s="52" t="s">
        <v>410</v>
      </c>
      <c r="AA552" s="52" t="s">
        <v>247</v>
      </c>
      <c r="AB552" s="52">
        <v>3</v>
      </c>
      <c r="AC552" s="52" t="s">
        <v>247</v>
      </c>
      <c r="AD552" s="52" t="s">
        <v>1</v>
      </c>
      <c r="AE552" s="52" t="s">
        <v>372</v>
      </c>
      <c r="AF552" s="155" t="s">
        <v>247</v>
      </c>
      <c r="AG552" s="155" t="s">
        <v>247</v>
      </c>
    </row>
    <row r="553" spans="25:33">
      <c r="Y553" s="47">
        <v>2522</v>
      </c>
      <c r="Z553" s="52" t="s">
        <v>410</v>
      </c>
      <c r="AA553" s="52">
        <v>5</v>
      </c>
      <c r="AB553" s="52">
        <v>3</v>
      </c>
      <c r="AC553" s="52" t="s">
        <v>247</v>
      </c>
      <c r="AD553" s="52" t="s">
        <v>1</v>
      </c>
      <c r="AE553" s="52" t="s">
        <v>372</v>
      </c>
      <c r="AF553" s="155" t="s">
        <v>247</v>
      </c>
      <c r="AG553" s="155" t="s">
        <v>247</v>
      </c>
    </row>
    <row r="554" spans="25:33">
      <c r="Y554" s="47">
        <v>2523</v>
      </c>
      <c r="Z554" s="52" t="s">
        <v>410</v>
      </c>
      <c r="AA554" s="52" t="s">
        <v>247</v>
      </c>
      <c r="AB554" s="52">
        <v>3</v>
      </c>
      <c r="AC554" s="52" t="s">
        <v>247</v>
      </c>
      <c r="AD554" s="52" t="s">
        <v>1</v>
      </c>
      <c r="AE554" s="52" t="s">
        <v>372</v>
      </c>
      <c r="AF554" s="155" t="s">
        <v>247</v>
      </c>
      <c r="AG554" s="155" t="s">
        <v>247</v>
      </c>
    </row>
    <row r="555" spans="25:33">
      <c r="Y555" s="47">
        <v>2524</v>
      </c>
      <c r="Z555" s="52" t="s">
        <v>410</v>
      </c>
      <c r="AA555" s="52" t="s">
        <v>247</v>
      </c>
      <c r="AB555" s="52">
        <v>3</v>
      </c>
      <c r="AC555" s="52" t="s">
        <v>247</v>
      </c>
      <c r="AD555" s="52" t="s">
        <v>1</v>
      </c>
      <c r="AE555" s="52" t="s">
        <v>372</v>
      </c>
      <c r="AF555" s="155" t="s">
        <v>247</v>
      </c>
      <c r="AG555" s="155" t="s">
        <v>247</v>
      </c>
    </row>
    <row r="556" spans="25:33">
      <c r="Y556" s="47">
        <v>2525</v>
      </c>
      <c r="Z556" s="52" t="s">
        <v>410</v>
      </c>
      <c r="AA556" s="52">
        <v>5</v>
      </c>
      <c r="AB556" s="52">
        <v>3</v>
      </c>
      <c r="AC556" s="52" t="s">
        <v>247</v>
      </c>
      <c r="AD556" s="52" t="s">
        <v>1</v>
      </c>
      <c r="AE556" s="52" t="s">
        <v>372</v>
      </c>
      <c r="AF556" s="155" t="s">
        <v>247</v>
      </c>
      <c r="AG556" s="155" t="s">
        <v>247</v>
      </c>
    </row>
    <row r="557" spans="25:33">
      <c r="Y557" s="47">
        <v>2526</v>
      </c>
      <c r="Z557" s="52" t="s">
        <v>410</v>
      </c>
      <c r="AA557" s="52">
        <v>5</v>
      </c>
      <c r="AB557" s="52">
        <v>3</v>
      </c>
      <c r="AC557" s="52" t="s">
        <v>247</v>
      </c>
      <c r="AD557" s="52" t="s">
        <v>1</v>
      </c>
      <c r="AE557" s="52" t="s">
        <v>372</v>
      </c>
      <c r="AF557" s="155" t="s">
        <v>247</v>
      </c>
      <c r="AG557" s="155" t="s">
        <v>247</v>
      </c>
    </row>
    <row r="558" spans="25:33">
      <c r="Y558" s="47">
        <v>2527</v>
      </c>
      <c r="Z558" s="52" t="s">
        <v>410</v>
      </c>
      <c r="AA558" s="52">
        <v>6</v>
      </c>
      <c r="AB558" s="52">
        <v>3</v>
      </c>
      <c r="AC558" s="52" t="s">
        <v>247</v>
      </c>
      <c r="AD558" s="52" t="s">
        <v>1</v>
      </c>
      <c r="AE558" s="52" t="s">
        <v>372</v>
      </c>
      <c r="AF558" s="155" t="s">
        <v>247</v>
      </c>
      <c r="AG558" s="155" t="s">
        <v>247</v>
      </c>
    </row>
    <row r="559" spans="25:33">
      <c r="Y559" s="47">
        <v>2528</v>
      </c>
      <c r="Z559" s="52" t="s">
        <v>410</v>
      </c>
      <c r="AA559" s="52">
        <v>5</v>
      </c>
      <c r="AB559" s="52">
        <v>3</v>
      </c>
      <c r="AC559" s="52" t="s">
        <v>247</v>
      </c>
      <c r="AD559" s="52" t="s">
        <v>1</v>
      </c>
      <c r="AE559" s="52" t="s">
        <v>372</v>
      </c>
      <c r="AF559" s="155" t="s">
        <v>247</v>
      </c>
      <c r="AG559" s="155" t="s">
        <v>247</v>
      </c>
    </row>
    <row r="560" spans="25:33">
      <c r="Y560" s="47">
        <v>2529</v>
      </c>
      <c r="Z560" s="52" t="s">
        <v>410</v>
      </c>
      <c r="AA560" s="52">
        <v>6</v>
      </c>
      <c r="AB560" s="52">
        <v>3</v>
      </c>
      <c r="AC560" s="52" t="s">
        <v>247</v>
      </c>
      <c r="AD560" s="52" t="s">
        <v>1</v>
      </c>
      <c r="AE560" s="52" t="s">
        <v>372</v>
      </c>
      <c r="AF560" s="155" t="s">
        <v>247</v>
      </c>
      <c r="AG560" s="155" t="s">
        <v>247</v>
      </c>
    </row>
    <row r="561" spans="25:33">
      <c r="Y561" s="47">
        <v>2530</v>
      </c>
      <c r="Z561" s="52" t="s">
        <v>410</v>
      </c>
      <c r="AA561" s="52">
        <v>5</v>
      </c>
      <c r="AB561" s="52">
        <v>3</v>
      </c>
      <c r="AC561" s="52" t="s">
        <v>247</v>
      </c>
      <c r="AD561" s="52" t="s">
        <v>1</v>
      </c>
      <c r="AE561" s="52" t="s">
        <v>372</v>
      </c>
      <c r="AF561" s="155" t="s">
        <v>247</v>
      </c>
      <c r="AG561" s="155" t="s">
        <v>247</v>
      </c>
    </row>
    <row r="562" spans="25:33">
      <c r="Y562" s="47">
        <v>2531</v>
      </c>
      <c r="Z562" s="52" t="s">
        <v>410</v>
      </c>
      <c r="AA562" s="52" t="s">
        <v>247</v>
      </c>
      <c r="AB562" s="52">
        <v>3</v>
      </c>
      <c r="AC562" s="52" t="s">
        <v>247</v>
      </c>
      <c r="AD562" s="52" t="s">
        <v>1</v>
      </c>
      <c r="AE562" s="52" t="s">
        <v>372</v>
      </c>
      <c r="AF562" s="155" t="s">
        <v>247</v>
      </c>
      <c r="AG562" s="155" t="s">
        <v>247</v>
      </c>
    </row>
    <row r="563" spans="25:33">
      <c r="Y563" s="47">
        <v>2532</v>
      </c>
      <c r="Z563" s="52" t="s">
        <v>410</v>
      </c>
      <c r="AA563" s="52" t="s">
        <v>247</v>
      </c>
      <c r="AB563" s="52">
        <v>3</v>
      </c>
      <c r="AC563" s="52" t="s">
        <v>247</v>
      </c>
      <c r="AD563" s="52" t="s">
        <v>1</v>
      </c>
      <c r="AE563" s="52" t="s">
        <v>372</v>
      </c>
      <c r="AF563" s="155" t="s">
        <v>247</v>
      </c>
      <c r="AG563" s="155" t="s">
        <v>247</v>
      </c>
    </row>
    <row r="564" spans="25:33">
      <c r="Y564" s="47">
        <v>2533</v>
      </c>
      <c r="Z564" s="52" t="s">
        <v>410</v>
      </c>
      <c r="AA564" s="52">
        <v>6</v>
      </c>
      <c r="AB564" s="52">
        <v>3</v>
      </c>
      <c r="AC564" s="52" t="s">
        <v>247</v>
      </c>
      <c r="AD564" s="52" t="s">
        <v>1</v>
      </c>
      <c r="AE564" s="52" t="s">
        <v>372</v>
      </c>
      <c r="AF564" s="155" t="s">
        <v>247</v>
      </c>
      <c r="AG564" s="155" t="s">
        <v>247</v>
      </c>
    </row>
    <row r="565" spans="25:33">
      <c r="Y565" s="47">
        <v>2534</v>
      </c>
      <c r="Z565" s="52" t="s">
        <v>410</v>
      </c>
      <c r="AA565" s="52">
        <v>6</v>
      </c>
      <c r="AB565" s="52">
        <v>3</v>
      </c>
      <c r="AC565" s="52" t="s">
        <v>247</v>
      </c>
      <c r="AD565" s="52" t="s">
        <v>1</v>
      </c>
      <c r="AE565" s="52" t="s">
        <v>372</v>
      </c>
      <c r="AF565" s="155" t="s">
        <v>247</v>
      </c>
      <c r="AG565" s="155" t="s">
        <v>247</v>
      </c>
    </row>
    <row r="566" spans="25:33">
      <c r="Y566" s="47">
        <v>2535</v>
      </c>
      <c r="Z566" s="52" t="s">
        <v>410</v>
      </c>
      <c r="AA566" s="52">
        <v>6</v>
      </c>
      <c r="AB566" s="52">
        <v>3</v>
      </c>
      <c r="AC566" s="52" t="s">
        <v>247</v>
      </c>
      <c r="AD566" s="52" t="s">
        <v>1</v>
      </c>
      <c r="AE566" s="52" t="s">
        <v>372</v>
      </c>
      <c r="AF566" s="155" t="s">
        <v>247</v>
      </c>
      <c r="AG566" s="155" t="s">
        <v>247</v>
      </c>
    </row>
    <row r="567" spans="25:33">
      <c r="Y567" s="47">
        <v>2536</v>
      </c>
      <c r="Z567" s="52" t="s">
        <v>410</v>
      </c>
      <c r="AA567" s="52">
        <v>6</v>
      </c>
      <c r="AB567" s="52">
        <v>3</v>
      </c>
      <c r="AC567" s="52" t="s">
        <v>247</v>
      </c>
      <c r="AD567" s="52" t="s">
        <v>2</v>
      </c>
      <c r="AE567" s="52" t="s">
        <v>372</v>
      </c>
      <c r="AF567" s="155" t="s">
        <v>247</v>
      </c>
      <c r="AG567" s="155" t="s">
        <v>247</v>
      </c>
    </row>
    <row r="568" spans="25:33">
      <c r="Y568" s="47">
        <v>2537</v>
      </c>
      <c r="Z568" s="52" t="s">
        <v>410</v>
      </c>
      <c r="AA568" s="52">
        <v>6</v>
      </c>
      <c r="AB568" s="52">
        <v>3</v>
      </c>
      <c r="AC568" s="52" t="s">
        <v>247</v>
      </c>
      <c r="AD568" s="52" t="s">
        <v>2</v>
      </c>
      <c r="AE568" s="52" t="s">
        <v>372</v>
      </c>
      <c r="AF568" s="155" t="s">
        <v>247</v>
      </c>
      <c r="AG568" s="155" t="s">
        <v>247</v>
      </c>
    </row>
    <row r="569" spans="25:33">
      <c r="Y569" s="47">
        <v>2538</v>
      </c>
      <c r="Z569" s="52" t="s">
        <v>410</v>
      </c>
      <c r="AA569" s="52">
        <v>6</v>
      </c>
      <c r="AB569" s="52">
        <v>3</v>
      </c>
      <c r="AC569" s="52" t="s">
        <v>247</v>
      </c>
      <c r="AD569" s="52" t="s">
        <v>1</v>
      </c>
      <c r="AE569" s="52" t="s">
        <v>372</v>
      </c>
      <c r="AF569" s="155" t="s">
        <v>247</v>
      </c>
      <c r="AG569" s="155" t="s">
        <v>247</v>
      </c>
    </row>
    <row r="570" spans="25:33">
      <c r="Y570" s="47">
        <v>2539</v>
      </c>
      <c r="Z570" s="52" t="s">
        <v>410</v>
      </c>
      <c r="AA570" s="52">
        <v>6</v>
      </c>
      <c r="AB570" s="52">
        <v>3</v>
      </c>
      <c r="AC570" s="52" t="s">
        <v>247</v>
      </c>
      <c r="AD570" s="52" t="s">
        <v>1</v>
      </c>
      <c r="AE570" s="52" t="s">
        <v>372</v>
      </c>
      <c r="AF570" s="155" t="s">
        <v>247</v>
      </c>
      <c r="AG570" s="155" t="s">
        <v>247</v>
      </c>
    </row>
    <row r="571" spans="25:33">
      <c r="Y571" s="47">
        <v>2540</v>
      </c>
      <c r="Z571" s="52" t="s">
        <v>410</v>
      </c>
      <c r="AA571" s="52">
        <v>6</v>
      </c>
      <c r="AB571" s="52">
        <v>3</v>
      </c>
      <c r="AC571" s="52" t="s">
        <v>247</v>
      </c>
      <c r="AD571" s="52" t="s">
        <v>1</v>
      </c>
      <c r="AE571" s="52" t="s">
        <v>372</v>
      </c>
      <c r="AF571" s="155" t="s">
        <v>247</v>
      </c>
      <c r="AG571" s="155" t="s">
        <v>247</v>
      </c>
    </row>
    <row r="572" spans="25:33">
      <c r="Y572" s="47">
        <v>2541</v>
      </c>
      <c r="Z572" s="52" t="s">
        <v>410</v>
      </c>
      <c r="AA572" s="52">
        <v>6</v>
      </c>
      <c r="AB572" s="52">
        <v>3</v>
      </c>
      <c r="AC572" s="52" t="s">
        <v>247</v>
      </c>
      <c r="AD572" s="52" t="s">
        <v>1</v>
      </c>
      <c r="AE572" s="52" t="s">
        <v>372</v>
      </c>
      <c r="AF572" s="155" t="s">
        <v>247</v>
      </c>
      <c r="AG572" s="155" t="s">
        <v>247</v>
      </c>
    </row>
    <row r="573" spans="25:33">
      <c r="Y573" s="47">
        <v>2542</v>
      </c>
      <c r="Z573" s="52" t="s">
        <v>410</v>
      </c>
      <c r="AA573" s="52" t="s">
        <v>247</v>
      </c>
      <c r="AB573" s="52">
        <v>3</v>
      </c>
      <c r="AC573" s="52" t="s">
        <v>247</v>
      </c>
      <c r="AD573" s="52" t="s">
        <v>1</v>
      </c>
      <c r="AE573" s="52" t="s">
        <v>372</v>
      </c>
      <c r="AF573" s="155" t="s">
        <v>247</v>
      </c>
      <c r="AG573" s="155" t="s">
        <v>247</v>
      </c>
    </row>
    <row r="574" spans="25:33">
      <c r="Y574" s="47">
        <v>2543</v>
      </c>
      <c r="Z574" s="52" t="s">
        <v>410</v>
      </c>
      <c r="AA574" s="52" t="s">
        <v>247</v>
      </c>
      <c r="AB574" s="52">
        <v>3</v>
      </c>
      <c r="AC574" s="52" t="s">
        <v>247</v>
      </c>
      <c r="AD574" s="52" t="s">
        <v>1</v>
      </c>
      <c r="AE574" s="52" t="s">
        <v>372</v>
      </c>
      <c r="AF574" s="155" t="s">
        <v>247</v>
      </c>
      <c r="AG574" s="155" t="s">
        <v>247</v>
      </c>
    </row>
    <row r="575" spans="25:33">
      <c r="Y575" s="47">
        <v>2544</v>
      </c>
      <c r="Z575" s="52" t="s">
        <v>410</v>
      </c>
      <c r="AA575" s="52" t="s">
        <v>247</v>
      </c>
      <c r="AB575" s="52">
        <v>3</v>
      </c>
      <c r="AC575" s="52" t="s">
        <v>247</v>
      </c>
      <c r="AD575" s="52" t="s">
        <v>1</v>
      </c>
      <c r="AE575" s="52" t="s">
        <v>372</v>
      </c>
      <c r="AF575" s="155" t="s">
        <v>247</v>
      </c>
      <c r="AG575" s="155" t="s">
        <v>247</v>
      </c>
    </row>
    <row r="576" spans="25:33">
      <c r="Y576" s="47">
        <v>2545</v>
      </c>
      <c r="Z576" s="52" t="s">
        <v>410</v>
      </c>
      <c r="AA576" s="52">
        <v>6</v>
      </c>
      <c r="AB576" s="52">
        <v>3</v>
      </c>
      <c r="AC576" s="52" t="s">
        <v>247</v>
      </c>
      <c r="AD576" s="52" t="s">
        <v>2</v>
      </c>
      <c r="AE576" s="52" t="s">
        <v>372</v>
      </c>
      <c r="AF576" s="155" t="s">
        <v>247</v>
      </c>
      <c r="AG576" s="155" t="s">
        <v>247</v>
      </c>
    </row>
    <row r="577" spans="25:33">
      <c r="Y577" s="47">
        <v>2546</v>
      </c>
      <c r="Z577" s="52" t="s">
        <v>410</v>
      </c>
      <c r="AA577" s="52">
        <v>6</v>
      </c>
      <c r="AB577" s="52">
        <v>3</v>
      </c>
      <c r="AC577" s="52" t="s">
        <v>247</v>
      </c>
      <c r="AD577" s="52" t="s">
        <v>2</v>
      </c>
      <c r="AE577" s="52" t="s">
        <v>372</v>
      </c>
      <c r="AF577" s="155" t="s">
        <v>247</v>
      </c>
      <c r="AG577" s="155" t="s">
        <v>247</v>
      </c>
    </row>
    <row r="578" spans="25:33">
      <c r="Y578" s="47">
        <v>2547</v>
      </c>
      <c r="Z578" s="52" t="s">
        <v>410</v>
      </c>
      <c r="AA578" s="52" t="s">
        <v>247</v>
      </c>
      <c r="AB578" s="52">
        <v>3</v>
      </c>
      <c r="AC578" s="52" t="s">
        <v>247</v>
      </c>
      <c r="AD578" s="52" t="s">
        <v>2</v>
      </c>
      <c r="AE578" s="52" t="s">
        <v>372</v>
      </c>
      <c r="AF578" s="155" t="s">
        <v>247</v>
      </c>
      <c r="AG578" s="155" t="s">
        <v>247</v>
      </c>
    </row>
    <row r="579" spans="25:33">
      <c r="Y579" s="47">
        <v>2548</v>
      </c>
      <c r="Z579" s="52" t="s">
        <v>410</v>
      </c>
      <c r="AA579" s="52">
        <v>6</v>
      </c>
      <c r="AB579" s="52">
        <v>3</v>
      </c>
      <c r="AC579" s="52" t="s">
        <v>247</v>
      </c>
      <c r="AD579" s="52" t="s">
        <v>2</v>
      </c>
      <c r="AE579" s="52" t="s">
        <v>372</v>
      </c>
      <c r="AF579" s="155" t="s">
        <v>247</v>
      </c>
      <c r="AG579" s="155" t="s">
        <v>247</v>
      </c>
    </row>
    <row r="580" spans="25:33">
      <c r="Y580" s="47">
        <v>2549</v>
      </c>
      <c r="Z580" s="52" t="s">
        <v>410</v>
      </c>
      <c r="AA580" s="52">
        <v>6</v>
      </c>
      <c r="AB580" s="52">
        <v>3</v>
      </c>
      <c r="AC580" s="52" t="s">
        <v>247</v>
      </c>
      <c r="AD580" s="52" t="s">
        <v>2</v>
      </c>
      <c r="AE580" s="52" t="s">
        <v>372</v>
      </c>
      <c r="AF580" s="155" t="s">
        <v>247</v>
      </c>
      <c r="AG580" s="155" t="s">
        <v>247</v>
      </c>
    </row>
    <row r="581" spans="25:33">
      <c r="Y581" s="47">
        <v>2550</v>
      </c>
      <c r="Z581" s="52" t="s">
        <v>410</v>
      </c>
      <c r="AA581" s="52">
        <v>6</v>
      </c>
      <c r="AB581" s="52">
        <v>3</v>
      </c>
      <c r="AC581" s="52" t="s">
        <v>247</v>
      </c>
      <c r="AD581" s="52" t="s">
        <v>2</v>
      </c>
      <c r="AE581" s="52" t="s">
        <v>372</v>
      </c>
      <c r="AF581" s="155" t="s">
        <v>247</v>
      </c>
      <c r="AG581" s="155" t="s">
        <v>247</v>
      </c>
    </row>
    <row r="582" spans="25:33">
      <c r="Y582" s="47">
        <v>2551</v>
      </c>
      <c r="Z582" s="52" t="s">
        <v>410</v>
      </c>
      <c r="AA582" s="52">
        <v>6</v>
      </c>
      <c r="AB582" s="52">
        <v>3</v>
      </c>
      <c r="AC582" s="52" t="s">
        <v>247</v>
      </c>
      <c r="AD582" s="52" t="s">
        <v>2</v>
      </c>
      <c r="AE582" s="52" t="s">
        <v>372</v>
      </c>
      <c r="AF582" s="155" t="s">
        <v>247</v>
      </c>
      <c r="AG582" s="155" t="s">
        <v>247</v>
      </c>
    </row>
    <row r="583" spans="25:33">
      <c r="Y583" s="47">
        <v>2552</v>
      </c>
      <c r="Z583" s="52" t="s">
        <v>410</v>
      </c>
      <c r="AA583" s="52" t="s">
        <v>247</v>
      </c>
      <c r="AB583" s="52">
        <v>3</v>
      </c>
      <c r="AC583" s="52" t="s">
        <v>247</v>
      </c>
      <c r="AD583" s="52" t="s">
        <v>1</v>
      </c>
      <c r="AE583" s="52" t="s">
        <v>372</v>
      </c>
      <c r="AF583" s="155" t="s">
        <v>247</v>
      </c>
      <c r="AG583" s="155" t="s">
        <v>247</v>
      </c>
    </row>
    <row r="584" spans="25:33">
      <c r="Y584" s="47">
        <v>2553</v>
      </c>
      <c r="Z584" s="52" t="s">
        <v>410</v>
      </c>
      <c r="AA584" s="52" t="s">
        <v>247</v>
      </c>
      <c r="AB584" s="52">
        <v>3</v>
      </c>
      <c r="AC584" s="52" t="s">
        <v>247</v>
      </c>
      <c r="AD584" s="52" t="s">
        <v>1</v>
      </c>
      <c r="AE584" s="52" t="s">
        <v>372</v>
      </c>
      <c r="AF584" s="155" t="s">
        <v>247</v>
      </c>
      <c r="AG584" s="155" t="s">
        <v>247</v>
      </c>
    </row>
    <row r="585" spans="25:33">
      <c r="Y585" s="47">
        <v>2554</v>
      </c>
      <c r="Z585" s="52" t="s">
        <v>410</v>
      </c>
      <c r="AA585" s="52" t="s">
        <v>247</v>
      </c>
      <c r="AB585" s="52">
        <v>3</v>
      </c>
      <c r="AC585" s="52" t="s">
        <v>247</v>
      </c>
      <c r="AD585" s="52" t="s">
        <v>1</v>
      </c>
      <c r="AE585" s="52" t="s">
        <v>372</v>
      </c>
      <c r="AF585" s="155" t="s">
        <v>247</v>
      </c>
      <c r="AG585" s="155" t="s">
        <v>247</v>
      </c>
    </row>
    <row r="586" spans="25:33">
      <c r="Y586" s="47">
        <v>2555</v>
      </c>
      <c r="Z586" s="52" t="s">
        <v>410</v>
      </c>
      <c r="AA586" s="52">
        <v>6</v>
      </c>
      <c r="AB586" s="52">
        <v>3</v>
      </c>
      <c r="AC586" s="52" t="s">
        <v>247</v>
      </c>
      <c r="AD586" s="52" t="s">
        <v>1</v>
      </c>
      <c r="AE586" s="52" t="s">
        <v>372</v>
      </c>
      <c r="AF586" s="155" t="s">
        <v>247</v>
      </c>
      <c r="AG586" s="155" t="s">
        <v>247</v>
      </c>
    </row>
    <row r="587" spans="25:33">
      <c r="Y587" s="47">
        <v>2556</v>
      </c>
      <c r="Z587" s="52" t="s">
        <v>410</v>
      </c>
      <c r="AA587" s="52">
        <v>6</v>
      </c>
      <c r="AB587" s="52">
        <v>3</v>
      </c>
      <c r="AC587" s="52" t="s">
        <v>247</v>
      </c>
      <c r="AD587" s="52" t="s">
        <v>1</v>
      </c>
      <c r="AE587" s="52" t="s">
        <v>372</v>
      </c>
      <c r="AF587" s="155" t="s">
        <v>247</v>
      </c>
      <c r="AG587" s="155" t="s">
        <v>247</v>
      </c>
    </row>
    <row r="588" spans="25:33">
      <c r="Y588" s="47">
        <v>2557</v>
      </c>
      <c r="Z588" s="52" t="s">
        <v>410</v>
      </c>
      <c r="AA588" s="52">
        <v>6</v>
      </c>
      <c r="AB588" s="52">
        <v>3</v>
      </c>
      <c r="AC588" s="52" t="s">
        <v>247</v>
      </c>
      <c r="AD588" s="52" t="s">
        <v>1</v>
      </c>
      <c r="AE588" s="52" t="s">
        <v>372</v>
      </c>
      <c r="AF588" s="155" t="s">
        <v>247</v>
      </c>
      <c r="AG588" s="155" t="s">
        <v>247</v>
      </c>
    </row>
    <row r="589" spans="25:33">
      <c r="Y589" s="47">
        <v>2558</v>
      </c>
      <c r="Z589" s="52" t="s">
        <v>410</v>
      </c>
      <c r="AA589" s="52">
        <v>6</v>
      </c>
      <c r="AB589" s="52">
        <v>3</v>
      </c>
      <c r="AC589" s="52" t="s">
        <v>247</v>
      </c>
      <c r="AD589" s="52" t="s">
        <v>1</v>
      </c>
      <c r="AE589" s="52" t="s">
        <v>372</v>
      </c>
      <c r="AF589" s="155" t="s">
        <v>247</v>
      </c>
      <c r="AG589" s="155" t="s">
        <v>247</v>
      </c>
    </row>
    <row r="590" spans="25:33">
      <c r="Y590" s="47">
        <v>2559</v>
      </c>
      <c r="Z590" s="52" t="s">
        <v>410</v>
      </c>
      <c r="AA590" s="52">
        <v>6</v>
      </c>
      <c r="AB590" s="52">
        <v>3</v>
      </c>
      <c r="AC590" s="52" t="s">
        <v>247</v>
      </c>
      <c r="AD590" s="52" t="s">
        <v>1</v>
      </c>
      <c r="AE590" s="52" t="s">
        <v>372</v>
      </c>
      <c r="AF590" s="155" t="s">
        <v>247</v>
      </c>
      <c r="AG590" s="155" t="s">
        <v>247</v>
      </c>
    </row>
    <row r="591" spans="25:33">
      <c r="Y591" s="47">
        <v>2560</v>
      </c>
      <c r="Z591" s="52" t="s">
        <v>410</v>
      </c>
      <c r="AA591" s="52">
        <v>6</v>
      </c>
      <c r="AB591" s="52">
        <v>3</v>
      </c>
      <c r="AC591" s="52" t="s">
        <v>247</v>
      </c>
      <c r="AD591" s="52" t="s">
        <v>1</v>
      </c>
      <c r="AE591" s="52" t="s">
        <v>372</v>
      </c>
      <c r="AF591" s="155" t="s">
        <v>247</v>
      </c>
      <c r="AG591" s="155" t="s">
        <v>247</v>
      </c>
    </row>
    <row r="592" spans="25:33">
      <c r="Y592" s="47">
        <v>2561</v>
      </c>
      <c r="Z592" s="52" t="s">
        <v>410</v>
      </c>
      <c r="AA592" s="52" t="s">
        <v>247</v>
      </c>
      <c r="AB592" s="52">
        <v>3</v>
      </c>
      <c r="AC592" s="52" t="s">
        <v>247</v>
      </c>
      <c r="AD592" s="52" t="s">
        <v>1</v>
      </c>
      <c r="AE592" s="52" t="s">
        <v>372</v>
      </c>
      <c r="AF592" s="155" t="s">
        <v>247</v>
      </c>
      <c r="AG592" s="155" t="s">
        <v>247</v>
      </c>
    </row>
    <row r="593" spans="25:33">
      <c r="Y593" s="47">
        <v>2562</v>
      </c>
      <c r="Z593" s="52" t="s">
        <v>410</v>
      </c>
      <c r="AA593" s="52" t="s">
        <v>247</v>
      </c>
      <c r="AB593" s="52">
        <v>3</v>
      </c>
      <c r="AC593" s="52" t="s">
        <v>247</v>
      </c>
      <c r="AD593" s="52" t="s">
        <v>1</v>
      </c>
      <c r="AE593" s="52" t="s">
        <v>372</v>
      </c>
      <c r="AF593" s="155" t="s">
        <v>247</v>
      </c>
      <c r="AG593" s="155" t="s">
        <v>247</v>
      </c>
    </row>
    <row r="594" spans="25:33">
      <c r="Y594" s="47">
        <v>2563</v>
      </c>
      <c r="Z594" s="52" t="s">
        <v>410</v>
      </c>
      <c r="AA594" s="52">
        <v>6</v>
      </c>
      <c r="AB594" s="52">
        <v>3</v>
      </c>
      <c r="AC594" s="52" t="s">
        <v>247</v>
      </c>
      <c r="AD594" s="52" t="s">
        <v>1</v>
      </c>
      <c r="AE594" s="52" t="s">
        <v>372</v>
      </c>
      <c r="AF594" s="155" t="s">
        <v>247</v>
      </c>
      <c r="AG594" s="155" t="s">
        <v>247</v>
      </c>
    </row>
    <row r="595" spans="25:33">
      <c r="Y595" s="47">
        <v>2564</v>
      </c>
      <c r="Z595" s="52" t="s">
        <v>410</v>
      </c>
      <c r="AA595" s="52">
        <v>6</v>
      </c>
      <c r="AB595" s="52">
        <v>3</v>
      </c>
      <c r="AC595" s="52" t="s">
        <v>247</v>
      </c>
      <c r="AD595" s="52" t="s">
        <v>1</v>
      </c>
      <c r="AE595" s="52" t="s">
        <v>372</v>
      </c>
      <c r="AF595" s="155" t="s">
        <v>247</v>
      </c>
      <c r="AG595" s="155" t="s">
        <v>247</v>
      </c>
    </row>
    <row r="596" spans="25:33">
      <c r="Y596" s="47">
        <v>2565</v>
      </c>
      <c r="Z596" s="52" t="s">
        <v>410</v>
      </c>
      <c r="AA596" s="52">
        <v>6</v>
      </c>
      <c r="AB596" s="52">
        <v>3</v>
      </c>
      <c r="AC596" s="52" t="s">
        <v>247</v>
      </c>
      <c r="AD596" s="52" t="s">
        <v>1</v>
      </c>
      <c r="AE596" s="52" t="s">
        <v>372</v>
      </c>
      <c r="AF596" s="155" t="s">
        <v>247</v>
      </c>
      <c r="AG596" s="155" t="s">
        <v>247</v>
      </c>
    </row>
    <row r="597" spans="25:33">
      <c r="Y597" s="47">
        <v>2566</v>
      </c>
      <c r="Z597" s="52" t="s">
        <v>410</v>
      </c>
      <c r="AA597" s="52">
        <v>6</v>
      </c>
      <c r="AB597" s="52">
        <v>3</v>
      </c>
      <c r="AC597" s="52" t="s">
        <v>247</v>
      </c>
      <c r="AD597" s="52" t="s">
        <v>1</v>
      </c>
      <c r="AE597" s="52" t="s">
        <v>372</v>
      </c>
      <c r="AF597" s="155" t="s">
        <v>247</v>
      </c>
      <c r="AG597" s="155" t="s">
        <v>247</v>
      </c>
    </row>
    <row r="598" spans="25:33">
      <c r="Y598" s="47">
        <v>2567</v>
      </c>
      <c r="Z598" s="52" t="s">
        <v>410</v>
      </c>
      <c r="AA598" s="52">
        <v>6</v>
      </c>
      <c r="AB598" s="52">
        <v>3</v>
      </c>
      <c r="AC598" s="52" t="s">
        <v>247</v>
      </c>
      <c r="AD598" s="52" t="s">
        <v>1</v>
      </c>
      <c r="AE598" s="52" t="s">
        <v>372</v>
      </c>
      <c r="AF598" s="155" t="s">
        <v>247</v>
      </c>
      <c r="AG598" s="155" t="s">
        <v>247</v>
      </c>
    </row>
    <row r="599" spans="25:33">
      <c r="Y599" s="47">
        <v>2568</v>
      </c>
      <c r="Z599" s="52" t="s">
        <v>410</v>
      </c>
      <c r="AA599" s="52">
        <v>6</v>
      </c>
      <c r="AB599" s="52">
        <v>3</v>
      </c>
      <c r="AC599" s="52" t="s">
        <v>247</v>
      </c>
      <c r="AD599" s="52" t="s">
        <v>1</v>
      </c>
      <c r="AE599" s="52" t="s">
        <v>372</v>
      </c>
      <c r="AF599" s="155" t="s">
        <v>247</v>
      </c>
      <c r="AG599" s="155" t="s">
        <v>247</v>
      </c>
    </row>
    <row r="600" spans="25:33">
      <c r="Y600" s="47">
        <v>2569</v>
      </c>
      <c r="Z600" s="52" t="s">
        <v>410</v>
      </c>
      <c r="AA600" s="52">
        <v>6</v>
      </c>
      <c r="AB600" s="52">
        <v>3</v>
      </c>
      <c r="AC600" s="52" t="s">
        <v>247</v>
      </c>
      <c r="AD600" s="52" t="s">
        <v>1</v>
      </c>
      <c r="AE600" s="52" t="s">
        <v>372</v>
      </c>
      <c r="AF600" s="155" t="s">
        <v>247</v>
      </c>
      <c r="AG600" s="155" t="s">
        <v>247</v>
      </c>
    </row>
    <row r="601" spans="25:33">
      <c r="Y601" s="47">
        <v>2570</v>
      </c>
      <c r="Z601" s="52" t="s">
        <v>410</v>
      </c>
      <c r="AA601" s="52">
        <v>6</v>
      </c>
      <c r="AB601" s="52">
        <v>3</v>
      </c>
      <c r="AC601" s="52" t="s">
        <v>247</v>
      </c>
      <c r="AD601" s="52" t="s">
        <v>1</v>
      </c>
      <c r="AE601" s="52" t="s">
        <v>372</v>
      </c>
      <c r="AF601" s="155" t="s">
        <v>247</v>
      </c>
      <c r="AG601" s="155" t="s">
        <v>247</v>
      </c>
    </row>
    <row r="602" spans="25:33">
      <c r="Y602" s="47">
        <v>2571</v>
      </c>
      <c r="Z602" s="52" t="s">
        <v>410</v>
      </c>
      <c r="AA602" s="52">
        <v>6</v>
      </c>
      <c r="AB602" s="52">
        <v>3</v>
      </c>
      <c r="AC602" s="52" t="s">
        <v>247</v>
      </c>
      <c r="AD602" s="52" t="s">
        <v>1</v>
      </c>
      <c r="AE602" s="52" t="s">
        <v>372</v>
      </c>
      <c r="AF602" s="155" t="s">
        <v>247</v>
      </c>
      <c r="AG602" s="155" t="s">
        <v>247</v>
      </c>
    </row>
    <row r="603" spans="25:33">
      <c r="Y603" s="47">
        <v>2572</v>
      </c>
      <c r="Z603" s="52" t="s">
        <v>410</v>
      </c>
      <c r="AA603" s="52">
        <v>6</v>
      </c>
      <c r="AB603" s="52">
        <v>3</v>
      </c>
      <c r="AC603" s="52" t="s">
        <v>247</v>
      </c>
      <c r="AD603" s="52" t="s">
        <v>1</v>
      </c>
      <c r="AE603" s="52" t="s">
        <v>372</v>
      </c>
      <c r="AF603" s="155" t="s">
        <v>247</v>
      </c>
      <c r="AG603" s="155" t="s">
        <v>247</v>
      </c>
    </row>
    <row r="604" spans="25:33">
      <c r="Y604" s="47">
        <v>2573</v>
      </c>
      <c r="Z604" s="52" t="s">
        <v>410</v>
      </c>
      <c r="AA604" s="52">
        <v>6</v>
      </c>
      <c r="AB604" s="52">
        <v>3</v>
      </c>
      <c r="AC604" s="52" t="s">
        <v>247</v>
      </c>
      <c r="AD604" s="52" t="s">
        <v>1</v>
      </c>
      <c r="AE604" s="52" t="s">
        <v>372</v>
      </c>
      <c r="AF604" s="155" t="s">
        <v>247</v>
      </c>
      <c r="AG604" s="155" t="s">
        <v>247</v>
      </c>
    </row>
    <row r="605" spans="25:33">
      <c r="Y605" s="47">
        <v>2574</v>
      </c>
      <c r="Z605" s="52" t="s">
        <v>410</v>
      </c>
      <c r="AA605" s="52">
        <v>6</v>
      </c>
      <c r="AB605" s="52">
        <v>3</v>
      </c>
      <c r="AC605" s="52" t="s">
        <v>247</v>
      </c>
      <c r="AD605" s="52" t="s">
        <v>1</v>
      </c>
      <c r="AE605" s="52" t="s">
        <v>372</v>
      </c>
      <c r="AF605" s="155" t="s">
        <v>247</v>
      </c>
      <c r="AG605" s="155" t="s">
        <v>247</v>
      </c>
    </row>
    <row r="606" spans="25:33">
      <c r="Y606" s="47">
        <v>2575</v>
      </c>
      <c r="Z606" s="52" t="s">
        <v>410</v>
      </c>
      <c r="AA606" s="52">
        <v>7</v>
      </c>
      <c r="AB606" s="52">
        <v>5</v>
      </c>
      <c r="AC606" s="52" t="s">
        <v>247</v>
      </c>
      <c r="AD606" s="52" t="s">
        <v>1</v>
      </c>
      <c r="AE606" s="52" t="s">
        <v>372</v>
      </c>
      <c r="AF606" s="155" t="s">
        <v>247</v>
      </c>
      <c r="AG606" s="155" t="s">
        <v>247</v>
      </c>
    </row>
    <row r="607" spans="25:33">
      <c r="Y607" s="47">
        <v>2576</v>
      </c>
      <c r="Z607" s="52" t="s">
        <v>410</v>
      </c>
      <c r="AA607" s="52">
        <v>6</v>
      </c>
      <c r="AB607" s="52">
        <v>3</v>
      </c>
      <c r="AC607" s="52" t="s">
        <v>247</v>
      </c>
      <c r="AD607" s="52" t="s">
        <v>1</v>
      </c>
      <c r="AE607" s="52" t="s">
        <v>372</v>
      </c>
      <c r="AF607" s="155" t="s">
        <v>247</v>
      </c>
      <c r="AG607" s="155" t="s">
        <v>247</v>
      </c>
    </row>
    <row r="608" spans="25:33">
      <c r="Y608" s="47">
        <v>2577</v>
      </c>
      <c r="Z608" s="52" t="s">
        <v>410</v>
      </c>
      <c r="AA608" s="52">
        <v>7</v>
      </c>
      <c r="AB608" s="52">
        <v>5</v>
      </c>
      <c r="AC608" s="52" t="s">
        <v>247</v>
      </c>
      <c r="AD608" s="52" t="s">
        <v>1</v>
      </c>
      <c r="AE608" s="52" t="s">
        <v>372</v>
      </c>
      <c r="AF608" s="155" t="s">
        <v>247</v>
      </c>
      <c r="AG608" s="155" t="s">
        <v>247</v>
      </c>
    </row>
    <row r="609" spans="25:33">
      <c r="Y609" s="47">
        <v>2578</v>
      </c>
      <c r="Z609" s="52" t="s">
        <v>410</v>
      </c>
      <c r="AA609" s="52">
        <v>7</v>
      </c>
      <c r="AB609" s="52">
        <v>5</v>
      </c>
      <c r="AC609" s="52" t="s">
        <v>247</v>
      </c>
      <c r="AD609" s="52" t="s">
        <v>1</v>
      </c>
      <c r="AE609" s="52" t="s">
        <v>372</v>
      </c>
      <c r="AF609" s="155" t="s">
        <v>247</v>
      </c>
      <c r="AG609" s="155" t="s">
        <v>247</v>
      </c>
    </row>
    <row r="610" spans="25:33">
      <c r="Y610" s="47">
        <v>2579</v>
      </c>
      <c r="Z610" s="52" t="s">
        <v>410</v>
      </c>
      <c r="AA610" s="52">
        <v>7</v>
      </c>
      <c r="AB610" s="52">
        <v>5</v>
      </c>
      <c r="AC610" s="52" t="s">
        <v>247</v>
      </c>
      <c r="AD610" s="52" t="s">
        <v>2</v>
      </c>
      <c r="AE610" s="52" t="s">
        <v>372</v>
      </c>
      <c r="AF610" s="155" t="s">
        <v>247</v>
      </c>
      <c r="AG610" s="155" t="s">
        <v>247</v>
      </c>
    </row>
    <row r="611" spans="25:33">
      <c r="Y611" s="47">
        <v>2580</v>
      </c>
      <c r="Z611" s="52" t="s">
        <v>407</v>
      </c>
      <c r="AA611" s="52">
        <v>7</v>
      </c>
      <c r="AB611" s="52">
        <v>5</v>
      </c>
      <c r="AC611" s="52" t="s">
        <v>247</v>
      </c>
      <c r="AD611" s="52" t="s">
        <v>2</v>
      </c>
      <c r="AE611" s="52" t="s">
        <v>372</v>
      </c>
      <c r="AF611" s="155" t="s">
        <v>247</v>
      </c>
      <c r="AG611" s="155" t="s">
        <v>247</v>
      </c>
    </row>
    <row r="612" spans="25:33">
      <c r="Y612" s="47">
        <v>2581</v>
      </c>
      <c r="Z612" s="52" t="s">
        <v>407</v>
      </c>
      <c r="AA612" s="52">
        <v>7</v>
      </c>
      <c r="AB612" s="52">
        <v>5</v>
      </c>
      <c r="AC612" s="52" t="s">
        <v>247</v>
      </c>
      <c r="AD612" s="52" t="s">
        <v>2</v>
      </c>
      <c r="AE612" s="52" t="s">
        <v>372</v>
      </c>
      <c r="AF612" s="155" t="s">
        <v>247</v>
      </c>
      <c r="AG612" s="155" t="s">
        <v>247</v>
      </c>
    </row>
    <row r="613" spans="25:33">
      <c r="Y613" s="47">
        <v>2582</v>
      </c>
      <c r="Z613" s="52" t="s">
        <v>410</v>
      </c>
      <c r="AA613" s="52">
        <v>7</v>
      </c>
      <c r="AB613" s="52">
        <v>5</v>
      </c>
      <c r="AC613" s="52" t="s">
        <v>247</v>
      </c>
      <c r="AD613" s="52" t="s">
        <v>2</v>
      </c>
      <c r="AE613" s="52" t="s">
        <v>372</v>
      </c>
      <c r="AF613" s="155" t="s">
        <v>247</v>
      </c>
      <c r="AG613" s="155" t="s">
        <v>247</v>
      </c>
    </row>
    <row r="614" spans="25:33">
      <c r="Y614" s="47">
        <v>2583</v>
      </c>
      <c r="Z614" s="52" t="s">
        <v>407</v>
      </c>
      <c r="AA614" s="52">
        <v>7</v>
      </c>
      <c r="AB614" s="52">
        <v>5</v>
      </c>
      <c r="AC614" s="52" t="s">
        <v>247</v>
      </c>
      <c r="AD614" s="52" t="s">
        <v>2</v>
      </c>
      <c r="AE614" s="52" t="s">
        <v>372</v>
      </c>
      <c r="AF614" s="155" t="s">
        <v>247</v>
      </c>
      <c r="AG614" s="155" t="s">
        <v>247</v>
      </c>
    </row>
    <row r="615" spans="25:33">
      <c r="Y615" s="47">
        <v>2584</v>
      </c>
      <c r="Z615" s="52" t="s">
        <v>410</v>
      </c>
      <c r="AA615" s="52">
        <v>4</v>
      </c>
      <c r="AB615" s="52">
        <v>3</v>
      </c>
      <c r="AC615" s="52" t="s">
        <v>247</v>
      </c>
      <c r="AD615" s="52" t="s">
        <v>2</v>
      </c>
      <c r="AE615" s="52" t="s">
        <v>372</v>
      </c>
      <c r="AF615" s="155" t="s">
        <v>247</v>
      </c>
      <c r="AG615" s="155" t="s">
        <v>247</v>
      </c>
    </row>
    <row r="616" spans="25:33">
      <c r="Y616" s="47">
        <v>2585</v>
      </c>
      <c r="Z616" s="52" t="s">
        <v>410</v>
      </c>
      <c r="AA616" s="52">
        <v>4</v>
      </c>
      <c r="AB616" s="52">
        <v>3</v>
      </c>
      <c r="AC616" s="52" t="s">
        <v>247</v>
      </c>
      <c r="AD616" s="52" t="s">
        <v>2</v>
      </c>
      <c r="AE616" s="52" t="s">
        <v>372</v>
      </c>
      <c r="AF616" s="155" t="s">
        <v>247</v>
      </c>
      <c r="AG616" s="155" t="s">
        <v>247</v>
      </c>
    </row>
    <row r="617" spans="25:33">
      <c r="Y617" s="47">
        <v>2586</v>
      </c>
      <c r="Z617" s="52" t="s">
        <v>410</v>
      </c>
      <c r="AA617" s="52">
        <v>4</v>
      </c>
      <c r="AB617" s="52">
        <v>3</v>
      </c>
      <c r="AC617" s="52" t="s">
        <v>247</v>
      </c>
      <c r="AD617" s="52" t="s">
        <v>2</v>
      </c>
      <c r="AE617" s="52" t="s">
        <v>372</v>
      </c>
      <c r="AF617" s="155" t="s">
        <v>247</v>
      </c>
      <c r="AG617" s="155" t="s">
        <v>247</v>
      </c>
    </row>
    <row r="618" spans="25:33">
      <c r="Y618" s="47">
        <v>2587</v>
      </c>
      <c r="Z618" s="52" t="s">
        <v>410</v>
      </c>
      <c r="AA618" s="52">
        <v>7</v>
      </c>
      <c r="AB618" s="52">
        <v>5</v>
      </c>
      <c r="AC618" s="52" t="s">
        <v>247</v>
      </c>
      <c r="AD618" s="52" t="s">
        <v>2</v>
      </c>
      <c r="AE618" s="52" t="s">
        <v>372</v>
      </c>
      <c r="AF618" s="155" t="s">
        <v>247</v>
      </c>
      <c r="AG618" s="155" t="s">
        <v>247</v>
      </c>
    </row>
    <row r="619" spans="25:33">
      <c r="Y619" s="47">
        <v>2588</v>
      </c>
      <c r="Z619" s="52" t="s">
        <v>410</v>
      </c>
      <c r="AA619" s="52">
        <v>4</v>
      </c>
      <c r="AB619" s="52">
        <v>3</v>
      </c>
      <c r="AC619" s="52" t="s">
        <v>247</v>
      </c>
      <c r="AD619" s="52" t="s">
        <v>2</v>
      </c>
      <c r="AE619" s="52" t="s">
        <v>372</v>
      </c>
      <c r="AF619" s="155" t="s">
        <v>247</v>
      </c>
      <c r="AG619" s="155" t="s">
        <v>247</v>
      </c>
    </row>
    <row r="620" spans="25:33">
      <c r="Y620" s="47">
        <v>2589</v>
      </c>
      <c r="Z620" s="52" t="s">
        <v>410</v>
      </c>
      <c r="AA620" s="52" t="s">
        <v>247</v>
      </c>
      <c r="AB620" s="52">
        <v>3</v>
      </c>
      <c r="AC620" s="52" t="s">
        <v>247</v>
      </c>
      <c r="AD620" s="52" t="s">
        <v>2</v>
      </c>
      <c r="AE620" s="52" t="s">
        <v>372</v>
      </c>
      <c r="AF620" s="155" t="s">
        <v>247</v>
      </c>
      <c r="AG620" s="155" t="s">
        <v>247</v>
      </c>
    </row>
    <row r="621" spans="25:33">
      <c r="Y621" s="47">
        <v>2590</v>
      </c>
      <c r="Z621" s="52" t="s">
        <v>410</v>
      </c>
      <c r="AA621" s="52">
        <v>4</v>
      </c>
      <c r="AB621" s="52">
        <v>3</v>
      </c>
      <c r="AC621" s="52" t="s">
        <v>247</v>
      </c>
      <c r="AD621" s="52" t="s">
        <v>2</v>
      </c>
      <c r="AE621" s="52" t="s">
        <v>372</v>
      </c>
      <c r="AF621" s="155" t="s">
        <v>247</v>
      </c>
      <c r="AG621" s="155" t="s">
        <v>247</v>
      </c>
    </row>
    <row r="622" spans="25:33">
      <c r="Y622" s="47">
        <v>2591</v>
      </c>
      <c r="Z622" s="52" t="s">
        <v>410</v>
      </c>
      <c r="AA622" s="52" t="s">
        <v>247</v>
      </c>
      <c r="AB622" s="52">
        <v>3</v>
      </c>
      <c r="AC622" s="52" t="s">
        <v>247</v>
      </c>
      <c r="AD622" s="52" t="s">
        <v>2</v>
      </c>
      <c r="AE622" s="52" t="s">
        <v>372</v>
      </c>
      <c r="AF622" s="155" t="s">
        <v>247</v>
      </c>
      <c r="AG622" s="155" t="s">
        <v>247</v>
      </c>
    </row>
    <row r="623" spans="25:33">
      <c r="Y623" s="47">
        <v>2592</v>
      </c>
      <c r="Z623" s="52" t="s">
        <v>410</v>
      </c>
      <c r="AA623" s="52" t="s">
        <v>247</v>
      </c>
      <c r="AB623" s="52">
        <v>3</v>
      </c>
      <c r="AC623" s="52" t="s">
        <v>247</v>
      </c>
      <c r="AD623" s="52" t="s">
        <v>2</v>
      </c>
      <c r="AE623" s="52" t="s">
        <v>372</v>
      </c>
      <c r="AF623" s="155" t="s">
        <v>247</v>
      </c>
      <c r="AG623" s="155" t="s">
        <v>247</v>
      </c>
    </row>
    <row r="624" spans="25:33">
      <c r="Y624" s="47">
        <v>2593</v>
      </c>
      <c r="Z624" s="52" t="s">
        <v>410</v>
      </c>
      <c r="AA624" s="52" t="s">
        <v>247</v>
      </c>
      <c r="AB624" s="52">
        <v>3</v>
      </c>
      <c r="AC624" s="52" t="s">
        <v>247</v>
      </c>
      <c r="AD624" s="52" t="s">
        <v>2</v>
      </c>
      <c r="AE624" s="52" t="s">
        <v>372</v>
      </c>
      <c r="AF624" s="155" t="s">
        <v>247</v>
      </c>
      <c r="AG624" s="155" t="s">
        <v>247</v>
      </c>
    </row>
    <row r="625" spans="25:33">
      <c r="Y625" s="47">
        <v>2594</v>
      </c>
      <c r="Z625" s="52" t="s">
        <v>410</v>
      </c>
      <c r="AA625" s="52">
        <v>7</v>
      </c>
      <c r="AB625" s="52">
        <v>5</v>
      </c>
      <c r="AC625" s="52" t="s">
        <v>247</v>
      </c>
      <c r="AD625" s="52" t="s">
        <v>2</v>
      </c>
      <c r="AE625" s="52" t="s">
        <v>372</v>
      </c>
      <c r="AF625" s="155" t="s">
        <v>247</v>
      </c>
      <c r="AG625" s="155" t="s">
        <v>247</v>
      </c>
    </row>
    <row r="626" spans="25:33">
      <c r="Y626" s="47">
        <v>2619</v>
      </c>
      <c r="Z626" s="52" t="s">
        <v>407</v>
      </c>
      <c r="AA626" s="52">
        <v>7</v>
      </c>
      <c r="AB626" s="52">
        <v>5</v>
      </c>
      <c r="AC626" s="52" t="s">
        <v>247</v>
      </c>
      <c r="AD626" s="52" t="s">
        <v>2</v>
      </c>
      <c r="AE626" s="52" t="s">
        <v>372</v>
      </c>
      <c r="AF626" s="155" t="s">
        <v>247</v>
      </c>
      <c r="AG626" s="155" t="s">
        <v>247</v>
      </c>
    </row>
    <row r="627" spans="25:33">
      <c r="Y627" s="47">
        <v>2620</v>
      </c>
      <c r="Z627" s="52" t="s">
        <v>407</v>
      </c>
      <c r="AA627" s="52">
        <v>7</v>
      </c>
      <c r="AB627" s="52">
        <v>5</v>
      </c>
      <c r="AC627" s="52" t="s">
        <v>247</v>
      </c>
      <c r="AD627" s="52" t="s">
        <v>2</v>
      </c>
      <c r="AE627" s="52" t="s">
        <v>372</v>
      </c>
      <c r="AF627" s="155" t="s">
        <v>247</v>
      </c>
      <c r="AG627" s="155" t="s">
        <v>247</v>
      </c>
    </row>
    <row r="628" spans="25:33">
      <c r="Y628" s="47">
        <v>2621</v>
      </c>
      <c r="Z628" s="52" t="s">
        <v>407</v>
      </c>
      <c r="AA628" s="52">
        <v>7</v>
      </c>
      <c r="AB628" s="52">
        <v>5</v>
      </c>
      <c r="AC628" s="52" t="s">
        <v>247</v>
      </c>
      <c r="AD628" s="52" t="s">
        <v>2</v>
      </c>
      <c r="AE628" s="52" t="s">
        <v>372</v>
      </c>
      <c r="AF628" s="155" t="s">
        <v>247</v>
      </c>
      <c r="AG628" s="155" t="s">
        <v>247</v>
      </c>
    </row>
    <row r="629" spans="25:33">
      <c r="Y629" s="47">
        <v>2622</v>
      </c>
      <c r="Z629" s="52" t="s">
        <v>407</v>
      </c>
      <c r="AA629" s="52">
        <v>7</v>
      </c>
      <c r="AB629" s="52">
        <v>5</v>
      </c>
      <c r="AC629" s="52" t="s">
        <v>247</v>
      </c>
      <c r="AD629" s="52" t="s">
        <v>2</v>
      </c>
      <c r="AE629" s="52" t="s">
        <v>372</v>
      </c>
      <c r="AF629" s="155" t="s">
        <v>247</v>
      </c>
      <c r="AG629" s="155" t="s">
        <v>247</v>
      </c>
    </row>
    <row r="630" spans="25:33">
      <c r="Y630" s="47">
        <v>2623</v>
      </c>
      <c r="Z630" s="52" t="s">
        <v>407</v>
      </c>
      <c r="AA630" s="52">
        <v>7</v>
      </c>
      <c r="AB630" s="52">
        <v>5</v>
      </c>
      <c r="AC630" s="52" t="s">
        <v>247</v>
      </c>
      <c r="AD630" s="52" t="s">
        <v>2</v>
      </c>
      <c r="AE630" s="52" t="s">
        <v>372</v>
      </c>
      <c r="AF630" s="155" t="s">
        <v>247</v>
      </c>
      <c r="AG630" s="155" t="s">
        <v>247</v>
      </c>
    </row>
    <row r="631" spans="25:33">
      <c r="Y631" s="47">
        <v>2624</v>
      </c>
      <c r="Z631" s="52" t="s">
        <v>407</v>
      </c>
      <c r="AA631" s="52">
        <v>8</v>
      </c>
      <c r="AB631" s="52">
        <v>5</v>
      </c>
      <c r="AC631" s="52" t="s">
        <v>247</v>
      </c>
      <c r="AD631" s="52" t="s">
        <v>2</v>
      </c>
      <c r="AE631" s="52" t="s">
        <v>372</v>
      </c>
      <c r="AF631" s="155" t="s">
        <v>247</v>
      </c>
      <c r="AG631" s="155" t="s">
        <v>247</v>
      </c>
    </row>
    <row r="632" spans="25:33">
      <c r="Y632" s="47">
        <v>2625</v>
      </c>
      <c r="Z632" s="52" t="s">
        <v>407</v>
      </c>
      <c r="AA632" s="52">
        <v>8</v>
      </c>
      <c r="AB632" s="52">
        <v>5</v>
      </c>
      <c r="AC632" s="52" t="s">
        <v>247</v>
      </c>
      <c r="AD632" s="52" t="s">
        <v>2</v>
      </c>
      <c r="AE632" s="52" t="s">
        <v>372</v>
      </c>
      <c r="AF632" s="155" t="s">
        <v>247</v>
      </c>
      <c r="AG632" s="155" t="s">
        <v>247</v>
      </c>
    </row>
    <row r="633" spans="25:33">
      <c r="Y633" s="47">
        <v>2626</v>
      </c>
      <c r="Z633" s="52" t="s">
        <v>407</v>
      </c>
      <c r="AA633" s="52">
        <v>7</v>
      </c>
      <c r="AB633" s="52">
        <v>5</v>
      </c>
      <c r="AC633" s="52" t="s">
        <v>247</v>
      </c>
      <c r="AD633" s="52" t="s">
        <v>2</v>
      </c>
      <c r="AE633" s="52" t="s">
        <v>372</v>
      </c>
      <c r="AF633" s="155" t="s">
        <v>247</v>
      </c>
      <c r="AG633" s="155" t="s">
        <v>247</v>
      </c>
    </row>
    <row r="634" spans="25:33">
      <c r="Y634" s="47">
        <v>2627</v>
      </c>
      <c r="Z634" s="52" t="s">
        <v>407</v>
      </c>
      <c r="AA634" s="52">
        <v>8</v>
      </c>
      <c r="AB634" s="52">
        <v>5</v>
      </c>
      <c r="AC634" s="52" t="s">
        <v>247</v>
      </c>
      <c r="AD634" s="52" t="s">
        <v>2</v>
      </c>
      <c r="AE634" s="52" t="s">
        <v>372</v>
      </c>
      <c r="AF634" s="155" t="s">
        <v>247</v>
      </c>
      <c r="AG634" s="155" t="s">
        <v>247</v>
      </c>
    </row>
    <row r="635" spans="25:33">
      <c r="Y635" s="47">
        <v>2628</v>
      </c>
      <c r="Z635" s="52" t="s">
        <v>407</v>
      </c>
      <c r="AA635" s="52">
        <v>7</v>
      </c>
      <c r="AB635" s="52">
        <v>5</v>
      </c>
      <c r="AC635" s="52" t="s">
        <v>247</v>
      </c>
      <c r="AD635" s="52" t="s">
        <v>2</v>
      </c>
      <c r="AE635" s="52" t="s">
        <v>372</v>
      </c>
      <c r="AF635" s="155" t="s">
        <v>247</v>
      </c>
      <c r="AG635" s="155" t="s">
        <v>247</v>
      </c>
    </row>
    <row r="636" spans="25:33">
      <c r="Y636" s="47">
        <v>2629</v>
      </c>
      <c r="Z636" s="52" t="s">
        <v>407</v>
      </c>
      <c r="AA636" s="52">
        <v>8</v>
      </c>
      <c r="AB636" s="52">
        <v>5</v>
      </c>
      <c r="AC636" s="52" t="s">
        <v>247</v>
      </c>
      <c r="AD636" s="52" t="s">
        <v>2</v>
      </c>
      <c r="AE636" s="52" t="s">
        <v>372</v>
      </c>
      <c r="AF636" s="155" t="s">
        <v>247</v>
      </c>
      <c r="AG636" s="155" t="s">
        <v>247</v>
      </c>
    </row>
    <row r="637" spans="25:33">
      <c r="Y637" s="47">
        <v>2630</v>
      </c>
      <c r="Z637" s="52" t="s">
        <v>407</v>
      </c>
      <c r="AA637" s="52">
        <v>7</v>
      </c>
      <c r="AB637" s="52">
        <v>5</v>
      </c>
      <c r="AC637" s="52" t="s">
        <v>247</v>
      </c>
      <c r="AD637" s="52" t="s">
        <v>2</v>
      </c>
      <c r="AE637" s="52" t="s">
        <v>372</v>
      </c>
      <c r="AF637" s="155" t="s">
        <v>247</v>
      </c>
      <c r="AG637" s="155" t="s">
        <v>247</v>
      </c>
    </row>
    <row r="638" spans="25:33">
      <c r="Y638" s="47">
        <v>2631</v>
      </c>
      <c r="Z638" s="52" t="s">
        <v>407</v>
      </c>
      <c r="AA638" s="52">
        <v>7</v>
      </c>
      <c r="AB638" s="52">
        <v>5</v>
      </c>
      <c r="AC638" s="52" t="s">
        <v>247</v>
      </c>
      <c r="AD638" s="52" t="s">
        <v>2</v>
      </c>
      <c r="AE638" s="52" t="s">
        <v>372</v>
      </c>
      <c r="AF638" s="155" t="s">
        <v>247</v>
      </c>
      <c r="AG638" s="155" t="s">
        <v>247</v>
      </c>
    </row>
    <row r="639" spans="25:33">
      <c r="Y639" s="47">
        <v>2632</v>
      </c>
      <c r="Z639" s="52" t="s">
        <v>407</v>
      </c>
      <c r="AA639" s="52">
        <v>7</v>
      </c>
      <c r="AB639" s="52">
        <v>5</v>
      </c>
      <c r="AC639" s="52" t="s">
        <v>247</v>
      </c>
      <c r="AD639" s="52" t="s">
        <v>2</v>
      </c>
      <c r="AE639" s="52" t="s">
        <v>372</v>
      </c>
      <c r="AF639" s="155" t="s">
        <v>247</v>
      </c>
      <c r="AG639" s="155" t="s">
        <v>247</v>
      </c>
    </row>
    <row r="640" spans="25:33">
      <c r="Y640" s="47">
        <v>2633</v>
      </c>
      <c r="Z640" s="52" t="s">
        <v>407</v>
      </c>
      <c r="AA640" s="52">
        <v>7</v>
      </c>
      <c r="AB640" s="52">
        <v>5</v>
      </c>
      <c r="AC640" s="52" t="s">
        <v>247</v>
      </c>
      <c r="AD640" s="52" t="s">
        <v>2</v>
      </c>
      <c r="AE640" s="52" t="s">
        <v>372</v>
      </c>
      <c r="AF640" s="155" t="s">
        <v>247</v>
      </c>
      <c r="AG640" s="155" t="s">
        <v>247</v>
      </c>
    </row>
    <row r="641" spans="25:33">
      <c r="Y641" s="47">
        <v>2640</v>
      </c>
      <c r="Z641" s="52" t="s">
        <v>410</v>
      </c>
      <c r="AA641" s="52">
        <v>4</v>
      </c>
      <c r="AB641" s="52">
        <v>3</v>
      </c>
      <c r="AC641" s="52" t="s">
        <v>247</v>
      </c>
      <c r="AD641" s="52" t="s">
        <v>2</v>
      </c>
      <c r="AE641" s="52" t="s">
        <v>372</v>
      </c>
      <c r="AF641" s="155" t="s">
        <v>247</v>
      </c>
      <c r="AG641" s="155" t="s">
        <v>247</v>
      </c>
    </row>
    <row r="642" spans="25:33">
      <c r="Y642" s="47">
        <v>2641</v>
      </c>
      <c r="Z642" s="52" t="s">
        <v>410</v>
      </c>
      <c r="AA642" s="52">
        <v>4</v>
      </c>
      <c r="AB642" s="52">
        <v>3</v>
      </c>
      <c r="AC642" s="52" t="s">
        <v>247</v>
      </c>
      <c r="AD642" s="52" t="s">
        <v>2</v>
      </c>
      <c r="AE642" s="52" t="s">
        <v>372</v>
      </c>
      <c r="AF642" s="155" t="s">
        <v>247</v>
      </c>
      <c r="AG642" s="155" t="s">
        <v>247</v>
      </c>
    </row>
    <row r="643" spans="25:33">
      <c r="Y643" s="47">
        <v>2642</v>
      </c>
      <c r="Z643" s="52" t="s">
        <v>410</v>
      </c>
      <c r="AA643" s="52">
        <v>4</v>
      </c>
      <c r="AB643" s="52">
        <v>3</v>
      </c>
      <c r="AC643" s="52" t="s">
        <v>247</v>
      </c>
      <c r="AD643" s="52" t="s">
        <v>2</v>
      </c>
      <c r="AE643" s="52" t="s">
        <v>372</v>
      </c>
      <c r="AF643" s="155" t="s">
        <v>247</v>
      </c>
      <c r="AG643" s="155" t="s">
        <v>247</v>
      </c>
    </row>
    <row r="644" spans="25:33">
      <c r="Y644" s="47">
        <v>2643</v>
      </c>
      <c r="Z644" s="52" t="s">
        <v>410</v>
      </c>
      <c r="AA644" s="52">
        <v>4</v>
      </c>
      <c r="AB644" s="52">
        <v>3</v>
      </c>
      <c r="AC644" s="52" t="s">
        <v>247</v>
      </c>
      <c r="AD644" s="52" t="s">
        <v>2</v>
      </c>
      <c r="AE644" s="52" t="s">
        <v>372</v>
      </c>
      <c r="AF644" s="155" t="s">
        <v>247</v>
      </c>
      <c r="AG644" s="155" t="s">
        <v>247</v>
      </c>
    </row>
    <row r="645" spans="25:33">
      <c r="Y645" s="47">
        <v>2644</v>
      </c>
      <c r="Z645" s="52" t="s">
        <v>410</v>
      </c>
      <c r="AA645" s="52">
        <v>4</v>
      </c>
      <c r="AB645" s="52">
        <v>3</v>
      </c>
      <c r="AC645" s="52" t="s">
        <v>247</v>
      </c>
      <c r="AD645" s="52" t="s">
        <v>2</v>
      </c>
      <c r="AE645" s="52" t="s">
        <v>372</v>
      </c>
      <c r="AF645" s="155" t="s">
        <v>247</v>
      </c>
      <c r="AG645" s="155" t="s">
        <v>247</v>
      </c>
    </row>
    <row r="646" spans="25:33">
      <c r="Y646" s="47">
        <v>2645</v>
      </c>
      <c r="Z646" s="52" t="s">
        <v>410</v>
      </c>
      <c r="AA646" s="52">
        <v>4</v>
      </c>
      <c r="AB646" s="52">
        <v>3</v>
      </c>
      <c r="AC646" s="52" t="s">
        <v>247</v>
      </c>
      <c r="AD646" s="52" t="s">
        <v>2</v>
      </c>
      <c r="AE646" s="52" t="s">
        <v>372</v>
      </c>
      <c r="AF646" s="155" t="s">
        <v>247</v>
      </c>
      <c r="AG646" s="155" t="s">
        <v>247</v>
      </c>
    </row>
    <row r="647" spans="25:33">
      <c r="Y647" s="47">
        <v>2646</v>
      </c>
      <c r="Z647" s="52" t="s">
        <v>410</v>
      </c>
      <c r="AA647" s="52">
        <v>4</v>
      </c>
      <c r="AB647" s="52">
        <v>3</v>
      </c>
      <c r="AC647" s="52" t="s">
        <v>247</v>
      </c>
      <c r="AD647" s="52" t="s">
        <v>2</v>
      </c>
      <c r="AE647" s="52" t="s">
        <v>372</v>
      </c>
      <c r="AF647" s="155" t="s">
        <v>247</v>
      </c>
      <c r="AG647" s="155" t="s">
        <v>247</v>
      </c>
    </row>
    <row r="648" spans="25:33">
      <c r="Y648" s="47">
        <v>2647</v>
      </c>
      <c r="Z648" s="52" t="s">
        <v>410</v>
      </c>
      <c r="AA648" s="52">
        <v>4</v>
      </c>
      <c r="AB648" s="52">
        <v>3</v>
      </c>
      <c r="AC648" s="52" t="s">
        <v>247</v>
      </c>
      <c r="AD648" s="52" t="s">
        <v>2</v>
      </c>
      <c r="AE648" s="52" t="s">
        <v>372</v>
      </c>
      <c r="AF648" s="155" t="s">
        <v>247</v>
      </c>
      <c r="AG648" s="155" t="s">
        <v>247</v>
      </c>
    </row>
    <row r="649" spans="25:33">
      <c r="Y649" s="47">
        <v>2648</v>
      </c>
      <c r="Z649" s="52" t="s">
        <v>410</v>
      </c>
      <c r="AA649" s="52">
        <v>4</v>
      </c>
      <c r="AB649" s="52">
        <v>3</v>
      </c>
      <c r="AC649" s="52" t="s">
        <v>247</v>
      </c>
      <c r="AD649" s="52" t="s">
        <v>2</v>
      </c>
      <c r="AE649" s="52" t="s">
        <v>372</v>
      </c>
      <c r="AF649" s="155" t="s">
        <v>247</v>
      </c>
      <c r="AG649" s="155" t="s">
        <v>247</v>
      </c>
    </row>
    <row r="650" spans="25:33">
      <c r="Y650" s="47">
        <v>2649</v>
      </c>
      <c r="Z650" s="52" t="s">
        <v>407</v>
      </c>
      <c r="AA650" s="52">
        <v>7</v>
      </c>
      <c r="AB650" s="52">
        <v>5</v>
      </c>
      <c r="AC650" s="52" t="s">
        <v>247</v>
      </c>
      <c r="AD650" s="52" t="s">
        <v>2</v>
      </c>
      <c r="AE650" s="52" t="s">
        <v>372</v>
      </c>
      <c r="AF650" s="155" t="s">
        <v>247</v>
      </c>
      <c r="AG650" s="155" t="s">
        <v>247</v>
      </c>
    </row>
    <row r="651" spans="25:33">
      <c r="Y651" s="47">
        <v>2650</v>
      </c>
      <c r="Z651" s="52" t="s">
        <v>410</v>
      </c>
      <c r="AA651" s="52">
        <v>4</v>
      </c>
      <c r="AB651" s="52">
        <v>3</v>
      </c>
      <c r="AC651" s="52" t="s">
        <v>247</v>
      </c>
      <c r="AD651" s="52" t="s">
        <v>2</v>
      </c>
      <c r="AE651" s="52" t="s">
        <v>372</v>
      </c>
      <c r="AF651" s="155" t="s">
        <v>247</v>
      </c>
      <c r="AG651" s="155" t="s">
        <v>247</v>
      </c>
    </row>
    <row r="652" spans="25:33">
      <c r="Y652" s="47">
        <v>2651</v>
      </c>
      <c r="Z652" s="52" t="s">
        <v>410</v>
      </c>
      <c r="AA652" s="52">
        <v>4</v>
      </c>
      <c r="AB652" s="52">
        <v>3</v>
      </c>
      <c r="AC652" s="52" t="s">
        <v>247</v>
      </c>
      <c r="AD652" s="52" t="s">
        <v>2</v>
      </c>
      <c r="AE652" s="52" t="s">
        <v>372</v>
      </c>
      <c r="AF652" s="155" t="s">
        <v>247</v>
      </c>
      <c r="AG652" s="155" t="s">
        <v>247</v>
      </c>
    </row>
    <row r="653" spans="25:33">
      <c r="Y653" s="47">
        <v>2652</v>
      </c>
      <c r="Z653" s="52" t="s">
        <v>410</v>
      </c>
      <c r="AA653" s="52">
        <v>4</v>
      </c>
      <c r="AB653" s="52">
        <v>3</v>
      </c>
      <c r="AC653" s="52" t="s">
        <v>247</v>
      </c>
      <c r="AD653" s="52" t="s">
        <v>2</v>
      </c>
      <c r="AE653" s="52" t="s">
        <v>372</v>
      </c>
      <c r="AF653" s="155" t="s">
        <v>247</v>
      </c>
      <c r="AG653" s="155" t="s">
        <v>247</v>
      </c>
    </row>
    <row r="654" spans="25:33">
      <c r="Y654" s="47">
        <v>2653</v>
      </c>
      <c r="Z654" s="52" t="s">
        <v>407</v>
      </c>
      <c r="AA654" s="52">
        <v>7</v>
      </c>
      <c r="AB654" s="52">
        <v>5</v>
      </c>
      <c r="AC654" s="52" t="s">
        <v>247</v>
      </c>
      <c r="AD654" s="52" t="s">
        <v>2</v>
      </c>
      <c r="AE654" s="52" t="s">
        <v>372</v>
      </c>
      <c r="AF654" s="155" t="s">
        <v>247</v>
      </c>
      <c r="AG654" s="155" t="s">
        <v>247</v>
      </c>
    </row>
    <row r="655" spans="25:33">
      <c r="Y655" s="47">
        <v>2655</v>
      </c>
      <c r="Z655" s="52" t="s">
        <v>410</v>
      </c>
      <c r="AA655" s="52">
        <v>4</v>
      </c>
      <c r="AB655" s="52">
        <v>3</v>
      </c>
      <c r="AC655" s="52" t="s">
        <v>247</v>
      </c>
      <c r="AD655" s="52" t="s">
        <v>2</v>
      </c>
      <c r="AE655" s="52" t="s">
        <v>372</v>
      </c>
      <c r="AF655" s="155" t="s">
        <v>247</v>
      </c>
      <c r="AG655" s="155" t="s">
        <v>247</v>
      </c>
    </row>
    <row r="656" spans="25:33">
      <c r="Y656" s="47">
        <v>2656</v>
      </c>
      <c r="Z656" s="52" t="s">
        <v>410</v>
      </c>
      <c r="AA656" s="52">
        <v>4</v>
      </c>
      <c r="AB656" s="52">
        <v>3</v>
      </c>
      <c r="AC656" s="52" t="s">
        <v>247</v>
      </c>
      <c r="AD656" s="52" t="s">
        <v>2</v>
      </c>
      <c r="AE656" s="52" t="s">
        <v>372</v>
      </c>
      <c r="AF656" s="155" t="s">
        <v>247</v>
      </c>
      <c r="AG656" s="155" t="s">
        <v>247</v>
      </c>
    </row>
    <row r="657" spans="25:33">
      <c r="Y657" s="47">
        <v>2657</v>
      </c>
      <c r="Z657" s="52" t="s">
        <v>410</v>
      </c>
      <c r="AA657" s="52" t="s">
        <v>247</v>
      </c>
      <c r="AB657" s="52">
        <v>3</v>
      </c>
      <c r="AC657" s="52" t="s">
        <v>247</v>
      </c>
      <c r="AD657" s="52" t="s">
        <v>2</v>
      </c>
      <c r="AE657" s="52" t="s">
        <v>372</v>
      </c>
      <c r="AF657" s="155" t="s">
        <v>247</v>
      </c>
      <c r="AG657" s="155" t="s">
        <v>247</v>
      </c>
    </row>
    <row r="658" spans="25:33">
      <c r="Y658" s="47">
        <v>2658</v>
      </c>
      <c r="Z658" s="52" t="s">
        <v>410</v>
      </c>
      <c r="AA658" s="52">
        <v>4</v>
      </c>
      <c r="AB658" s="52">
        <v>3</v>
      </c>
      <c r="AC658" s="52" t="s">
        <v>247</v>
      </c>
      <c r="AD658" s="52" t="s">
        <v>2</v>
      </c>
      <c r="AE658" s="52" t="s">
        <v>372</v>
      </c>
      <c r="AF658" s="155" t="s">
        <v>247</v>
      </c>
      <c r="AG658" s="155" t="s">
        <v>247</v>
      </c>
    </row>
    <row r="659" spans="25:33">
      <c r="Y659" s="47">
        <v>2659</v>
      </c>
      <c r="Z659" s="52" t="s">
        <v>410</v>
      </c>
      <c r="AA659" s="52">
        <v>4</v>
      </c>
      <c r="AB659" s="52">
        <v>3</v>
      </c>
      <c r="AC659" s="52" t="s">
        <v>247</v>
      </c>
      <c r="AD659" s="52" t="s">
        <v>2</v>
      </c>
      <c r="AE659" s="52" t="s">
        <v>372</v>
      </c>
      <c r="AF659" s="155" t="s">
        <v>247</v>
      </c>
      <c r="AG659" s="155" t="s">
        <v>247</v>
      </c>
    </row>
    <row r="660" spans="25:33">
      <c r="Y660" s="47">
        <v>2660</v>
      </c>
      <c r="Z660" s="52" t="s">
        <v>410</v>
      </c>
      <c r="AA660" s="52">
        <v>4</v>
      </c>
      <c r="AB660" s="52">
        <v>3</v>
      </c>
      <c r="AC660" s="52" t="s">
        <v>247</v>
      </c>
      <c r="AD660" s="52" t="s">
        <v>2</v>
      </c>
      <c r="AE660" s="52" t="s">
        <v>372</v>
      </c>
      <c r="AF660" s="155" t="s">
        <v>247</v>
      </c>
      <c r="AG660" s="155" t="s">
        <v>247</v>
      </c>
    </row>
    <row r="661" spans="25:33">
      <c r="Y661" s="47">
        <v>2661</v>
      </c>
      <c r="Z661" s="52" t="s">
        <v>410</v>
      </c>
      <c r="AA661" s="52">
        <v>4</v>
      </c>
      <c r="AB661" s="52">
        <v>3</v>
      </c>
      <c r="AC661" s="52" t="s">
        <v>247</v>
      </c>
      <c r="AD661" s="52" t="s">
        <v>2</v>
      </c>
      <c r="AE661" s="52" t="s">
        <v>372</v>
      </c>
      <c r="AF661" s="155" t="s">
        <v>247</v>
      </c>
      <c r="AG661" s="155" t="s">
        <v>247</v>
      </c>
    </row>
    <row r="662" spans="25:33">
      <c r="Y662" s="47">
        <v>2662</v>
      </c>
      <c r="Z662" s="52" t="s">
        <v>410</v>
      </c>
      <c r="AA662" s="52" t="s">
        <v>247</v>
      </c>
      <c r="AB662" s="52">
        <v>3</v>
      </c>
      <c r="AC662" s="52" t="s">
        <v>247</v>
      </c>
      <c r="AD662" s="52" t="s">
        <v>2</v>
      </c>
      <c r="AE662" s="52" t="s">
        <v>372</v>
      </c>
      <c r="AF662" s="155" t="s">
        <v>247</v>
      </c>
      <c r="AG662" s="155" t="s">
        <v>247</v>
      </c>
    </row>
    <row r="663" spans="25:33">
      <c r="Y663" s="47">
        <v>2663</v>
      </c>
      <c r="Z663" s="52" t="s">
        <v>410</v>
      </c>
      <c r="AA663" s="52">
        <v>4</v>
      </c>
      <c r="AB663" s="52">
        <v>3</v>
      </c>
      <c r="AC663" s="52" t="s">
        <v>247</v>
      </c>
      <c r="AD663" s="52" t="s">
        <v>2</v>
      </c>
      <c r="AE663" s="52" t="s">
        <v>372</v>
      </c>
      <c r="AF663" s="155" t="s">
        <v>247</v>
      </c>
      <c r="AG663" s="155" t="s">
        <v>247</v>
      </c>
    </row>
    <row r="664" spans="25:33">
      <c r="Y664" s="47">
        <v>2664</v>
      </c>
      <c r="Z664" s="52" t="s">
        <v>410</v>
      </c>
      <c r="AA664" s="52" t="s">
        <v>247</v>
      </c>
      <c r="AB664" s="52">
        <v>3</v>
      </c>
      <c r="AC664" s="52" t="s">
        <v>247</v>
      </c>
      <c r="AD664" s="52" t="s">
        <v>2</v>
      </c>
      <c r="AE664" s="52" t="s">
        <v>372</v>
      </c>
      <c r="AF664" s="155" t="s">
        <v>247</v>
      </c>
      <c r="AG664" s="155" t="s">
        <v>247</v>
      </c>
    </row>
    <row r="665" spans="25:33">
      <c r="Y665" s="47">
        <v>2665</v>
      </c>
      <c r="Z665" s="52" t="s">
        <v>410</v>
      </c>
      <c r="AA665" s="52">
        <v>4</v>
      </c>
      <c r="AB665" s="52">
        <v>3</v>
      </c>
      <c r="AC665" s="52" t="s">
        <v>247</v>
      </c>
      <c r="AD665" s="52" t="s">
        <v>2</v>
      </c>
      <c r="AE665" s="52" t="s">
        <v>372</v>
      </c>
      <c r="AF665" s="155" t="s">
        <v>247</v>
      </c>
      <c r="AG665" s="155" t="s">
        <v>247</v>
      </c>
    </row>
    <row r="666" spans="25:33">
      <c r="Y666" s="47">
        <v>2666</v>
      </c>
      <c r="Z666" s="52" t="s">
        <v>410</v>
      </c>
      <c r="AA666" s="52">
        <v>4</v>
      </c>
      <c r="AB666" s="52">
        <v>3</v>
      </c>
      <c r="AC666" s="52" t="s">
        <v>247</v>
      </c>
      <c r="AD666" s="52" t="s">
        <v>2</v>
      </c>
      <c r="AE666" s="52" t="s">
        <v>372</v>
      </c>
      <c r="AF666" s="155" t="s">
        <v>247</v>
      </c>
      <c r="AG666" s="155" t="s">
        <v>247</v>
      </c>
    </row>
    <row r="667" spans="25:33">
      <c r="Y667" s="47">
        <v>2667</v>
      </c>
      <c r="Z667" s="52" t="s">
        <v>410</v>
      </c>
      <c r="AA667" s="52" t="s">
        <v>247</v>
      </c>
      <c r="AB667" s="52">
        <v>3</v>
      </c>
      <c r="AC667" s="52" t="s">
        <v>247</v>
      </c>
      <c r="AD667" s="52" t="s">
        <v>2</v>
      </c>
      <c r="AE667" s="52" t="s">
        <v>372</v>
      </c>
      <c r="AF667" s="155" t="s">
        <v>247</v>
      </c>
      <c r="AG667" s="155" t="s">
        <v>247</v>
      </c>
    </row>
    <row r="668" spans="25:33">
      <c r="Y668" s="47">
        <v>2668</v>
      </c>
      <c r="Z668" s="52" t="s">
        <v>410</v>
      </c>
      <c r="AA668" s="52">
        <v>4</v>
      </c>
      <c r="AB668" s="52">
        <v>3</v>
      </c>
      <c r="AC668" s="52" t="s">
        <v>247</v>
      </c>
      <c r="AD668" s="52" t="s">
        <v>2</v>
      </c>
      <c r="AE668" s="52" t="s">
        <v>372</v>
      </c>
      <c r="AF668" s="155" t="s">
        <v>247</v>
      </c>
      <c r="AG668" s="155" t="s">
        <v>247</v>
      </c>
    </row>
    <row r="669" spans="25:33">
      <c r="Y669" s="47">
        <v>2669</v>
      </c>
      <c r="Z669" s="52" t="s">
        <v>410</v>
      </c>
      <c r="AA669" s="52">
        <v>4</v>
      </c>
      <c r="AB669" s="52">
        <v>3</v>
      </c>
      <c r="AC669" s="52" t="s">
        <v>247</v>
      </c>
      <c r="AD669" s="52" t="s">
        <v>2</v>
      </c>
      <c r="AE669" s="52" t="s">
        <v>372</v>
      </c>
      <c r="AF669" s="155" t="s">
        <v>247</v>
      </c>
      <c r="AG669" s="155" t="s">
        <v>247</v>
      </c>
    </row>
    <row r="670" spans="25:33">
      <c r="Y670" s="47">
        <v>2670</v>
      </c>
      <c r="Z670" s="52" t="s">
        <v>410</v>
      </c>
      <c r="AA670" s="52" t="s">
        <v>247</v>
      </c>
      <c r="AB670" s="52">
        <v>3</v>
      </c>
      <c r="AC670" s="52" t="s">
        <v>247</v>
      </c>
      <c r="AD670" s="52" t="s">
        <v>2</v>
      </c>
      <c r="AE670" s="52" t="s">
        <v>372</v>
      </c>
      <c r="AF670" s="155" t="s">
        <v>247</v>
      </c>
      <c r="AG670" s="155" t="s">
        <v>247</v>
      </c>
    </row>
    <row r="671" spans="25:33">
      <c r="Y671" s="47">
        <v>2671</v>
      </c>
      <c r="Z671" s="52" t="s">
        <v>410</v>
      </c>
      <c r="AA671" s="52">
        <v>4</v>
      </c>
      <c r="AB671" s="52">
        <v>3</v>
      </c>
      <c r="AC671" s="52" t="s">
        <v>247</v>
      </c>
      <c r="AD671" s="52" t="s">
        <v>2</v>
      </c>
      <c r="AE671" s="52" t="s">
        <v>372</v>
      </c>
      <c r="AF671" s="155" t="s">
        <v>247</v>
      </c>
      <c r="AG671" s="155" t="s">
        <v>247</v>
      </c>
    </row>
    <row r="672" spans="25:33">
      <c r="Y672" s="47">
        <v>2672</v>
      </c>
      <c r="Z672" s="52" t="s">
        <v>410</v>
      </c>
      <c r="AA672" s="52">
        <v>4</v>
      </c>
      <c r="AB672" s="52">
        <v>3</v>
      </c>
      <c r="AC672" s="52" t="s">
        <v>247</v>
      </c>
      <c r="AD672" s="52" t="s">
        <v>2</v>
      </c>
      <c r="AE672" s="52" t="s">
        <v>372</v>
      </c>
      <c r="AF672" s="155" t="s">
        <v>247</v>
      </c>
      <c r="AG672" s="155" t="s">
        <v>247</v>
      </c>
    </row>
    <row r="673" spans="25:33">
      <c r="Y673" s="47">
        <v>2673</v>
      </c>
      <c r="Z673" s="52" t="s">
        <v>410</v>
      </c>
      <c r="AA673" s="52" t="s">
        <v>247</v>
      </c>
      <c r="AB673" s="52">
        <v>3</v>
      </c>
      <c r="AC673" s="52" t="s">
        <v>247</v>
      </c>
      <c r="AD673" s="52" t="s">
        <v>2</v>
      </c>
      <c r="AE673" s="52" t="s">
        <v>372</v>
      </c>
      <c r="AF673" s="155" t="s">
        <v>247</v>
      </c>
      <c r="AG673" s="155" t="s">
        <v>247</v>
      </c>
    </row>
    <row r="674" spans="25:33">
      <c r="Y674" s="47">
        <v>2674</v>
      </c>
      <c r="Z674" s="52" t="s">
        <v>410</v>
      </c>
      <c r="AA674" s="52" t="s">
        <v>247</v>
      </c>
      <c r="AB674" s="52">
        <v>3</v>
      </c>
      <c r="AC674" s="52" t="s">
        <v>247</v>
      </c>
      <c r="AD674" s="52" t="s">
        <v>2</v>
      </c>
      <c r="AE674" s="52" t="s">
        <v>372</v>
      </c>
      <c r="AF674" s="155" t="s">
        <v>247</v>
      </c>
      <c r="AG674" s="155" t="s">
        <v>247</v>
      </c>
    </row>
    <row r="675" spans="25:33">
      <c r="Y675" s="47">
        <v>2675</v>
      </c>
      <c r="Z675" s="52" t="s">
        <v>410</v>
      </c>
      <c r="AA675" s="52">
        <v>4</v>
      </c>
      <c r="AB675" s="52">
        <v>3</v>
      </c>
      <c r="AC675" s="52" t="s">
        <v>247</v>
      </c>
      <c r="AD675" s="52" t="s">
        <v>2</v>
      </c>
      <c r="AE675" s="52" t="s">
        <v>372</v>
      </c>
      <c r="AF675" s="155" t="s">
        <v>247</v>
      </c>
      <c r="AG675" s="155" t="s">
        <v>247</v>
      </c>
    </row>
    <row r="676" spans="25:33">
      <c r="Y676" s="47">
        <v>2676</v>
      </c>
      <c r="Z676" s="52" t="s">
        <v>410</v>
      </c>
      <c r="AA676" s="52" t="s">
        <v>247</v>
      </c>
      <c r="AB676" s="52">
        <v>3</v>
      </c>
      <c r="AC676" s="52" t="s">
        <v>247</v>
      </c>
      <c r="AD676" s="52" t="s">
        <v>2</v>
      </c>
      <c r="AE676" s="52" t="s">
        <v>372</v>
      </c>
      <c r="AF676" s="155" t="s">
        <v>247</v>
      </c>
      <c r="AG676" s="155" t="s">
        <v>247</v>
      </c>
    </row>
    <row r="677" spans="25:33">
      <c r="Y677" s="47">
        <v>2677</v>
      </c>
      <c r="Z677" s="52" t="s">
        <v>410</v>
      </c>
      <c r="AA677" s="52" t="s">
        <v>247</v>
      </c>
      <c r="AB677" s="52">
        <v>3</v>
      </c>
      <c r="AC677" s="52" t="s">
        <v>247</v>
      </c>
      <c r="AD677" s="52" t="s">
        <v>2</v>
      </c>
      <c r="AE677" s="52" t="s">
        <v>372</v>
      </c>
      <c r="AF677" s="155" t="s">
        <v>247</v>
      </c>
      <c r="AG677" s="155" t="s">
        <v>247</v>
      </c>
    </row>
    <row r="678" spans="25:33">
      <c r="Y678" s="47">
        <v>2678</v>
      </c>
      <c r="Z678" s="52" t="s">
        <v>410</v>
      </c>
      <c r="AA678" s="52">
        <v>4</v>
      </c>
      <c r="AB678" s="52">
        <v>3</v>
      </c>
      <c r="AC678" s="52" t="s">
        <v>247</v>
      </c>
      <c r="AD678" s="52" t="s">
        <v>2</v>
      </c>
      <c r="AE678" s="52" t="s">
        <v>372</v>
      </c>
      <c r="AF678" s="155" t="s">
        <v>247</v>
      </c>
      <c r="AG678" s="155" t="s">
        <v>247</v>
      </c>
    </row>
    <row r="679" spans="25:33">
      <c r="Y679" s="47">
        <v>2679</v>
      </c>
      <c r="Z679" s="52" t="s">
        <v>410</v>
      </c>
      <c r="AA679" s="52" t="s">
        <v>247</v>
      </c>
      <c r="AB679" s="52">
        <v>3</v>
      </c>
      <c r="AC679" s="52" t="s">
        <v>247</v>
      </c>
      <c r="AD679" s="52" t="s">
        <v>2</v>
      </c>
      <c r="AE679" s="52" t="s">
        <v>372</v>
      </c>
      <c r="AF679" s="155" t="s">
        <v>247</v>
      </c>
      <c r="AG679" s="155" t="s">
        <v>247</v>
      </c>
    </row>
    <row r="680" spans="25:33">
      <c r="Y680" s="47">
        <v>2680</v>
      </c>
      <c r="Z680" s="52" t="s">
        <v>410</v>
      </c>
      <c r="AA680" s="52">
        <v>4</v>
      </c>
      <c r="AB680" s="52">
        <v>3</v>
      </c>
      <c r="AC680" s="52" t="s">
        <v>247</v>
      </c>
      <c r="AD680" s="52" t="s">
        <v>2</v>
      </c>
      <c r="AE680" s="52" t="s">
        <v>372</v>
      </c>
      <c r="AF680" s="155" t="s">
        <v>247</v>
      </c>
      <c r="AG680" s="155" t="s">
        <v>247</v>
      </c>
    </row>
    <row r="681" spans="25:33">
      <c r="Y681" s="47">
        <v>2681</v>
      </c>
      <c r="Z681" s="52" t="s">
        <v>410</v>
      </c>
      <c r="AA681" s="52">
        <v>4</v>
      </c>
      <c r="AB681" s="52">
        <v>3</v>
      </c>
      <c r="AC681" s="52" t="s">
        <v>247</v>
      </c>
      <c r="AD681" s="52" t="s">
        <v>2</v>
      </c>
      <c r="AE681" s="52" t="s">
        <v>372</v>
      </c>
      <c r="AF681" s="155" t="s">
        <v>247</v>
      </c>
      <c r="AG681" s="155" t="s">
        <v>247</v>
      </c>
    </row>
    <row r="682" spans="25:33">
      <c r="Y682" s="47">
        <v>2682</v>
      </c>
      <c r="Z682" s="52" t="s">
        <v>410</v>
      </c>
      <c r="AA682" s="52" t="s">
        <v>247</v>
      </c>
      <c r="AB682" s="52">
        <v>3</v>
      </c>
      <c r="AC682" s="52" t="s">
        <v>247</v>
      </c>
      <c r="AD682" s="52" t="s">
        <v>2</v>
      </c>
      <c r="AE682" s="52" t="s">
        <v>372</v>
      </c>
      <c r="AF682" s="155" t="s">
        <v>247</v>
      </c>
      <c r="AG682" s="155" t="s">
        <v>247</v>
      </c>
    </row>
    <row r="683" spans="25:33">
      <c r="Y683" s="47">
        <v>2683</v>
      </c>
      <c r="Z683" s="52" t="s">
        <v>410</v>
      </c>
      <c r="AA683" s="52" t="s">
        <v>247</v>
      </c>
      <c r="AB683" s="52">
        <v>3</v>
      </c>
      <c r="AC683" s="52" t="s">
        <v>247</v>
      </c>
      <c r="AD683" s="52" t="s">
        <v>2</v>
      </c>
      <c r="AE683" s="52" t="s">
        <v>372</v>
      </c>
      <c r="AF683" s="155" t="s">
        <v>247</v>
      </c>
      <c r="AG683" s="155" t="s">
        <v>247</v>
      </c>
    </row>
    <row r="684" spans="25:33">
      <c r="Y684" s="47">
        <v>2684</v>
      </c>
      <c r="Z684" s="52" t="s">
        <v>410</v>
      </c>
      <c r="AA684" s="52" t="s">
        <v>247</v>
      </c>
      <c r="AB684" s="52">
        <v>3</v>
      </c>
      <c r="AC684" s="52" t="s">
        <v>247</v>
      </c>
      <c r="AD684" s="52" t="s">
        <v>2</v>
      </c>
      <c r="AE684" s="52" t="s">
        <v>372</v>
      </c>
      <c r="AF684" s="155" t="s">
        <v>247</v>
      </c>
      <c r="AG684" s="155" t="s">
        <v>247</v>
      </c>
    </row>
    <row r="685" spans="25:33">
      <c r="Y685" s="47">
        <v>2685</v>
      </c>
      <c r="Z685" s="52" t="s">
        <v>410</v>
      </c>
      <c r="AA685" s="52" t="s">
        <v>247</v>
      </c>
      <c r="AB685" s="52">
        <v>3</v>
      </c>
      <c r="AC685" s="52" t="s">
        <v>247</v>
      </c>
      <c r="AD685" s="52" t="s">
        <v>2</v>
      </c>
      <c r="AE685" s="52" t="s">
        <v>372</v>
      </c>
      <c r="AF685" s="155" t="s">
        <v>247</v>
      </c>
      <c r="AG685" s="155" t="s">
        <v>247</v>
      </c>
    </row>
    <row r="686" spans="25:33">
      <c r="Y686" s="47">
        <v>2686</v>
      </c>
      <c r="Z686" s="52" t="s">
        <v>410</v>
      </c>
      <c r="AA686" s="52" t="s">
        <v>247</v>
      </c>
      <c r="AB686" s="52">
        <v>3</v>
      </c>
      <c r="AC686" s="52" t="s">
        <v>247</v>
      </c>
      <c r="AD686" s="52" t="s">
        <v>2</v>
      </c>
      <c r="AE686" s="52" t="s">
        <v>372</v>
      </c>
      <c r="AF686" s="155" t="s">
        <v>247</v>
      </c>
      <c r="AG686" s="155" t="s">
        <v>247</v>
      </c>
    </row>
    <row r="687" spans="25:33">
      <c r="Y687" s="47">
        <v>2687</v>
      </c>
      <c r="Z687" s="52" t="s">
        <v>410</v>
      </c>
      <c r="AA687" s="52" t="s">
        <v>247</v>
      </c>
      <c r="AB687" s="52">
        <v>3</v>
      </c>
      <c r="AC687" s="52" t="s">
        <v>247</v>
      </c>
      <c r="AD687" s="52" t="s">
        <v>2</v>
      </c>
      <c r="AE687" s="52" t="s">
        <v>372</v>
      </c>
      <c r="AF687" s="155" t="s">
        <v>247</v>
      </c>
      <c r="AG687" s="155" t="s">
        <v>247</v>
      </c>
    </row>
    <row r="688" spans="25:33">
      <c r="Y688" s="47">
        <v>2688</v>
      </c>
      <c r="Z688" s="52" t="s">
        <v>410</v>
      </c>
      <c r="AA688" s="52" t="s">
        <v>247</v>
      </c>
      <c r="AB688" s="52">
        <v>3</v>
      </c>
      <c r="AC688" s="52" t="s">
        <v>247</v>
      </c>
      <c r="AD688" s="52" t="s">
        <v>2</v>
      </c>
      <c r="AE688" s="52" t="s">
        <v>372</v>
      </c>
      <c r="AF688" s="155" t="s">
        <v>247</v>
      </c>
      <c r="AG688" s="155" t="s">
        <v>247</v>
      </c>
    </row>
    <row r="689" spans="25:33">
      <c r="Y689" s="47">
        <v>2689</v>
      </c>
      <c r="Z689" s="52" t="s">
        <v>410</v>
      </c>
      <c r="AA689" s="52" t="s">
        <v>247</v>
      </c>
      <c r="AB689" s="52">
        <v>3</v>
      </c>
      <c r="AC689" s="52" t="s">
        <v>247</v>
      </c>
      <c r="AD689" s="52" t="s">
        <v>2</v>
      </c>
      <c r="AE689" s="52" t="s">
        <v>372</v>
      </c>
      <c r="AF689" s="155" t="s">
        <v>247</v>
      </c>
      <c r="AG689" s="155" t="s">
        <v>247</v>
      </c>
    </row>
    <row r="690" spans="25:33">
      <c r="Y690" s="47">
        <v>2690</v>
      </c>
      <c r="Z690" s="52" t="s">
        <v>410</v>
      </c>
      <c r="AA690" s="52" t="s">
        <v>247</v>
      </c>
      <c r="AB690" s="52">
        <v>3</v>
      </c>
      <c r="AC690" s="52" t="s">
        <v>247</v>
      </c>
      <c r="AD690" s="52" t="s">
        <v>2</v>
      </c>
      <c r="AE690" s="52" t="s">
        <v>372</v>
      </c>
      <c r="AF690" s="155" t="s">
        <v>247</v>
      </c>
      <c r="AG690" s="155" t="s">
        <v>247</v>
      </c>
    </row>
    <row r="691" spans="25:33">
      <c r="Y691" s="47">
        <v>2691</v>
      </c>
      <c r="Z691" s="52" t="s">
        <v>410</v>
      </c>
      <c r="AA691" s="52" t="s">
        <v>247</v>
      </c>
      <c r="AB691" s="52">
        <v>3</v>
      </c>
      <c r="AC691" s="52" t="s">
        <v>247</v>
      </c>
      <c r="AD691" s="52" t="s">
        <v>2</v>
      </c>
      <c r="AE691" s="52" t="s">
        <v>372</v>
      </c>
      <c r="AF691" s="155" t="s">
        <v>247</v>
      </c>
      <c r="AG691" s="155" t="s">
        <v>247</v>
      </c>
    </row>
    <row r="692" spans="25:33">
      <c r="Y692" s="47">
        <v>2692</v>
      </c>
      <c r="Z692" s="52" t="s">
        <v>410</v>
      </c>
      <c r="AA692" s="52" t="s">
        <v>247</v>
      </c>
      <c r="AB692" s="52">
        <v>3</v>
      </c>
      <c r="AC692" s="52" t="s">
        <v>247</v>
      </c>
      <c r="AD692" s="52" t="s">
        <v>2</v>
      </c>
      <c r="AE692" s="52" t="s">
        <v>372</v>
      </c>
      <c r="AF692" s="155" t="s">
        <v>247</v>
      </c>
      <c r="AG692" s="155" t="s">
        <v>247</v>
      </c>
    </row>
    <row r="693" spans="25:33">
      <c r="Y693" s="47">
        <v>2693</v>
      </c>
      <c r="Z693" s="52" t="s">
        <v>410</v>
      </c>
      <c r="AA693" s="52" t="s">
        <v>247</v>
      </c>
      <c r="AB693" s="52">
        <v>3</v>
      </c>
      <c r="AC693" s="52" t="s">
        <v>247</v>
      </c>
      <c r="AD693" s="52" t="s">
        <v>2</v>
      </c>
      <c r="AE693" s="52" t="s">
        <v>372</v>
      </c>
      <c r="AF693" s="155" t="s">
        <v>247</v>
      </c>
      <c r="AG693" s="155" t="s">
        <v>247</v>
      </c>
    </row>
    <row r="694" spans="25:33">
      <c r="Y694" s="47">
        <v>2694</v>
      </c>
      <c r="Z694" s="52" t="s">
        <v>410</v>
      </c>
      <c r="AA694" s="52" t="s">
        <v>247</v>
      </c>
      <c r="AB694" s="52">
        <v>3</v>
      </c>
      <c r="AC694" s="52" t="s">
        <v>247</v>
      </c>
      <c r="AD694" s="52" t="s">
        <v>2</v>
      </c>
      <c r="AE694" s="52" t="s">
        <v>372</v>
      </c>
      <c r="AF694" s="155" t="s">
        <v>247</v>
      </c>
      <c r="AG694" s="155" t="s">
        <v>247</v>
      </c>
    </row>
    <row r="695" spans="25:33">
      <c r="Y695" s="47">
        <v>2695</v>
      </c>
      <c r="Z695" s="52" t="s">
        <v>410</v>
      </c>
      <c r="AA695" s="52" t="s">
        <v>247</v>
      </c>
      <c r="AB695" s="52">
        <v>3</v>
      </c>
      <c r="AC695" s="52" t="s">
        <v>247</v>
      </c>
      <c r="AD695" s="52" t="s">
        <v>2</v>
      </c>
      <c r="AE695" s="52" t="s">
        <v>372</v>
      </c>
      <c r="AF695" s="155" t="s">
        <v>247</v>
      </c>
      <c r="AG695" s="155" t="s">
        <v>247</v>
      </c>
    </row>
    <row r="696" spans="25:33">
      <c r="Y696" s="47">
        <v>2696</v>
      </c>
      <c r="Z696" s="52" t="s">
        <v>410</v>
      </c>
      <c r="AA696" s="52" t="s">
        <v>247</v>
      </c>
      <c r="AB696" s="52">
        <v>3</v>
      </c>
      <c r="AC696" s="52" t="s">
        <v>247</v>
      </c>
      <c r="AD696" s="52" t="s">
        <v>2</v>
      </c>
      <c r="AE696" s="52" t="s">
        <v>372</v>
      </c>
      <c r="AF696" s="155" t="s">
        <v>247</v>
      </c>
      <c r="AG696" s="155" t="s">
        <v>247</v>
      </c>
    </row>
    <row r="697" spans="25:33">
      <c r="Y697" s="47">
        <v>2697</v>
      </c>
      <c r="Z697" s="52" t="s">
        <v>410</v>
      </c>
      <c r="AA697" s="52" t="s">
        <v>247</v>
      </c>
      <c r="AB697" s="52">
        <v>3</v>
      </c>
      <c r="AC697" s="52" t="s">
        <v>247</v>
      </c>
      <c r="AD697" s="52" t="s">
        <v>2</v>
      </c>
      <c r="AE697" s="52" t="s">
        <v>372</v>
      </c>
      <c r="AF697" s="155" t="s">
        <v>247</v>
      </c>
      <c r="AG697" s="155" t="s">
        <v>247</v>
      </c>
    </row>
    <row r="698" spans="25:33">
      <c r="Y698" s="47">
        <v>2698</v>
      </c>
      <c r="Z698" s="52" t="s">
        <v>410</v>
      </c>
      <c r="AA698" s="52" t="s">
        <v>247</v>
      </c>
      <c r="AB698" s="52">
        <v>3</v>
      </c>
      <c r="AC698" s="52" t="s">
        <v>247</v>
      </c>
      <c r="AD698" s="52" t="s">
        <v>2</v>
      </c>
      <c r="AE698" s="52" t="s">
        <v>372</v>
      </c>
      <c r="AF698" s="155" t="s">
        <v>247</v>
      </c>
      <c r="AG698" s="155" t="s">
        <v>247</v>
      </c>
    </row>
    <row r="699" spans="25:33">
      <c r="Y699" s="47">
        <v>2699</v>
      </c>
      <c r="Z699" s="52" t="s">
        <v>410</v>
      </c>
      <c r="AA699" s="52" t="s">
        <v>247</v>
      </c>
      <c r="AB699" s="52">
        <v>3</v>
      </c>
      <c r="AC699" s="52" t="s">
        <v>247</v>
      </c>
      <c r="AD699" s="52" t="s">
        <v>2</v>
      </c>
      <c r="AE699" s="52" t="s">
        <v>372</v>
      </c>
      <c r="AF699" s="155" t="s">
        <v>247</v>
      </c>
      <c r="AG699" s="155" t="s">
        <v>247</v>
      </c>
    </row>
    <row r="700" spans="25:33">
      <c r="Y700" s="47">
        <v>2700</v>
      </c>
      <c r="Z700" s="52" t="s">
        <v>410</v>
      </c>
      <c r="AA700" s="52">
        <v>4</v>
      </c>
      <c r="AB700" s="52">
        <v>3</v>
      </c>
      <c r="AC700" s="52" t="s">
        <v>247</v>
      </c>
      <c r="AD700" s="52" t="s">
        <v>2</v>
      </c>
      <c r="AE700" s="52" t="s">
        <v>372</v>
      </c>
      <c r="AF700" s="155" t="s">
        <v>247</v>
      </c>
      <c r="AG700" s="155" t="s">
        <v>247</v>
      </c>
    </row>
    <row r="701" spans="25:33">
      <c r="Y701" s="47">
        <v>2701</v>
      </c>
      <c r="Z701" s="52" t="s">
        <v>410</v>
      </c>
      <c r="AA701" s="52">
        <v>4</v>
      </c>
      <c r="AB701" s="52">
        <v>3</v>
      </c>
      <c r="AC701" s="52" t="s">
        <v>247</v>
      </c>
      <c r="AD701" s="52" t="s">
        <v>2</v>
      </c>
      <c r="AE701" s="52" t="s">
        <v>372</v>
      </c>
      <c r="AF701" s="155" t="s">
        <v>247</v>
      </c>
      <c r="AG701" s="155" t="s">
        <v>247</v>
      </c>
    </row>
    <row r="702" spans="25:33">
      <c r="Y702" s="47">
        <v>2702</v>
      </c>
      <c r="Z702" s="52" t="s">
        <v>410</v>
      </c>
      <c r="AA702" s="52">
        <v>4</v>
      </c>
      <c r="AB702" s="52">
        <v>3</v>
      </c>
      <c r="AC702" s="52" t="s">
        <v>247</v>
      </c>
      <c r="AD702" s="52" t="s">
        <v>2</v>
      </c>
      <c r="AE702" s="52" t="s">
        <v>372</v>
      </c>
      <c r="AF702" s="155" t="s">
        <v>247</v>
      </c>
      <c r="AG702" s="155" t="s">
        <v>247</v>
      </c>
    </row>
    <row r="703" spans="25:33">
      <c r="Y703" s="47">
        <v>2703</v>
      </c>
      <c r="Z703" s="52" t="s">
        <v>410</v>
      </c>
      <c r="AA703" s="52">
        <v>4</v>
      </c>
      <c r="AB703" s="52">
        <v>3</v>
      </c>
      <c r="AC703" s="52" t="s">
        <v>247</v>
      </c>
      <c r="AD703" s="52" t="s">
        <v>2</v>
      </c>
      <c r="AE703" s="52" t="s">
        <v>372</v>
      </c>
      <c r="AF703" s="155" t="s">
        <v>247</v>
      </c>
      <c r="AG703" s="155" t="s">
        <v>247</v>
      </c>
    </row>
    <row r="704" spans="25:33">
      <c r="Y704" s="47">
        <v>2704</v>
      </c>
      <c r="Z704" s="52" t="s">
        <v>410</v>
      </c>
      <c r="AA704" s="52" t="s">
        <v>247</v>
      </c>
      <c r="AB704" s="52">
        <v>3</v>
      </c>
      <c r="AC704" s="52" t="s">
        <v>247</v>
      </c>
      <c r="AD704" s="52" t="s">
        <v>2</v>
      </c>
      <c r="AE704" s="52" t="s">
        <v>372</v>
      </c>
      <c r="AF704" s="155" t="s">
        <v>247</v>
      </c>
      <c r="AG704" s="155" t="s">
        <v>247</v>
      </c>
    </row>
    <row r="705" spans="25:33">
      <c r="Y705" s="47">
        <v>2705</v>
      </c>
      <c r="Z705" s="52" t="s">
        <v>410</v>
      </c>
      <c r="AA705" s="52">
        <v>4</v>
      </c>
      <c r="AB705" s="52">
        <v>3</v>
      </c>
      <c r="AC705" s="52" t="s">
        <v>247</v>
      </c>
      <c r="AD705" s="52" t="s">
        <v>2</v>
      </c>
      <c r="AE705" s="52" t="s">
        <v>372</v>
      </c>
      <c r="AF705" s="155" t="s">
        <v>247</v>
      </c>
      <c r="AG705" s="155" t="s">
        <v>247</v>
      </c>
    </row>
    <row r="706" spans="25:33">
      <c r="Y706" s="47">
        <v>2706</v>
      </c>
      <c r="Z706" s="52" t="s">
        <v>410</v>
      </c>
      <c r="AA706" s="52">
        <v>4</v>
      </c>
      <c r="AB706" s="52">
        <v>3</v>
      </c>
      <c r="AC706" s="52" t="s">
        <v>247</v>
      </c>
      <c r="AD706" s="52" t="s">
        <v>2</v>
      </c>
      <c r="AE706" s="52" t="s">
        <v>372</v>
      </c>
      <c r="AF706" s="155" t="s">
        <v>247</v>
      </c>
      <c r="AG706" s="155" t="s">
        <v>247</v>
      </c>
    </row>
    <row r="707" spans="25:33">
      <c r="Y707" s="47">
        <v>2707</v>
      </c>
      <c r="Z707" s="52" t="s">
        <v>410</v>
      </c>
      <c r="AA707" s="52">
        <v>4</v>
      </c>
      <c r="AB707" s="52">
        <v>3</v>
      </c>
      <c r="AC707" s="52" t="s">
        <v>247</v>
      </c>
      <c r="AD707" s="52" t="s">
        <v>2</v>
      </c>
      <c r="AE707" s="52" t="s">
        <v>372</v>
      </c>
      <c r="AF707" s="155" t="s">
        <v>247</v>
      </c>
      <c r="AG707" s="155" t="s">
        <v>247</v>
      </c>
    </row>
    <row r="708" spans="25:33">
      <c r="Y708" s="47">
        <v>2708</v>
      </c>
      <c r="Z708" s="52" t="s">
        <v>410</v>
      </c>
      <c r="AA708" s="52" t="s">
        <v>247</v>
      </c>
      <c r="AB708" s="52">
        <v>3</v>
      </c>
      <c r="AC708" s="52" t="s">
        <v>247</v>
      </c>
      <c r="AD708" s="52" t="s">
        <v>2</v>
      </c>
      <c r="AE708" s="52" t="s">
        <v>372</v>
      </c>
      <c r="AF708" s="155" t="s">
        <v>247</v>
      </c>
      <c r="AG708" s="155" t="s">
        <v>247</v>
      </c>
    </row>
    <row r="709" spans="25:33">
      <c r="Y709" s="47">
        <v>2709</v>
      </c>
      <c r="Z709" s="52" t="s">
        <v>410</v>
      </c>
      <c r="AA709" s="52" t="s">
        <v>247</v>
      </c>
      <c r="AB709" s="52">
        <v>3</v>
      </c>
      <c r="AC709" s="52" t="s">
        <v>247</v>
      </c>
      <c r="AD709" s="52" t="s">
        <v>2</v>
      </c>
      <c r="AE709" s="52" t="s">
        <v>372</v>
      </c>
      <c r="AF709" s="155" t="s">
        <v>247</v>
      </c>
      <c r="AG709" s="155" t="s">
        <v>247</v>
      </c>
    </row>
    <row r="710" spans="25:33">
      <c r="Y710" s="47">
        <v>2710</v>
      </c>
      <c r="Z710" s="52" t="s">
        <v>410</v>
      </c>
      <c r="AA710" s="52">
        <v>4</v>
      </c>
      <c r="AB710" s="52">
        <v>3</v>
      </c>
      <c r="AC710" s="52" t="s">
        <v>247</v>
      </c>
      <c r="AD710" s="52" t="s">
        <v>2</v>
      </c>
      <c r="AE710" s="52" t="s">
        <v>372</v>
      </c>
      <c r="AF710" s="155" t="s">
        <v>247</v>
      </c>
      <c r="AG710" s="155" t="s">
        <v>247</v>
      </c>
    </row>
    <row r="711" spans="25:33">
      <c r="Y711" s="47">
        <v>2711</v>
      </c>
      <c r="Z711" s="52" t="s">
        <v>410</v>
      </c>
      <c r="AA711" s="52">
        <v>4</v>
      </c>
      <c r="AB711" s="52">
        <v>3</v>
      </c>
      <c r="AC711" s="52" t="s">
        <v>247</v>
      </c>
      <c r="AD711" s="52" t="s">
        <v>2</v>
      </c>
      <c r="AE711" s="52" t="s">
        <v>372</v>
      </c>
      <c r="AF711" s="155" t="s">
        <v>247</v>
      </c>
      <c r="AG711" s="155" t="s">
        <v>247</v>
      </c>
    </row>
    <row r="712" spans="25:33">
      <c r="Y712" s="47">
        <v>2712</v>
      </c>
      <c r="Z712" s="52" t="s">
        <v>410</v>
      </c>
      <c r="AA712" s="52">
        <v>4</v>
      </c>
      <c r="AB712" s="52">
        <v>3</v>
      </c>
      <c r="AC712" s="52" t="s">
        <v>247</v>
      </c>
      <c r="AD712" s="52" t="s">
        <v>2</v>
      </c>
      <c r="AE712" s="52" t="s">
        <v>372</v>
      </c>
      <c r="AF712" s="155" t="s">
        <v>247</v>
      </c>
      <c r="AG712" s="155" t="s">
        <v>247</v>
      </c>
    </row>
    <row r="713" spans="25:33">
      <c r="Y713" s="47">
        <v>2713</v>
      </c>
      <c r="Z713" s="52" t="s">
        <v>410</v>
      </c>
      <c r="AA713" s="52">
        <v>4</v>
      </c>
      <c r="AB713" s="52">
        <v>3</v>
      </c>
      <c r="AC713" s="52" t="s">
        <v>247</v>
      </c>
      <c r="AD713" s="52" t="s">
        <v>2</v>
      </c>
      <c r="AE713" s="52" t="s">
        <v>372</v>
      </c>
      <c r="AF713" s="155" t="s">
        <v>247</v>
      </c>
      <c r="AG713" s="155" t="s">
        <v>247</v>
      </c>
    </row>
    <row r="714" spans="25:33">
      <c r="Y714" s="47">
        <v>2714</v>
      </c>
      <c r="Z714" s="52" t="s">
        <v>410</v>
      </c>
      <c r="AA714" s="52">
        <v>4</v>
      </c>
      <c r="AB714" s="52">
        <v>3</v>
      </c>
      <c r="AC714" s="52" t="s">
        <v>247</v>
      </c>
      <c r="AD714" s="52" t="s">
        <v>2</v>
      </c>
      <c r="AE714" s="52" t="s">
        <v>372</v>
      </c>
      <c r="AF714" s="155" t="s">
        <v>247</v>
      </c>
      <c r="AG714" s="155" t="s">
        <v>247</v>
      </c>
    </row>
    <row r="715" spans="25:33">
      <c r="Y715" s="47">
        <v>2715</v>
      </c>
      <c r="Z715" s="52" t="s">
        <v>410</v>
      </c>
      <c r="AA715" s="52">
        <v>4</v>
      </c>
      <c r="AB715" s="52">
        <v>3</v>
      </c>
      <c r="AC715" s="52" t="s">
        <v>247</v>
      </c>
      <c r="AD715" s="52" t="s">
        <v>2</v>
      </c>
      <c r="AE715" s="52" t="s">
        <v>372</v>
      </c>
      <c r="AF715" s="155" t="s">
        <v>247</v>
      </c>
      <c r="AG715" s="155" t="s">
        <v>247</v>
      </c>
    </row>
    <row r="716" spans="25:33">
      <c r="Y716" s="47">
        <v>2716</v>
      </c>
      <c r="Z716" s="52" t="s">
        <v>410</v>
      </c>
      <c r="AA716" s="52">
        <v>4</v>
      </c>
      <c r="AB716" s="52">
        <v>3</v>
      </c>
      <c r="AC716" s="52" t="s">
        <v>247</v>
      </c>
      <c r="AD716" s="52" t="s">
        <v>2</v>
      </c>
      <c r="AE716" s="52" t="s">
        <v>372</v>
      </c>
      <c r="AF716" s="155" t="s">
        <v>247</v>
      </c>
      <c r="AG716" s="155" t="s">
        <v>247</v>
      </c>
    </row>
    <row r="717" spans="25:33">
      <c r="Y717" s="47">
        <v>2717</v>
      </c>
      <c r="Z717" s="52" t="s">
        <v>410</v>
      </c>
      <c r="AA717" s="52">
        <v>4</v>
      </c>
      <c r="AB717" s="52">
        <v>3</v>
      </c>
      <c r="AC717" s="52" t="s">
        <v>247</v>
      </c>
      <c r="AD717" s="52" t="s">
        <v>2</v>
      </c>
      <c r="AE717" s="52" t="s">
        <v>372</v>
      </c>
      <c r="AF717" s="155" t="s">
        <v>247</v>
      </c>
      <c r="AG717" s="155" t="s">
        <v>247</v>
      </c>
    </row>
    <row r="718" spans="25:33">
      <c r="Y718" s="47">
        <v>2720</v>
      </c>
      <c r="Z718" s="52" t="s">
        <v>407</v>
      </c>
      <c r="AA718" s="52">
        <v>7</v>
      </c>
      <c r="AB718" s="52">
        <v>5</v>
      </c>
      <c r="AC718" s="52" t="s">
        <v>247</v>
      </c>
      <c r="AD718" s="52" t="s">
        <v>2</v>
      </c>
      <c r="AE718" s="52" t="s">
        <v>372</v>
      </c>
      <c r="AF718" s="155" t="s">
        <v>247</v>
      </c>
      <c r="AG718" s="155" t="s">
        <v>247</v>
      </c>
    </row>
    <row r="719" spans="25:33">
      <c r="Y719" s="47">
        <v>2721</v>
      </c>
      <c r="Z719" s="52" t="s">
        <v>410</v>
      </c>
      <c r="AA719" s="52">
        <v>4</v>
      </c>
      <c r="AB719" s="52">
        <v>3</v>
      </c>
      <c r="AC719" s="52" t="s">
        <v>247</v>
      </c>
      <c r="AD719" s="52" t="s">
        <v>2</v>
      </c>
      <c r="AE719" s="52" t="s">
        <v>372</v>
      </c>
      <c r="AF719" s="155" t="s">
        <v>247</v>
      </c>
      <c r="AG719" s="155" t="s">
        <v>247</v>
      </c>
    </row>
    <row r="720" spans="25:33">
      <c r="Y720" s="47">
        <v>2722</v>
      </c>
      <c r="Z720" s="52" t="s">
        <v>410</v>
      </c>
      <c r="AA720" s="52">
        <v>4</v>
      </c>
      <c r="AB720" s="52">
        <v>3</v>
      </c>
      <c r="AC720" s="52" t="s">
        <v>247</v>
      </c>
      <c r="AD720" s="52" t="s">
        <v>2</v>
      </c>
      <c r="AE720" s="52" t="s">
        <v>372</v>
      </c>
      <c r="AF720" s="155" t="s">
        <v>247</v>
      </c>
      <c r="AG720" s="155" t="s">
        <v>247</v>
      </c>
    </row>
    <row r="721" spans="25:33">
      <c r="Y721" s="47">
        <v>2723</v>
      </c>
      <c r="Z721" s="52" t="s">
        <v>410</v>
      </c>
      <c r="AA721" s="52" t="s">
        <v>247</v>
      </c>
      <c r="AB721" s="52">
        <v>3</v>
      </c>
      <c r="AC721" s="52" t="s">
        <v>247</v>
      </c>
      <c r="AD721" s="52" t="s">
        <v>2</v>
      </c>
      <c r="AE721" s="52" t="s">
        <v>372</v>
      </c>
      <c r="AF721" s="155" t="s">
        <v>247</v>
      </c>
      <c r="AG721" s="155" t="s">
        <v>247</v>
      </c>
    </row>
    <row r="722" spans="25:33">
      <c r="Y722" s="47">
        <v>2724</v>
      </c>
      <c r="Z722" s="52" t="s">
        <v>410</v>
      </c>
      <c r="AA722" s="52" t="s">
        <v>247</v>
      </c>
      <c r="AB722" s="52">
        <v>3</v>
      </c>
      <c r="AC722" s="52" t="s">
        <v>247</v>
      </c>
      <c r="AD722" s="52" t="s">
        <v>2</v>
      </c>
      <c r="AE722" s="52" t="s">
        <v>372</v>
      </c>
      <c r="AF722" s="155" t="s">
        <v>247</v>
      </c>
      <c r="AG722" s="155" t="s">
        <v>247</v>
      </c>
    </row>
    <row r="723" spans="25:33">
      <c r="Y723" s="47">
        <v>2725</v>
      </c>
      <c r="Z723" s="52" t="s">
        <v>410</v>
      </c>
      <c r="AA723" s="52">
        <v>4</v>
      </c>
      <c r="AB723" s="52">
        <v>3</v>
      </c>
      <c r="AC723" s="52" t="s">
        <v>247</v>
      </c>
      <c r="AD723" s="52" t="s">
        <v>2</v>
      </c>
      <c r="AE723" s="52" t="s">
        <v>372</v>
      </c>
      <c r="AF723" s="155" t="s">
        <v>247</v>
      </c>
      <c r="AG723" s="155" t="s">
        <v>247</v>
      </c>
    </row>
    <row r="724" spans="25:33">
      <c r="Y724" s="47">
        <v>2726</v>
      </c>
      <c r="Z724" s="52" t="s">
        <v>410</v>
      </c>
      <c r="AA724" s="52">
        <v>4</v>
      </c>
      <c r="AB724" s="52">
        <v>3</v>
      </c>
      <c r="AC724" s="52" t="s">
        <v>247</v>
      </c>
      <c r="AD724" s="52" t="s">
        <v>2</v>
      </c>
      <c r="AE724" s="52" t="s">
        <v>372</v>
      </c>
      <c r="AF724" s="155" t="s">
        <v>247</v>
      </c>
      <c r="AG724" s="155" t="s">
        <v>247</v>
      </c>
    </row>
    <row r="725" spans="25:33">
      <c r="Y725" s="47">
        <v>2727</v>
      </c>
      <c r="Z725" s="52" t="s">
        <v>410</v>
      </c>
      <c r="AA725" s="52">
        <v>4</v>
      </c>
      <c r="AB725" s="52">
        <v>3</v>
      </c>
      <c r="AC725" s="52" t="s">
        <v>247</v>
      </c>
      <c r="AD725" s="52" t="s">
        <v>2</v>
      </c>
      <c r="AE725" s="52" t="s">
        <v>372</v>
      </c>
      <c r="AF725" s="155" t="s">
        <v>247</v>
      </c>
      <c r="AG725" s="155" t="s">
        <v>247</v>
      </c>
    </row>
    <row r="726" spans="25:33">
      <c r="Y726" s="47">
        <v>2729</v>
      </c>
      <c r="Z726" s="52" t="s">
        <v>407</v>
      </c>
      <c r="AA726" s="52">
        <v>4</v>
      </c>
      <c r="AB726" s="52">
        <v>3</v>
      </c>
      <c r="AC726" s="52" t="s">
        <v>247</v>
      </c>
      <c r="AD726" s="52" t="s">
        <v>2</v>
      </c>
      <c r="AE726" s="52" t="s">
        <v>372</v>
      </c>
      <c r="AF726" s="155" t="s">
        <v>247</v>
      </c>
      <c r="AG726" s="155" t="s">
        <v>247</v>
      </c>
    </row>
    <row r="727" spans="25:33">
      <c r="Y727" s="47">
        <v>2730</v>
      </c>
      <c r="Z727" s="52" t="s">
        <v>407</v>
      </c>
      <c r="AA727" s="52">
        <v>7</v>
      </c>
      <c r="AB727" s="52">
        <v>5</v>
      </c>
      <c r="AC727" s="52" t="s">
        <v>247</v>
      </c>
      <c r="AD727" s="52" t="s">
        <v>2</v>
      </c>
      <c r="AE727" s="52" t="s">
        <v>372</v>
      </c>
      <c r="AF727" s="155" t="s">
        <v>247</v>
      </c>
      <c r="AG727" s="155" t="s">
        <v>247</v>
      </c>
    </row>
    <row r="728" spans="25:33">
      <c r="Y728" s="47">
        <v>2731</v>
      </c>
      <c r="Z728" s="52" t="s">
        <v>410</v>
      </c>
      <c r="AA728" s="52">
        <v>4</v>
      </c>
      <c r="AB728" s="52">
        <v>3</v>
      </c>
      <c r="AC728" s="52" t="s">
        <v>247</v>
      </c>
      <c r="AD728" s="52" t="s">
        <v>2</v>
      </c>
      <c r="AE728" s="52" t="s">
        <v>372</v>
      </c>
      <c r="AF728" s="155" t="s">
        <v>247</v>
      </c>
      <c r="AG728" s="155" t="s">
        <v>247</v>
      </c>
    </row>
    <row r="729" spans="25:33">
      <c r="Y729" s="47">
        <v>2732</v>
      </c>
      <c r="Z729" s="52" t="s">
        <v>410</v>
      </c>
      <c r="AA729" s="52">
        <v>4</v>
      </c>
      <c r="AB729" s="52">
        <v>3</v>
      </c>
      <c r="AC729" s="52" t="s">
        <v>247</v>
      </c>
      <c r="AD729" s="52" t="s">
        <v>2</v>
      </c>
      <c r="AE729" s="52" t="s">
        <v>372</v>
      </c>
      <c r="AF729" s="155" t="s">
        <v>247</v>
      </c>
      <c r="AG729" s="155" t="s">
        <v>247</v>
      </c>
    </row>
    <row r="730" spans="25:33">
      <c r="Y730" s="47">
        <v>2733</v>
      </c>
      <c r="Z730" s="52" t="s">
        <v>410</v>
      </c>
      <c r="AA730" s="52">
        <v>4</v>
      </c>
      <c r="AB730" s="52">
        <v>3</v>
      </c>
      <c r="AC730" s="52" t="s">
        <v>247</v>
      </c>
      <c r="AD730" s="52" t="s">
        <v>2</v>
      </c>
      <c r="AE730" s="52" t="s">
        <v>372</v>
      </c>
      <c r="AF730" s="155" t="s">
        <v>247</v>
      </c>
      <c r="AG730" s="155" t="s">
        <v>247</v>
      </c>
    </row>
    <row r="731" spans="25:33">
      <c r="Y731" s="47">
        <v>2734</v>
      </c>
      <c r="Z731" s="52" t="s">
        <v>410</v>
      </c>
      <c r="AA731" s="52">
        <v>4</v>
      </c>
      <c r="AB731" s="52">
        <v>3</v>
      </c>
      <c r="AC731" s="52" t="s">
        <v>247</v>
      </c>
      <c r="AD731" s="52" t="s">
        <v>2</v>
      </c>
      <c r="AE731" s="52" t="s">
        <v>372</v>
      </c>
      <c r="AF731" s="155" t="s">
        <v>247</v>
      </c>
      <c r="AG731" s="155" t="s">
        <v>247</v>
      </c>
    </row>
    <row r="732" spans="25:33">
      <c r="Y732" s="47">
        <v>2735</v>
      </c>
      <c r="Z732" s="52" t="s">
        <v>410</v>
      </c>
      <c r="AA732" s="52">
        <v>4</v>
      </c>
      <c r="AB732" s="52">
        <v>3</v>
      </c>
      <c r="AC732" s="52" t="s">
        <v>247</v>
      </c>
      <c r="AD732" s="52" t="s">
        <v>2</v>
      </c>
      <c r="AE732" s="52" t="s">
        <v>372</v>
      </c>
      <c r="AF732" s="155" t="s">
        <v>247</v>
      </c>
      <c r="AG732" s="155" t="s">
        <v>247</v>
      </c>
    </row>
    <row r="733" spans="25:33">
      <c r="Y733" s="47">
        <v>2736</v>
      </c>
      <c r="Z733" s="52" t="s">
        <v>410</v>
      </c>
      <c r="AA733" s="52">
        <v>4</v>
      </c>
      <c r="AB733" s="52">
        <v>3</v>
      </c>
      <c r="AC733" s="52" t="s">
        <v>247</v>
      </c>
      <c r="AD733" s="52" t="s">
        <v>2</v>
      </c>
      <c r="AE733" s="52" t="s">
        <v>372</v>
      </c>
      <c r="AF733" s="155" t="s">
        <v>247</v>
      </c>
      <c r="AG733" s="155" t="s">
        <v>247</v>
      </c>
    </row>
    <row r="734" spans="25:33">
      <c r="Y734" s="47">
        <v>2737</v>
      </c>
      <c r="Z734" s="52" t="s">
        <v>410</v>
      </c>
      <c r="AA734" s="52">
        <v>4</v>
      </c>
      <c r="AB734" s="52">
        <v>3</v>
      </c>
      <c r="AC734" s="52" t="s">
        <v>247</v>
      </c>
      <c r="AD734" s="52" t="s">
        <v>2</v>
      </c>
      <c r="AE734" s="52" t="s">
        <v>372</v>
      </c>
      <c r="AF734" s="155" t="s">
        <v>247</v>
      </c>
      <c r="AG734" s="155" t="s">
        <v>247</v>
      </c>
    </row>
    <row r="735" spans="25:33">
      <c r="Y735" s="47">
        <v>2738</v>
      </c>
      <c r="Z735" s="52" t="s">
        <v>410</v>
      </c>
      <c r="AA735" s="52">
        <v>4</v>
      </c>
      <c r="AB735" s="52">
        <v>3</v>
      </c>
      <c r="AC735" s="52" t="s">
        <v>247</v>
      </c>
      <c r="AD735" s="52" t="s">
        <v>2</v>
      </c>
      <c r="AE735" s="52" t="s">
        <v>372</v>
      </c>
      <c r="AF735" s="155" t="s">
        <v>247</v>
      </c>
      <c r="AG735" s="155" t="s">
        <v>247</v>
      </c>
    </row>
    <row r="736" spans="25:33">
      <c r="Y736" s="47">
        <v>2739</v>
      </c>
      <c r="Z736" s="52" t="s">
        <v>410</v>
      </c>
      <c r="AA736" s="52">
        <v>4</v>
      </c>
      <c r="AB736" s="52">
        <v>3</v>
      </c>
      <c r="AC736" s="52" t="s">
        <v>247</v>
      </c>
      <c r="AD736" s="52" t="s">
        <v>2</v>
      </c>
      <c r="AE736" s="52" t="s">
        <v>372</v>
      </c>
      <c r="AF736" s="155" t="s">
        <v>247</v>
      </c>
      <c r="AG736" s="155" t="s">
        <v>247</v>
      </c>
    </row>
    <row r="737" spans="25:33">
      <c r="Y737" s="47">
        <v>2740</v>
      </c>
      <c r="Z737" s="52" t="s">
        <v>410</v>
      </c>
      <c r="AA737" s="52" t="s">
        <v>247</v>
      </c>
      <c r="AB737" s="52">
        <v>3</v>
      </c>
      <c r="AC737" s="52" t="s">
        <v>247</v>
      </c>
      <c r="AD737" s="52" t="s">
        <v>1</v>
      </c>
      <c r="AE737" s="52" t="s">
        <v>372</v>
      </c>
      <c r="AF737" s="155" t="s">
        <v>247</v>
      </c>
      <c r="AG737" s="155" t="s">
        <v>247</v>
      </c>
    </row>
    <row r="738" spans="25:33">
      <c r="Y738" s="47">
        <v>2741</v>
      </c>
      <c r="Z738" s="52" t="s">
        <v>410</v>
      </c>
      <c r="AA738" s="52" t="s">
        <v>247</v>
      </c>
      <c r="AB738" s="52">
        <v>3</v>
      </c>
      <c r="AC738" s="52" t="s">
        <v>247</v>
      </c>
      <c r="AD738" s="52" t="s">
        <v>1</v>
      </c>
      <c r="AE738" s="52" t="s">
        <v>372</v>
      </c>
      <c r="AF738" s="155" t="s">
        <v>247</v>
      </c>
      <c r="AG738" s="155" t="s">
        <v>247</v>
      </c>
    </row>
    <row r="739" spans="25:33">
      <c r="Y739" s="47">
        <v>2742</v>
      </c>
      <c r="Z739" s="52" t="s">
        <v>410</v>
      </c>
      <c r="AA739" s="52" t="s">
        <v>247</v>
      </c>
      <c r="AB739" s="52">
        <v>3</v>
      </c>
      <c r="AC739" s="52" t="s">
        <v>247</v>
      </c>
      <c r="AD739" s="52" t="s">
        <v>1</v>
      </c>
      <c r="AE739" s="52" t="s">
        <v>372</v>
      </c>
      <c r="AF739" s="155" t="s">
        <v>247</v>
      </c>
      <c r="AG739" s="155" t="s">
        <v>247</v>
      </c>
    </row>
    <row r="740" spans="25:33">
      <c r="Y740" s="47">
        <v>2743</v>
      </c>
      <c r="Z740" s="52" t="s">
        <v>410</v>
      </c>
      <c r="AA740" s="52" t="s">
        <v>247</v>
      </c>
      <c r="AB740" s="52">
        <v>3</v>
      </c>
      <c r="AC740" s="52" t="s">
        <v>247</v>
      </c>
      <c r="AD740" s="52" t="s">
        <v>1</v>
      </c>
      <c r="AE740" s="52" t="s">
        <v>372</v>
      </c>
      <c r="AF740" s="155" t="s">
        <v>247</v>
      </c>
      <c r="AG740" s="155" t="s">
        <v>247</v>
      </c>
    </row>
    <row r="741" spans="25:33">
      <c r="Y741" s="47">
        <v>2744</v>
      </c>
      <c r="Z741" s="52" t="s">
        <v>410</v>
      </c>
      <c r="AA741" s="52" t="s">
        <v>247</v>
      </c>
      <c r="AB741" s="52">
        <v>3</v>
      </c>
      <c r="AC741" s="52" t="s">
        <v>247</v>
      </c>
      <c r="AD741" s="52" t="s">
        <v>1</v>
      </c>
      <c r="AE741" s="52" t="s">
        <v>372</v>
      </c>
      <c r="AF741" s="155" t="s">
        <v>247</v>
      </c>
      <c r="AG741" s="155" t="s">
        <v>247</v>
      </c>
    </row>
    <row r="742" spans="25:33">
      <c r="Y742" s="47">
        <v>2745</v>
      </c>
      <c r="Z742" s="52" t="s">
        <v>410</v>
      </c>
      <c r="AA742" s="52">
        <v>6</v>
      </c>
      <c r="AB742" s="52">
        <v>3</v>
      </c>
      <c r="AC742" s="52" t="s">
        <v>247</v>
      </c>
      <c r="AD742" s="52" t="s">
        <v>1</v>
      </c>
      <c r="AE742" s="52" t="s">
        <v>372</v>
      </c>
      <c r="AF742" s="155" t="s">
        <v>247</v>
      </c>
      <c r="AG742" s="155" t="s">
        <v>247</v>
      </c>
    </row>
    <row r="743" spans="25:33">
      <c r="Y743" s="47">
        <v>2746</v>
      </c>
      <c r="Z743" s="52" t="s">
        <v>410</v>
      </c>
      <c r="AA743" s="52" t="s">
        <v>247</v>
      </c>
      <c r="AB743" s="52">
        <v>3</v>
      </c>
      <c r="AC743" s="52" t="s">
        <v>247</v>
      </c>
      <c r="AD743" s="52" t="s">
        <v>1</v>
      </c>
      <c r="AE743" s="52" t="s">
        <v>372</v>
      </c>
      <c r="AF743" s="155" t="s">
        <v>247</v>
      </c>
      <c r="AG743" s="155" t="s">
        <v>247</v>
      </c>
    </row>
    <row r="744" spans="25:33">
      <c r="Y744" s="47">
        <v>2747</v>
      </c>
      <c r="Z744" s="52" t="s">
        <v>410</v>
      </c>
      <c r="AA744" s="52">
        <v>6</v>
      </c>
      <c r="AB744" s="52">
        <v>3</v>
      </c>
      <c r="AC744" s="52" t="s">
        <v>247</v>
      </c>
      <c r="AD744" s="52" t="s">
        <v>1</v>
      </c>
      <c r="AE744" s="52" t="s">
        <v>372</v>
      </c>
      <c r="AF744" s="155" t="s">
        <v>247</v>
      </c>
      <c r="AG744" s="155" t="s">
        <v>247</v>
      </c>
    </row>
    <row r="745" spans="25:33">
      <c r="Y745" s="47">
        <v>2748</v>
      </c>
      <c r="Z745" s="52" t="s">
        <v>410</v>
      </c>
      <c r="AA745" s="52">
        <v>6</v>
      </c>
      <c r="AB745" s="52">
        <v>3</v>
      </c>
      <c r="AC745" s="52" t="s">
        <v>247</v>
      </c>
      <c r="AD745" s="52" t="s">
        <v>1</v>
      </c>
      <c r="AE745" s="52" t="s">
        <v>372</v>
      </c>
      <c r="AF745" s="155" t="s">
        <v>247</v>
      </c>
      <c r="AG745" s="155" t="s">
        <v>247</v>
      </c>
    </row>
    <row r="746" spans="25:33">
      <c r="Y746" s="47">
        <v>2749</v>
      </c>
      <c r="Z746" s="52" t="s">
        <v>410</v>
      </c>
      <c r="AA746" s="52">
        <v>6</v>
      </c>
      <c r="AB746" s="52">
        <v>3</v>
      </c>
      <c r="AC746" s="52" t="s">
        <v>247</v>
      </c>
      <c r="AD746" s="52" t="s">
        <v>1</v>
      </c>
      <c r="AE746" s="52" t="s">
        <v>372</v>
      </c>
      <c r="AF746" s="155" t="s">
        <v>247</v>
      </c>
      <c r="AG746" s="155" t="s">
        <v>247</v>
      </c>
    </row>
    <row r="747" spans="25:33">
      <c r="Y747" s="47">
        <v>2750</v>
      </c>
      <c r="Z747" s="52" t="s">
        <v>410</v>
      </c>
      <c r="AA747" s="52">
        <v>6</v>
      </c>
      <c r="AB747" s="52">
        <v>3</v>
      </c>
      <c r="AC747" s="52" t="s">
        <v>247</v>
      </c>
      <c r="AD747" s="52" t="s">
        <v>1</v>
      </c>
      <c r="AE747" s="52" t="s">
        <v>372</v>
      </c>
      <c r="AF747" s="155" t="s">
        <v>247</v>
      </c>
      <c r="AG747" s="155" t="s">
        <v>247</v>
      </c>
    </row>
    <row r="748" spans="25:33">
      <c r="Y748" s="47">
        <v>2751</v>
      </c>
      <c r="Z748" s="52" t="s">
        <v>410</v>
      </c>
      <c r="AA748" s="52" t="s">
        <v>247</v>
      </c>
      <c r="AB748" s="52">
        <v>3</v>
      </c>
      <c r="AC748" s="52" t="s">
        <v>247</v>
      </c>
      <c r="AD748" s="52" t="s">
        <v>1</v>
      </c>
      <c r="AE748" s="52" t="s">
        <v>372</v>
      </c>
      <c r="AF748" s="155" t="s">
        <v>247</v>
      </c>
      <c r="AG748" s="155" t="s">
        <v>247</v>
      </c>
    </row>
    <row r="749" spans="25:33">
      <c r="Y749" s="47">
        <v>2752</v>
      </c>
      <c r="Z749" s="52" t="s">
        <v>410</v>
      </c>
      <c r="AA749" s="52">
        <v>6</v>
      </c>
      <c r="AB749" s="52">
        <v>3</v>
      </c>
      <c r="AC749" s="52" t="s">
        <v>247</v>
      </c>
      <c r="AD749" s="52" t="s">
        <v>1</v>
      </c>
      <c r="AE749" s="52" t="s">
        <v>372</v>
      </c>
      <c r="AF749" s="155" t="s">
        <v>247</v>
      </c>
      <c r="AG749" s="155" t="s">
        <v>247</v>
      </c>
    </row>
    <row r="750" spans="25:33">
      <c r="Y750" s="47">
        <v>2753</v>
      </c>
      <c r="Z750" s="52" t="s">
        <v>410</v>
      </c>
      <c r="AA750" s="52">
        <v>6</v>
      </c>
      <c r="AB750" s="52">
        <v>3</v>
      </c>
      <c r="AC750" s="52" t="s">
        <v>247</v>
      </c>
      <c r="AD750" s="52" t="s">
        <v>1</v>
      </c>
      <c r="AE750" s="52" t="s">
        <v>372</v>
      </c>
      <c r="AF750" s="155" t="s">
        <v>247</v>
      </c>
      <c r="AG750" s="155" t="s">
        <v>247</v>
      </c>
    </row>
    <row r="751" spans="25:33">
      <c r="Y751" s="47">
        <v>2754</v>
      </c>
      <c r="Z751" s="52" t="s">
        <v>410</v>
      </c>
      <c r="AA751" s="52">
        <v>6</v>
      </c>
      <c r="AB751" s="52">
        <v>3</v>
      </c>
      <c r="AC751" s="52" t="s">
        <v>247</v>
      </c>
      <c r="AD751" s="52" t="s">
        <v>1</v>
      </c>
      <c r="AE751" s="52" t="s">
        <v>372</v>
      </c>
      <c r="AF751" s="155" t="s">
        <v>247</v>
      </c>
      <c r="AG751" s="155" t="s">
        <v>247</v>
      </c>
    </row>
    <row r="752" spans="25:33">
      <c r="Y752" s="47">
        <v>2755</v>
      </c>
      <c r="Z752" s="52" t="s">
        <v>410</v>
      </c>
      <c r="AA752" s="52" t="s">
        <v>247</v>
      </c>
      <c r="AB752" s="52">
        <v>3</v>
      </c>
      <c r="AC752" s="52" t="s">
        <v>247</v>
      </c>
      <c r="AD752" s="52" t="s">
        <v>1</v>
      </c>
      <c r="AE752" s="52" t="s">
        <v>372</v>
      </c>
      <c r="AF752" s="155" t="s">
        <v>247</v>
      </c>
      <c r="AG752" s="155" t="s">
        <v>247</v>
      </c>
    </row>
    <row r="753" spans="25:33">
      <c r="Y753" s="47">
        <v>2756</v>
      </c>
      <c r="Z753" s="52" t="s">
        <v>410</v>
      </c>
      <c r="AA753" s="52">
        <v>6</v>
      </c>
      <c r="AB753" s="52">
        <v>3</v>
      </c>
      <c r="AC753" s="52" t="s">
        <v>247</v>
      </c>
      <c r="AD753" s="52" t="s">
        <v>1</v>
      </c>
      <c r="AE753" s="52" t="s">
        <v>372</v>
      </c>
      <c r="AF753" s="155" t="s">
        <v>247</v>
      </c>
      <c r="AG753" s="155" t="s">
        <v>247</v>
      </c>
    </row>
    <row r="754" spans="25:33">
      <c r="Y754" s="47">
        <v>2757</v>
      </c>
      <c r="Z754" s="52" t="s">
        <v>410</v>
      </c>
      <c r="AA754" s="52">
        <v>6</v>
      </c>
      <c r="AB754" s="52">
        <v>3</v>
      </c>
      <c r="AC754" s="52" t="s">
        <v>247</v>
      </c>
      <c r="AD754" s="52" t="s">
        <v>1</v>
      </c>
      <c r="AE754" s="52" t="s">
        <v>372</v>
      </c>
      <c r="AF754" s="155" t="s">
        <v>247</v>
      </c>
      <c r="AG754" s="155" t="s">
        <v>247</v>
      </c>
    </row>
    <row r="755" spans="25:33">
      <c r="Y755" s="47">
        <v>2758</v>
      </c>
      <c r="Z755" s="52" t="s">
        <v>410</v>
      </c>
      <c r="AA755" s="52">
        <v>6</v>
      </c>
      <c r="AB755" s="52">
        <v>3</v>
      </c>
      <c r="AC755" s="52" t="s">
        <v>247</v>
      </c>
      <c r="AD755" s="52" t="s">
        <v>1</v>
      </c>
      <c r="AE755" s="52" t="s">
        <v>372</v>
      </c>
      <c r="AF755" s="155" t="s">
        <v>247</v>
      </c>
      <c r="AG755" s="155" t="s">
        <v>247</v>
      </c>
    </row>
    <row r="756" spans="25:33">
      <c r="Y756" s="47">
        <v>2759</v>
      </c>
      <c r="Z756" s="52" t="s">
        <v>410</v>
      </c>
      <c r="AA756" s="52">
        <v>6</v>
      </c>
      <c r="AB756" s="52">
        <v>3</v>
      </c>
      <c r="AC756" s="52" t="s">
        <v>247</v>
      </c>
      <c r="AD756" s="52" t="s">
        <v>1</v>
      </c>
      <c r="AE756" s="52" t="s">
        <v>372</v>
      </c>
      <c r="AF756" s="155" t="s">
        <v>247</v>
      </c>
      <c r="AG756" s="155" t="s">
        <v>247</v>
      </c>
    </row>
    <row r="757" spans="25:33">
      <c r="Y757" s="47">
        <v>2760</v>
      </c>
      <c r="Z757" s="52" t="s">
        <v>410</v>
      </c>
      <c r="AA757" s="52">
        <v>6</v>
      </c>
      <c r="AB757" s="52">
        <v>3</v>
      </c>
      <c r="AC757" s="52" t="s">
        <v>247</v>
      </c>
      <c r="AD757" s="52" t="s">
        <v>1</v>
      </c>
      <c r="AE757" s="52" t="s">
        <v>372</v>
      </c>
      <c r="AF757" s="155" t="s">
        <v>247</v>
      </c>
      <c r="AG757" s="155" t="s">
        <v>247</v>
      </c>
    </row>
    <row r="758" spans="25:33">
      <c r="Y758" s="47">
        <v>2761</v>
      </c>
      <c r="Z758" s="52" t="s">
        <v>410</v>
      </c>
      <c r="AA758" s="52">
        <v>6</v>
      </c>
      <c r="AB758" s="52">
        <v>3</v>
      </c>
      <c r="AC758" s="52" t="s">
        <v>247</v>
      </c>
      <c r="AD758" s="52" t="s">
        <v>1</v>
      </c>
      <c r="AE758" s="52" t="s">
        <v>372</v>
      </c>
      <c r="AF758" s="155" t="s">
        <v>247</v>
      </c>
      <c r="AG758" s="155" t="s">
        <v>247</v>
      </c>
    </row>
    <row r="759" spans="25:33">
      <c r="Y759" s="47">
        <v>2762</v>
      </c>
      <c r="Z759" s="52" t="s">
        <v>410</v>
      </c>
      <c r="AA759" s="52">
        <v>6</v>
      </c>
      <c r="AB759" s="52">
        <v>3</v>
      </c>
      <c r="AC759" s="52" t="s">
        <v>247</v>
      </c>
      <c r="AD759" s="52" t="s">
        <v>1</v>
      </c>
      <c r="AE759" s="52" t="s">
        <v>372</v>
      </c>
      <c r="AF759" s="155" t="s">
        <v>247</v>
      </c>
      <c r="AG759" s="155" t="s">
        <v>247</v>
      </c>
    </row>
    <row r="760" spans="25:33">
      <c r="Y760" s="47">
        <v>2763</v>
      </c>
      <c r="Z760" s="52" t="s">
        <v>410</v>
      </c>
      <c r="AA760" s="52">
        <v>6</v>
      </c>
      <c r="AB760" s="52">
        <v>3</v>
      </c>
      <c r="AC760" s="52" t="s">
        <v>247</v>
      </c>
      <c r="AD760" s="52" t="s">
        <v>1</v>
      </c>
      <c r="AE760" s="52" t="s">
        <v>372</v>
      </c>
      <c r="AF760" s="155" t="s">
        <v>247</v>
      </c>
      <c r="AG760" s="155" t="s">
        <v>247</v>
      </c>
    </row>
    <row r="761" spans="25:33">
      <c r="Y761" s="47">
        <v>2764</v>
      </c>
      <c r="Z761" s="52" t="s">
        <v>410</v>
      </c>
      <c r="AA761" s="52" t="s">
        <v>247</v>
      </c>
      <c r="AB761" s="52">
        <v>3</v>
      </c>
      <c r="AC761" s="52" t="s">
        <v>247</v>
      </c>
      <c r="AD761" s="52" t="s">
        <v>1</v>
      </c>
      <c r="AE761" s="52" t="s">
        <v>372</v>
      </c>
      <c r="AF761" s="155" t="s">
        <v>247</v>
      </c>
      <c r="AG761" s="155" t="s">
        <v>247</v>
      </c>
    </row>
    <row r="762" spans="25:33">
      <c r="Y762" s="47">
        <v>2765</v>
      </c>
      <c r="Z762" s="52" t="s">
        <v>410</v>
      </c>
      <c r="AA762" s="52">
        <v>6</v>
      </c>
      <c r="AB762" s="52">
        <v>3</v>
      </c>
      <c r="AC762" s="52" t="s">
        <v>247</v>
      </c>
      <c r="AD762" s="52" t="s">
        <v>1</v>
      </c>
      <c r="AE762" s="52" t="s">
        <v>372</v>
      </c>
      <c r="AF762" s="155" t="s">
        <v>247</v>
      </c>
      <c r="AG762" s="155" t="s">
        <v>247</v>
      </c>
    </row>
    <row r="763" spans="25:33">
      <c r="Y763" s="47">
        <v>2766</v>
      </c>
      <c r="Z763" s="52" t="s">
        <v>410</v>
      </c>
      <c r="AA763" s="52">
        <v>6</v>
      </c>
      <c r="AB763" s="52">
        <v>3</v>
      </c>
      <c r="AC763" s="52" t="s">
        <v>247</v>
      </c>
      <c r="AD763" s="52" t="s">
        <v>1</v>
      </c>
      <c r="AE763" s="52" t="s">
        <v>372</v>
      </c>
      <c r="AF763" s="155" t="s">
        <v>247</v>
      </c>
      <c r="AG763" s="155" t="s">
        <v>247</v>
      </c>
    </row>
    <row r="764" spans="25:33">
      <c r="Y764" s="47">
        <v>2767</v>
      </c>
      <c r="Z764" s="52" t="s">
        <v>410</v>
      </c>
      <c r="AA764" s="52">
        <v>6</v>
      </c>
      <c r="AB764" s="52">
        <v>3</v>
      </c>
      <c r="AC764" s="52" t="s">
        <v>247</v>
      </c>
      <c r="AD764" s="52" t="s">
        <v>1</v>
      </c>
      <c r="AE764" s="52" t="s">
        <v>372</v>
      </c>
      <c r="AF764" s="155" t="s">
        <v>247</v>
      </c>
      <c r="AG764" s="155" t="s">
        <v>247</v>
      </c>
    </row>
    <row r="765" spans="25:33">
      <c r="Y765" s="47">
        <v>2768</v>
      </c>
      <c r="Z765" s="52" t="s">
        <v>410</v>
      </c>
      <c r="AA765" s="52">
        <v>6</v>
      </c>
      <c r="AB765" s="52">
        <v>3</v>
      </c>
      <c r="AC765" s="52" t="s">
        <v>247</v>
      </c>
      <c r="AD765" s="52" t="s">
        <v>1</v>
      </c>
      <c r="AE765" s="52" t="s">
        <v>372</v>
      </c>
      <c r="AF765" s="155" t="s">
        <v>247</v>
      </c>
      <c r="AG765" s="155" t="s">
        <v>247</v>
      </c>
    </row>
    <row r="766" spans="25:33">
      <c r="Y766" s="47">
        <v>2769</v>
      </c>
      <c r="Z766" s="52" t="s">
        <v>410</v>
      </c>
      <c r="AA766" s="52">
        <v>6</v>
      </c>
      <c r="AB766" s="52">
        <v>3</v>
      </c>
      <c r="AC766" s="52" t="s">
        <v>247</v>
      </c>
      <c r="AD766" s="52" t="s">
        <v>1</v>
      </c>
      <c r="AE766" s="52" t="s">
        <v>372</v>
      </c>
      <c r="AF766" s="155" t="s">
        <v>247</v>
      </c>
      <c r="AG766" s="155" t="s">
        <v>247</v>
      </c>
    </row>
    <row r="767" spans="25:33">
      <c r="Y767" s="47">
        <v>2770</v>
      </c>
      <c r="Z767" s="52" t="s">
        <v>410</v>
      </c>
      <c r="AA767" s="52">
        <v>6</v>
      </c>
      <c r="AB767" s="52">
        <v>3</v>
      </c>
      <c r="AC767" s="52" t="s">
        <v>247</v>
      </c>
      <c r="AD767" s="52" t="s">
        <v>1</v>
      </c>
      <c r="AE767" s="52" t="s">
        <v>372</v>
      </c>
      <c r="AF767" s="155" t="s">
        <v>247</v>
      </c>
      <c r="AG767" s="155" t="s">
        <v>247</v>
      </c>
    </row>
    <row r="768" spans="25:33">
      <c r="Y768" s="47">
        <v>2771</v>
      </c>
      <c r="Z768" s="52" t="s">
        <v>410</v>
      </c>
      <c r="AA768" s="52" t="s">
        <v>247</v>
      </c>
      <c r="AB768" s="52">
        <v>3</v>
      </c>
      <c r="AC768" s="52" t="s">
        <v>247</v>
      </c>
      <c r="AD768" s="52" t="s">
        <v>1</v>
      </c>
      <c r="AE768" s="52" t="s">
        <v>372</v>
      </c>
      <c r="AF768" s="155" t="s">
        <v>247</v>
      </c>
      <c r="AG768" s="155" t="s">
        <v>247</v>
      </c>
    </row>
    <row r="769" spans="25:33">
      <c r="Y769" s="47">
        <v>2772</v>
      </c>
      <c r="Z769" s="52" t="s">
        <v>410</v>
      </c>
      <c r="AA769" s="52" t="s">
        <v>247</v>
      </c>
      <c r="AB769" s="52">
        <v>3</v>
      </c>
      <c r="AC769" s="52" t="s">
        <v>247</v>
      </c>
      <c r="AD769" s="52" t="s">
        <v>1</v>
      </c>
      <c r="AE769" s="52" t="s">
        <v>372</v>
      </c>
      <c r="AF769" s="155" t="s">
        <v>247</v>
      </c>
      <c r="AG769" s="155" t="s">
        <v>247</v>
      </c>
    </row>
    <row r="770" spans="25:33">
      <c r="Y770" s="47">
        <v>2773</v>
      </c>
      <c r="Z770" s="52" t="s">
        <v>410</v>
      </c>
      <c r="AA770" s="52">
        <v>6</v>
      </c>
      <c r="AB770" s="52">
        <v>3</v>
      </c>
      <c r="AC770" s="52" t="s">
        <v>247</v>
      </c>
      <c r="AD770" s="52" t="s">
        <v>1</v>
      </c>
      <c r="AE770" s="52" t="s">
        <v>372</v>
      </c>
      <c r="AF770" s="155" t="s">
        <v>247</v>
      </c>
      <c r="AG770" s="155" t="s">
        <v>247</v>
      </c>
    </row>
    <row r="771" spans="25:33">
      <c r="Y771" s="47">
        <v>2774</v>
      </c>
      <c r="Z771" s="52" t="s">
        <v>410</v>
      </c>
      <c r="AA771" s="52">
        <v>6</v>
      </c>
      <c r="AB771" s="52">
        <v>3</v>
      </c>
      <c r="AC771" s="52" t="s">
        <v>247</v>
      </c>
      <c r="AD771" s="52" t="s">
        <v>1</v>
      </c>
      <c r="AE771" s="52" t="s">
        <v>372</v>
      </c>
      <c r="AF771" s="155" t="s">
        <v>247</v>
      </c>
      <c r="AG771" s="155" t="s">
        <v>247</v>
      </c>
    </row>
    <row r="772" spans="25:33">
      <c r="Y772" s="47">
        <v>2775</v>
      </c>
      <c r="Z772" s="52" t="s">
        <v>410</v>
      </c>
      <c r="AA772" s="52">
        <v>6</v>
      </c>
      <c r="AB772" s="52">
        <v>3</v>
      </c>
      <c r="AC772" s="52" t="s">
        <v>247</v>
      </c>
      <c r="AD772" s="52" t="s">
        <v>1</v>
      </c>
      <c r="AE772" s="52" t="s">
        <v>372</v>
      </c>
      <c r="AF772" s="155" t="s">
        <v>247</v>
      </c>
      <c r="AG772" s="155" t="s">
        <v>247</v>
      </c>
    </row>
    <row r="773" spans="25:33">
      <c r="Y773" s="47">
        <v>2776</v>
      </c>
      <c r="Z773" s="52" t="s">
        <v>410</v>
      </c>
      <c r="AA773" s="52">
        <v>7</v>
      </c>
      <c r="AB773" s="52">
        <v>5</v>
      </c>
      <c r="AC773" s="52" t="s">
        <v>247</v>
      </c>
      <c r="AD773" s="52" t="s">
        <v>1</v>
      </c>
      <c r="AE773" s="52" t="s">
        <v>372</v>
      </c>
      <c r="AF773" s="155" t="s">
        <v>247</v>
      </c>
      <c r="AG773" s="155" t="s">
        <v>247</v>
      </c>
    </row>
    <row r="774" spans="25:33">
      <c r="Y774" s="47">
        <v>2777</v>
      </c>
      <c r="Z774" s="52" t="s">
        <v>410</v>
      </c>
      <c r="AA774" s="52">
        <v>6</v>
      </c>
      <c r="AB774" s="52">
        <v>3</v>
      </c>
      <c r="AC774" s="52" t="s">
        <v>247</v>
      </c>
      <c r="AD774" s="52" t="s">
        <v>1</v>
      </c>
      <c r="AE774" s="52" t="s">
        <v>372</v>
      </c>
      <c r="AF774" s="155" t="s">
        <v>247</v>
      </c>
      <c r="AG774" s="155" t="s">
        <v>247</v>
      </c>
    </row>
    <row r="775" spans="25:33">
      <c r="Y775" s="47">
        <v>2778</v>
      </c>
      <c r="Z775" s="52" t="s">
        <v>410</v>
      </c>
      <c r="AA775" s="52">
        <v>7</v>
      </c>
      <c r="AB775" s="52">
        <v>5</v>
      </c>
      <c r="AC775" s="52" t="s">
        <v>247</v>
      </c>
      <c r="AD775" s="52" t="s">
        <v>1</v>
      </c>
      <c r="AE775" s="52" t="s">
        <v>372</v>
      </c>
      <c r="AF775" s="155" t="s">
        <v>247</v>
      </c>
      <c r="AG775" s="155" t="s">
        <v>247</v>
      </c>
    </row>
    <row r="776" spans="25:33">
      <c r="Y776" s="47">
        <v>2779</v>
      </c>
      <c r="Z776" s="52" t="s">
        <v>410</v>
      </c>
      <c r="AA776" s="52">
        <v>7</v>
      </c>
      <c r="AB776" s="52">
        <v>5</v>
      </c>
      <c r="AC776" s="52" t="s">
        <v>247</v>
      </c>
      <c r="AD776" s="52" t="s">
        <v>1</v>
      </c>
      <c r="AE776" s="52" t="s">
        <v>372</v>
      </c>
      <c r="AF776" s="155" t="s">
        <v>247</v>
      </c>
      <c r="AG776" s="155" t="s">
        <v>247</v>
      </c>
    </row>
    <row r="777" spans="25:33">
      <c r="Y777" s="47">
        <v>2780</v>
      </c>
      <c r="Z777" s="52" t="s">
        <v>410</v>
      </c>
      <c r="AA777" s="52">
        <v>7</v>
      </c>
      <c r="AB777" s="52">
        <v>5</v>
      </c>
      <c r="AC777" s="52" t="s">
        <v>247</v>
      </c>
      <c r="AD777" s="52" t="s">
        <v>1</v>
      </c>
      <c r="AE777" s="52" t="s">
        <v>372</v>
      </c>
      <c r="AF777" s="155" t="s">
        <v>247</v>
      </c>
      <c r="AG777" s="155" t="s">
        <v>247</v>
      </c>
    </row>
    <row r="778" spans="25:33">
      <c r="Y778" s="47">
        <v>2781</v>
      </c>
      <c r="Z778" s="52" t="s">
        <v>410</v>
      </c>
      <c r="AA778" s="52" t="s">
        <v>247</v>
      </c>
      <c r="AB778" s="52">
        <v>3</v>
      </c>
      <c r="AC778" s="52" t="s">
        <v>247</v>
      </c>
      <c r="AD778" s="52" t="s">
        <v>1</v>
      </c>
      <c r="AE778" s="52" t="s">
        <v>372</v>
      </c>
      <c r="AF778" s="155" t="s">
        <v>247</v>
      </c>
      <c r="AG778" s="155" t="s">
        <v>247</v>
      </c>
    </row>
    <row r="779" spans="25:33">
      <c r="Y779" s="47">
        <v>2782</v>
      </c>
      <c r="Z779" s="52" t="s">
        <v>410</v>
      </c>
      <c r="AA779" s="52">
        <v>7</v>
      </c>
      <c r="AB779" s="52">
        <v>5</v>
      </c>
      <c r="AC779" s="52" t="s">
        <v>247</v>
      </c>
      <c r="AD779" s="52" t="s">
        <v>1</v>
      </c>
      <c r="AE779" s="52" t="s">
        <v>372</v>
      </c>
      <c r="AF779" s="155" t="s">
        <v>247</v>
      </c>
      <c r="AG779" s="155" t="s">
        <v>247</v>
      </c>
    </row>
    <row r="780" spans="25:33">
      <c r="Y780" s="47">
        <v>2783</v>
      </c>
      <c r="Z780" s="52" t="s">
        <v>410</v>
      </c>
      <c r="AA780" s="52">
        <v>7</v>
      </c>
      <c r="AB780" s="52">
        <v>5</v>
      </c>
      <c r="AC780" s="52" t="s">
        <v>247</v>
      </c>
      <c r="AD780" s="52" t="s">
        <v>1</v>
      </c>
      <c r="AE780" s="52" t="s">
        <v>372</v>
      </c>
      <c r="AF780" s="155" t="s">
        <v>247</v>
      </c>
      <c r="AG780" s="155" t="s">
        <v>247</v>
      </c>
    </row>
    <row r="781" spans="25:33">
      <c r="Y781" s="47">
        <v>2784</v>
      </c>
      <c r="Z781" s="52" t="s">
        <v>410</v>
      </c>
      <c r="AA781" s="52">
        <v>7</v>
      </c>
      <c r="AB781" s="52">
        <v>5</v>
      </c>
      <c r="AC781" s="52" t="s">
        <v>247</v>
      </c>
      <c r="AD781" s="52" t="s">
        <v>1</v>
      </c>
      <c r="AE781" s="52" t="s">
        <v>372</v>
      </c>
      <c r="AF781" s="155" t="s">
        <v>247</v>
      </c>
      <c r="AG781" s="155" t="s">
        <v>247</v>
      </c>
    </row>
    <row r="782" spans="25:33">
      <c r="Y782" s="47">
        <v>2785</v>
      </c>
      <c r="Z782" s="52" t="s">
        <v>410</v>
      </c>
      <c r="AA782" s="52">
        <v>7</v>
      </c>
      <c r="AB782" s="52">
        <v>5</v>
      </c>
      <c r="AC782" s="52" t="s">
        <v>247</v>
      </c>
      <c r="AD782" s="52" t="s">
        <v>1</v>
      </c>
      <c r="AE782" s="52" t="s">
        <v>372</v>
      </c>
      <c r="AF782" s="155" t="s">
        <v>247</v>
      </c>
      <c r="AG782" s="155" t="s">
        <v>247</v>
      </c>
    </row>
    <row r="783" spans="25:33">
      <c r="Y783" s="47">
        <v>2786</v>
      </c>
      <c r="Z783" s="52" t="s">
        <v>410</v>
      </c>
      <c r="AA783" s="52">
        <v>7</v>
      </c>
      <c r="AB783" s="52">
        <v>5</v>
      </c>
      <c r="AC783" s="52" t="s">
        <v>247</v>
      </c>
      <c r="AD783" s="52" t="s">
        <v>1</v>
      </c>
      <c r="AE783" s="52" t="s">
        <v>372</v>
      </c>
      <c r="AF783" s="155" t="s">
        <v>247</v>
      </c>
      <c r="AG783" s="155" t="s">
        <v>247</v>
      </c>
    </row>
    <row r="784" spans="25:33">
      <c r="Y784" s="47">
        <v>2787</v>
      </c>
      <c r="Z784" s="52" t="s">
        <v>407</v>
      </c>
      <c r="AA784" s="52">
        <v>7</v>
      </c>
      <c r="AB784" s="52">
        <v>5</v>
      </c>
      <c r="AC784" s="52" t="s">
        <v>247</v>
      </c>
      <c r="AD784" s="52" t="s">
        <v>2</v>
      </c>
      <c r="AE784" s="52" t="s">
        <v>372</v>
      </c>
      <c r="AF784" s="155" t="s">
        <v>247</v>
      </c>
      <c r="AG784" s="155" t="s">
        <v>247</v>
      </c>
    </row>
    <row r="785" spans="25:33">
      <c r="Y785" s="47">
        <v>2788</v>
      </c>
      <c r="Z785" s="52" t="s">
        <v>407</v>
      </c>
      <c r="AA785" s="52" t="s">
        <v>247</v>
      </c>
      <c r="AB785" s="52">
        <v>3</v>
      </c>
      <c r="AC785" s="52" t="s">
        <v>247</v>
      </c>
      <c r="AD785" s="52" t="s">
        <v>1</v>
      </c>
      <c r="AE785" s="52" t="s">
        <v>372</v>
      </c>
      <c r="AF785" s="155" t="s">
        <v>247</v>
      </c>
      <c r="AG785" s="155" t="s">
        <v>247</v>
      </c>
    </row>
    <row r="786" spans="25:33">
      <c r="Y786" s="47">
        <v>2789</v>
      </c>
      <c r="Z786" s="52" t="s">
        <v>407</v>
      </c>
      <c r="AA786" s="52" t="s">
        <v>247</v>
      </c>
      <c r="AB786" s="52">
        <v>3</v>
      </c>
      <c r="AC786" s="52" t="s">
        <v>247</v>
      </c>
      <c r="AD786" s="52" t="s">
        <v>1</v>
      </c>
      <c r="AE786" s="52" t="s">
        <v>372</v>
      </c>
      <c r="AF786" s="155" t="s">
        <v>247</v>
      </c>
      <c r="AG786" s="155" t="s">
        <v>247</v>
      </c>
    </row>
    <row r="787" spans="25:33">
      <c r="Y787" s="47">
        <v>2790</v>
      </c>
      <c r="Z787" s="52" t="s">
        <v>407</v>
      </c>
      <c r="AA787" s="52">
        <v>7</v>
      </c>
      <c r="AB787" s="52">
        <v>5</v>
      </c>
      <c r="AC787" s="52" t="s">
        <v>247</v>
      </c>
      <c r="AD787" s="52" t="s">
        <v>1</v>
      </c>
      <c r="AE787" s="52" t="s">
        <v>372</v>
      </c>
      <c r="AF787" s="155" t="s">
        <v>247</v>
      </c>
      <c r="AG787" s="155" t="s">
        <v>247</v>
      </c>
    </row>
    <row r="788" spans="25:33">
      <c r="Y788" s="47">
        <v>2791</v>
      </c>
      <c r="Z788" s="52" t="s">
        <v>407</v>
      </c>
      <c r="AA788" s="52">
        <v>7</v>
      </c>
      <c r="AB788" s="52">
        <v>5</v>
      </c>
      <c r="AC788" s="52" t="s">
        <v>247</v>
      </c>
      <c r="AD788" s="52" t="s">
        <v>2</v>
      </c>
      <c r="AE788" s="52" t="s">
        <v>372</v>
      </c>
      <c r="AF788" s="155" t="s">
        <v>247</v>
      </c>
      <c r="AG788" s="155" t="s">
        <v>247</v>
      </c>
    </row>
    <row r="789" spans="25:33">
      <c r="Y789" s="47">
        <v>2792</v>
      </c>
      <c r="Z789" s="52" t="s">
        <v>407</v>
      </c>
      <c r="AA789" s="52">
        <v>7</v>
      </c>
      <c r="AB789" s="52">
        <v>5</v>
      </c>
      <c r="AC789" s="52" t="s">
        <v>247</v>
      </c>
      <c r="AD789" s="52" t="s">
        <v>2</v>
      </c>
      <c r="AE789" s="52" t="s">
        <v>372</v>
      </c>
      <c r="AF789" s="155" t="s">
        <v>247</v>
      </c>
      <c r="AG789" s="155" t="s">
        <v>247</v>
      </c>
    </row>
    <row r="790" spans="25:33">
      <c r="Y790" s="47">
        <v>2793</v>
      </c>
      <c r="Z790" s="52" t="s">
        <v>410</v>
      </c>
      <c r="AA790" s="52">
        <v>7</v>
      </c>
      <c r="AB790" s="52">
        <v>5</v>
      </c>
      <c r="AC790" s="52" t="s">
        <v>247</v>
      </c>
      <c r="AD790" s="52" t="s">
        <v>2</v>
      </c>
      <c r="AE790" s="52" t="s">
        <v>372</v>
      </c>
      <c r="AF790" s="155" t="s">
        <v>247</v>
      </c>
      <c r="AG790" s="155" t="s">
        <v>247</v>
      </c>
    </row>
    <row r="791" spans="25:33">
      <c r="Y791" s="47">
        <v>2794</v>
      </c>
      <c r="Z791" s="52" t="s">
        <v>410</v>
      </c>
      <c r="AA791" s="52">
        <v>4</v>
      </c>
      <c r="AB791" s="52">
        <v>3</v>
      </c>
      <c r="AC791" s="52" t="s">
        <v>247</v>
      </c>
      <c r="AD791" s="52" t="s">
        <v>2</v>
      </c>
      <c r="AE791" s="52" t="s">
        <v>372</v>
      </c>
      <c r="AF791" s="155" t="s">
        <v>247</v>
      </c>
      <c r="AG791" s="155" t="s">
        <v>247</v>
      </c>
    </row>
    <row r="792" spans="25:33">
      <c r="Y792" s="47">
        <v>2795</v>
      </c>
      <c r="Z792" s="52" t="s">
        <v>407</v>
      </c>
      <c r="AA792" s="52">
        <v>7</v>
      </c>
      <c r="AB792" s="52">
        <v>5</v>
      </c>
      <c r="AC792" s="52" t="s">
        <v>247</v>
      </c>
      <c r="AD792" s="52" t="s">
        <v>2</v>
      </c>
      <c r="AE792" s="52" t="s">
        <v>372</v>
      </c>
      <c r="AF792" s="155" t="s">
        <v>247</v>
      </c>
      <c r="AG792" s="155" t="s">
        <v>247</v>
      </c>
    </row>
    <row r="793" spans="25:33">
      <c r="Y793" s="47">
        <v>2796</v>
      </c>
      <c r="Z793" s="52" t="s">
        <v>407</v>
      </c>
      <c r="AA793" s="52" t="s">
        <v>247</v>
      </c>
      <c r="AB793" s="52">
        <v>3</v>
      </c>
      <c r="AC793" s="52" t="s">
        <v>247</v>
      </c>
      <c r="AD793" s="52" t="s">
        <v>2</v>
      </c>
      <c r="AE793" s="52" t="s">
        <v>372</v>
      </c>
      <c r="AF793" s="155" t="s">
        <v>247</v>
      </c>
      <c r="AG793" s="155" t="s">
        <v>247</v>
      </c>
    </row>
    <row r="794" spans="25:33">
      <c r="Y794" s="47">
        <v>2797</v>
      </c>
      <c r="Z794" s="52" t="s">
        <v>407</v>
      </c>
      <c r="AA794" s="52">
        <v>7</v>
      </c>
      <c r="AB794" s="52">
        <v>5</v>
      </c>
      <c r="AC794" s="52" t="s">
        <v>247</v>
      </c>
      <c r="AD794" s="52" t="s">
        <v>2</v>
      </c>
      <c r="AE794" s="52" t="s">
        <v>372</v>
      </c>
      <c r="AF794" s="155" t="s">
        <v>247</v>
      </c>
      <c r="AG794" s="155" t="s">
        <v>247</v>
      </c>
    </row>
    <row r="795" spans="25:33">
      <c r="Y795" s="47">
        <v>2798</v>
      </c>
      <c r="Z795" s="52" t="s">
        <v>407</v>
      </c>
      <c r="AA795" s="52">
        <v>7</v>
      </c>
      <c r="AB795" s="52">
        <v>5</v>
      </c>
      <c r="AC795" s="52" t="s">
        <v>247</v>
      </c>
      <c r="AD795" s="52" t="s">
        <v>2</v>
      </c>
      <c r="AE795" s="52" t="s">
        <v>372</v>
      </c>
      <c r="AF795" s="155" t="s">
        <v>247</v>
      </c>
      <c r="AG795" s="155" t="s">
        <v>247</v>
      </c>
    </row>
    <row r="796" spans="25:33">
      <c r="Y796" s="47">
        <v>2799</v>
      </c>
      <c r="Z796" s="52" t="s">
        <v>407</v>
      </c>
      <c r="AA796" s="52">
        <v>7</v>
      </c>
      <c r="AB796" s="52">
        <v>5</v>
      </c>
      <c r="AC796" s="52" t="s">
        <v>247</v>
      </c>
      <c r="AD796" s="52" t="s">
        <v>2</v>
      </c>
      <c r="AE796" s="52" t="s">
        <v>372</v>
      </c>
      <c r="AF796" s="155" t="s">
        <v>247</v>
      </c>
      <c r="AG796" s="155" t="s">
        <v>247</v>
      </c>
    </row>
    <row r="797" spans="25:33">
      <c r="Y797" s="47">
        <v>2800</v>
      </c>
      <c r="Z797" s="52" t="s">
        <v>407</v>
      </c>
      <c r="AA797" s="52">
        <v>7</v>
      </c>
      <c r="AB797" s="52">
        <v>5</v>
      </c>
      <c r="AC797" s="52" t="s">
        <v>247</v>
      </c>
      <c r="AD797" s="52" t="s">
        <v>2</v>
      </c>
      <c r="AE797" s="52" t="s">
        <v>372</v>
      </c>
      <c r="AF797" s="155" t="s">
        <v>247</v>
      </c>
      <c r="AG797" s="155" t="s">
        <v>247</v>
      </c>
    </row>
    <row r="798" spans="25:33">
      <c r="Y798" s="47">
        <v>2803</v>
      </c>
      <c r="Z798" s="52" t="s">
        <v>410</v>
      </c>
      <c r="AA798" s="52">
        <v>7</v>
      </c>
      <c r="AB798" s="52">
        <v>5</v>
      </c>
      <c r="AC798" s="52" t="s">
        <v>247</v>
      </c>
      <c r="AD798" s="52" t="s">
        <v>2</v>
      </c>
      <c r="AE798" s="52" t="s">
        <v>372</v>
      </c>
      <c r="AF798" s="155" t="s">
        <v>247</v>
      </c>
      <c r="AG798" s="155" t="s">
        <v>247</v>
      </c>
    </row>
    <row r="799" spans="25:33">
      <c r="Y799" s="47">
        <v>2804</v>
      </c>
      <c r="Z799" s="52" t="s">
        <v>410</v>
      </c>
      <c r="AA799" s="52">
        <v>4</v>
      </c>
      <c r="AB799" s="52">
        <v>3</v>
      </c>
      <c r="AC799" s="52" t="s">
        <v>247</v>
      </c>
      <c r="AD799" s="52" t="s">
        <v>2</v>
      </c>
      <c r="AE799" s="52" t="s">
        <v>372</v>
      </c>
      <c r="AF799" s="155" t="s">
        <v>247</v>
      </c>
      <c r="AG799" s="155" t="s">
        <v>247</v>
      </c>
    </row>
    <row r="800" spans="25:33">
      <c r="Y800" s="47">
        <v>2805</v>
      </c>
      <c r="Z800" s="52" t="s">
        <v>410</v>
      </c>
      <c r="AA800" s="52">
        <v>4</v>
      </c>
      <c r="AB800" s="52">
        <v>3</v>
      </c>
      <c r="AC800" s="52" t="s">
        <v>247</v>
      </c>
      <c r="AD800" s="52" t="s">
        <v>2</v>
      </c>
      <c r="AE800" s="52" t="s">
        <v>372</v>
      </c>
      <c r="AF800" s="155" t="s">
        <v>247</v>
      </c>
      <c r="AG800" s="155" t="s">
        <v>247</v>
      </c>
    </row>
    <row r="801" spans="25:33">
      <c r="Y801" s="47">
        <v>2806</v>
      </c>
      <c r="Z801" s="52" t="s">
        <v>410</v>
      </c>
      <c r="AA801" s="52">
        <v>4</v>
      </c>
      <c r="AB801" s="52">
        <v>3</v>
      </c>
      <c r="AC801" s="52" t="s">
        <v>247</v>
      </c>
      <c r="AD801" s="52" t="s">
        <v>2</v>
      </c>
      <c r="AE801" s="52" t="s">
        <v>372</v>
      </c>
      <c r="AF801" s="155" t="s">
        <v>247</v>
      </c>
      <c r="AG801" s="155" t="s">
        <v>247</v>
      </c>
    </row>
    <row r="802" spans="25:33">
      <c r="Y802" s="47">
        <v>2807</v>
      </c>
      <c r="Z802" s="52" t="s">
        <v>410</v>
      </c>
      <c r="AA802" s="52">
        <v>7</v>
      </c>
      <c r="AB802" s="52">
        <v>5</v>
      </c>
      <c r="AC802" s="52" t="s">
        <v>247</v>
      </c>
      <c r="AD802" s="52" t="s">
        <v>2</v>
      </c>
      <c r="AE802" s="52" t="s">
        <v>372</v>
      </c>
      <c r="AF802" s="155" t="s">
        <v>247</v>
      </c>
      <c r="AG802" s="155" t="s">
        <v>247</v>
      </c>
    </row>
    <row r="803" spans="25:33">
      <c r="Y803" s="47">
        <v>2808</v>
      </c>
      <c r="Z803" s="52" t="s">
        <v>410</v>
      </c>
      <c r="AA803" s="52">
        <v>4</v>
      </c>
      <c r="AB803" s="52">
        <v>3</v>
      </c>
      <c r="AC803" s="52" t="s">
        <v>247</v>
      </c>
      <c r="AD803" s="52" t="s">
        <v>2</v>
      </c>
      <c r="AE803" s="52" t="s">
        <v>372</v>
      </c>
      <c r="AF803" s="155" t="s">
        <v>247</v>
      </c>
      <c r="AG803" s="155" t="s">
        <v>247</v>
      </c>
    </row>
    <row r="804" spans="25:33">
      <c r="Y804" s="47">
        <v>2809</v>
      </c>
      <c r="Z804" s="52" t="s">
        <v>410</v>
      </c>
      <c r="AA804" s="52">
        <v>4</v>
      </c>
      <c r="AB804" s="52">
        <v>3</v>
      </c>
      <c r="AC804" s="52" t="s">
        <v>247</v>
      </c>
      <c r="AD804" s="52" t="s">
        <v>2</v>
      </c>
      <c r="AE804" s="52" t="s">
        <v>372</v>
      </c>
      <c r="AF804" s="155" t="s">
        <v>247</v>
      </c>
      <c r="AG804" s="155" t="s">
        <v>247</v>
      </c>
    </row>
    <row r="805" spans="25:33">
      <c r="Y805" s="47">
        <v>2810</v>
      </c>
      <c r="Z805" s="52" t="s">
        <v>410</v>
      </c>
      <c r="AA805" s="52">
        <v>4</v>
      </c>
      <c r="AB805" s="52">
        <v>3</v>
      </c>
      <c r="AC805" s="52" t="s">
        <v>247</v>
      </c>
      <c r="AD805" s="52" t="s">
        <v>2</v>
      </c>
      <c r="AE805" s="52" t="s">
        <v>372</v>
      </c>
      <c r="AF805" s="155" t="s">
        <v>247</v>
      </c>
      <c r="AG805" s="155" t="s">
        <v>247</v>
      </c>
    </row>
    <row r="806" spans="25:33">
      <c r="Y806" s="47">
        <v>2811</v>
      </c>
      <c r="Z806" s="52" t="s">
        <v>410</v>
      </c>
      <c r="AA806" s="52" t="s">
        <v>247</v>
      </c>
      <c r="AB806" s="52">
        <v>3</v>
      </c>
      <c r="AC806" s="52" t="s">
        <v>247</v>
      </c>
      <c r="AD806" s="52" t="s">
        <v>2</v>
      </c>
      <c r="AE806" s="52" t="s">
        <v>372</v>
      </c>
      <c r="AF806" s="155" t="s">
        <v>247</v>
      </c>
      <c r="AG806" s="155" t="s">
        <v>247</v>
      </c>
    </row>
    <row r="807" spans="25:33">
      <c r="Y807" s="47">
        <v>2812</v>
      </c>
      <c r="Z807" s="52" t="s">
        <v>410</v>
      </c>
      <c r="AA807" s="52" t="s">
        <v>247</v>
      </c>
      <c r="AB807" s="52">
        <v>3</v>
      </c>
      <c r="AC807" s="52" t="s">
        <v>247</v>
      </c>
      <c r="AD807" s="52" t="s">
        <v>2</v>
      </c>
      <c r="AE807" s="52" t="s">
        <v>372</v>
      </c>
      <c r="AF807" s="155" t="s">
        <v>247</v>
      </c>
      <c r="AG807" s="155" t="s">
        <v>247</v>
      </c>
    </row>
    <row r="808" spans="25:33">
      <c r="Y808" s="47">
        <v>2813</v>
      </c>
      <c r="Z808" s="52" t="s">
        <v>410</v>
      </c>
      <c r="AA808" s="52" t="s">
        <v>247</v>
      </c>
      <c r="AB808" s="52">
        <v>3</v>
      </c>
      <c r="AC808" s="52" t="s">
        <v>247</v>
      </c>
      <c r="AD808" s="52" t="s">
        <v>2</v>
      </c>
      <c r="AE808" s="52" t="s">
        <v>372</v>
      </c>
      <c r="AF808" s="155" t="s">
        <v>247</v>
      </c>
      <c r="AG808" s="155" t="s">
        <v>247</v>
      </c>
    </row>
    <row r="809" spans="25:33">
      <c r="Y809" s="47">
        <v>2814</v>
      </c>
      <c r="Z809" s="52" t="s">
        <v>410</v>
      </c>
      <c r="AA809" s="52" t="s">
        <v>247</v>
      </c>
      <c r="AB809" s="52">
        <v>3</v>
      </c>
      <c r="AC809" s="52" t="s">
        <v>247</v>
      </c>
      <c r="AD809" s="52" t="s">
        <v>2</v>
      </c>
      <c r="AE809" s="52" t="s">
        <v>372</v>
      </c>
      <c r="AF809" s="155" t="s">
        <v>247</v>
      </c>
      <c r="AG809" s="155" t="s">
        <v>247</v>
      </c>
    </row>
    <row r="810" spans="25:33">
      <c r="Y810" s="47">
        <v>2815</v>
      </c>
      <c r="Z810" s="52" t="s">
        <v>410</v>
      </c>
      <c r="AA810" s="52" t="s">
        <v>247</v>
      </c>
      <c r="AB810" s="52">
        <v>3</v>
      </c>
      <c r="AC810" s="52" t="s">
        <v>247</v>
      </c>
      <c r="AD810" s="52" t="s">
        <v>2</v>
      </c>
      <c r="AE810" s="52" t="s">
        <v>372</v>
      </c>
      <c r="AF810" s="155" t="s">
        <v>247</v>
      </c>
      <c r="AG810" s="155" t="s">
        <v>247</v>
      </c>
    </row>
    <row r="811" spans="25:33">
      <c r="Y811" s="47">
        <v>2816</v>
      </c>
      <c r="Z811" s="52" t="s">
        <v>410</v>
      </c>
      <c r="AA811" s="52" t="s">
        <v>247</v>
      </c>
      <c r="AB811" s="52">
        <v>3</v>
      </c>
      <c r="AC811" s="52" t="s">
        <v>247</v>
      </c>
      <c r="AD811" s="52" t="s">
        <v>2</v>
      </c>
      <c r="AE811" s="52" t="s">
        <v>372</v>
      </c>
      <c r="AF811" s="155" t="s">
        <v>247</v>
      </c>
      <c r="AG811" s="155" t="s">
        <v>247</v>
      </c>
    </row>
    <row r="812" spans="25:33">
      <c r="Y812" s="47">
        <v>2817</v>
      </c>
      <c r="Z812" s="52" t="s">
        <v>410</v>
      </c>
      <c r="AA812" s="52">
        <v>4</v>
      </c>
      <c r="AB812" s="52">
        <v>3</v>
      </c>
      <c r="AC812" s="52" t="s">
        <v>247</v>
      </c>
      <c r="AD812" s="52" t="s">
        <v>2</v>
      </c>
      <c r="AE812" s="52" t="s">
        <v>372</v>
      </c>
      <c r="AF812" s="155" t="s">
        <v>247</v>
      </c>
      <c r="AG812" s="155" t="s">
        <v>247</v>
      </c>
    </row>
    <row r="813" spans="25:33">
      <c r="Y813" s="47">
        <v>2818</v>
      </c>
      <c r="Z813" s="52" t="s">
        <v>410</v>
      </c>
      <c r="AA813" s="52">
        <v>4</v>
      </c>
      <c r="AB813" s="52">
        <v>3</v>
      </c>
      <c r="AC813" s="52" t="s">
        <v>247</v>
      </c>
      <c r="AD813" s="52" t="s">
        <v>2</v>
      </c>
      <c r="AE813" s="52" t="s">
        <v>372</v>
      </c>
      <c r="AF813" s="155" t="s">
        <v>247</v>
      </c>
      <c r="AG813" s="155" t="s">
        <v>247</v>
      </c>
    </row>
    <row r="814" spans="25:33">
      <c r="Y814" s="47">
        <v>2819</v>
      </c>
      <c r="Z814" s="52" t="s">
        <v>410</v>
      </c>
      <c r="AA814" s="52" t="s">
        <v>247</v>
      </c>
      <c r="AB814" s="52">
        <v>3</v>
      </c>
      <c r="AC814" s="52" t="s">
        <v>247</v>
      </c>
      <c r="AD814" s="52" t="s">
        <v>2</v>
      </c>
      <c r="AE814" s="52" t="s">
        <v>372</v>
      </c>
      <c r="AF814" s="155" t="s">
        <v>247</v>
      </c>
      <c r="AG814" s="155" t="s">
        <v>247</v>
      </c>
    </row>
    <row r="815" spans="25:33">
      <c r="Y815" s="47">
        <v>2820</v>
      </c>
      <c r="Z815" s="52" t="s">
        <v>410</v>
      </c>
      <c r="AA815" s="52">
        <v>4</v>
      </c>
      <c r="AB815" s="52">
        <v>3</v>
      </c>
      <c r="AC815" s="52" t="s">
        <v>247</v>
      </c>
      <c r="AD815" s="52" t="s">
        <v>2</v>
      </c>
      <c r="AE815" s="52" t="s">
        <v>372</v>
      </c>
      <c r="AF815" s="155" t="s">
        <v>247</v>
      </c>
      <c r="AG815" s="155" t="s">
        <v>247</v>
      </c>
    </row>
    <row r="816" spans="25:33">
      <c r="Y816" s="47">
        <v>2821</v>
      </c>
      <c r="Z816" s="52" t="s">
        <v>410</v>
      </c>
      <c r="AA816" s="52">
        <v>4</v>
      </c>
      <c r="AB816" s="52">
        <v>3</v>
      </c>
      <c r="AC816" s="52" t="s">
        <v>247</v>
      </c>
      <c r="AD816" s="52" t="s">
        <v>2</v>
      </c>
      <c r="AE816" s="52" t="s">
        <v>372</v>
      </c>
      <c r="AF816" s="155" t="s">
        <v>247</v>
      </c>
      <c r="AG816" s="155" t="s">
        <v>247</v>
      </c>
    </row>
    <row r="817" spans="25:33">
      <c r="Y817" s="47">
        <v>2822</v>
      </c>
      <c r="Z817" s="52" t="s">
        <v>410</v>
      </c>
      <c r="AA817" s="52">
        <v>4</v>
      </c>
      <c r="AB817" s="52">
        <v>3</v>
      </c>
      <c r="AC817" s="52" t="s">
        <v>247</v>
      </c>
      <c r="AD817" s="52" t="s">
        <v>2</v>
      </c>
      <c r="AE817" s="52" t="s">
        <v>372</v>
      </c>
      <c r="AF817" s="155" t="s">
        <v>247</v>
      </c>
      <c r="AG817" s="155" t="s">
        <v>247</v>
      </c>
    </row>
    <row r="818" spans="25:33">
      <c r="Y818" s="47">
        <v>2823</v>
      </c>
      <c r="Z818" s="52" t="s">
        <v>410</v>
      </c>
      <c r="AA818" s="52">
        <v>4</v>
      </c>
      <c r="AB818" s="52">
        <v>3</v>
      </c>
      <c r="AC818" s="52" t="s">
        <v>247</v>
      </c>
      <c r="AD818" s="52" t="s">
        <v>2</v>
      </c>
      <c r="AE818" s="52" t="s">
        <v>372</v>
      </c>
      <c r="AF818" s="155" t="s">
        <v>247</v>
      </c>
      <c r="AG818" s="155" t="s">
        <v>247</v>
      </c>
    </row>
    <row r="819" spans="25:33">
      <c r="Y819" s="47">
        <v>2824</v>
      </c>
      <c r="Z819" s="52" t="s">
        <v>410</v>
      </c>
      <c r="AA819" s="52">
        <v>4</v>
      </c>
      <c r="AB819" s="52">
        <v>3</v>
      </c>
      <c r="AC819" s="52" t="s">
        <v>247</v>
      </c>
      <c r="AD819" s="52" t="s">
        <v>2</v>
      </c>
      <c r="AE819" s="52" t="s">
        <v>372</v>
      </c>
      <c r="AF819" s="155" t="s">
        <v>247</v>
      </c>
      <c r="AG819" s="155" t="s">
        <v>247</v>
      </c>
    </row>
    <row r="820" spans="25:33">
      <c r="Y820" s="47">
        <v>2825</v>
      </c>
      <c r="Z820" s="52" t="s">
        <v>410</v>
      </c>
      <c r="AA820" s="52">
        <v>4</v>
      </c>
      <c r="AB820" s="52">
        <v>3</v>
      </c>
      <c r="AC820" s="52" t="s">
        <v>247</v>
      </c>
      <c r="AD820" s="52" t="s">
        <v>2</v>
      </c>
      <c r="AE820" s="52" t="s">
        <v>372</v>
      </c>
      <c r="AF820" s="155" t="s">
        <v>247</v>
      </c>
      <c r="AG820" s="155" t="s">
        <v>247</v>
      </c>
    </row>
    <row r="821" spans="25:33">
      <c r="Y821" s="47">
        <v>2826</v>
      </c>
      <c r="Z821" s="52" t="s">
        <v>410</v>
      </c>
      <c r="AA821" s="52">
        <v>4</v>
      </c>
      <c r="AB821" s="52">
        <v>3</v>
      </c>
      <c r="AC821" s="52" t="s">
        <v>247</v>
      </c>
      <c r="AD821" s="52" t="s">
        <v>2</v>
      </c>
      <c r="AE821" s="52" t="s">
        <v>372</v>
      </c>
      <c r="AF821" s="155" t="s">
        <v>247</v>
      </c>
      <c r="AG821" s="155" t="s">
        <v>247</v>
      </c>
    </row>
    <row r="822" spans="25:33">
      <c r="Y822" s="47">
        <v>2827</v>
      </c>
      <c r="Z822" s="52" t="s">
        <v>410</v>
      </c>
      <c r="AA822" s="52">
        <v>4</v>
      </c>
      <c r="AB822" s="52">
        <v>3</v>
      </c>
      <c r="AC822" s="52" t="s">
        <v>247</v>
      </c>
      <c r="AD822" s="52" t="s">
        <v>2</v>
      </c>
      <c r="AE822" s="52" t="s">
        <v>372</v>
      </c>
      <c r="AF822" s="155" t="s">
        <v>247</v>
      </c>
      <c r="AG822" s="155" t="s">
        <v>247</v>
      </c>
    </row>
    <row r="823" spans="25:33">
      <c r="Y823" s="47">
        <v>2828</v>
      </c>
      <c r="Z823" s="52" t="s">
        <v>410</v>
      </c>
      <c r="AA823" s="52">
        <v>4</v>
      </c>
      <c r="AB823" s="52">
        <v>3</v>
      </c>
      <c r="AC823" s="52" t="s">
        <v>247</v>
      </c>
      <c r="AD823" s="52" t="s">
        <v>2</v>
      </c>
      <c r="AE823" s="52" t="s">
        <v>372</v>
      </c>
      <c r="AF823" s="155" t="s">
        <v>247</v>
      </c>
      <c r="AG823" s="155" t="s">
        <v>247</v>
      </c>
    </row>
    <row r="824" spans="25:33">
      <c r="Y824" s="47">
        <v>2829</v>
      </c>
      <c r="Z824" s="52" t="s">
        <v>410</v>
      </c>
      <c r="AA824" s="52">
        <v>4</v>
      </c>
      <c r="AB824" s="52">
        <v>3</v>
      </c>
      <c r="AC824" s="52" t="s">
        <v>247</v>
      </c>
      <c r="AD824" s="52" t="s">
        <v>2</v>
      </c>
      <c r="AE824" s="52" t="s">
        <v>372</v>
      </c>
      <c r="AF824" s="155" t="s">
        <v>247</v>
      </c>
      <c r="AG824" s="155" t="s">
        <v>247</v>
      </c>
    </row>
    <row r="825" spans="25:33">
      <c r="Y825" s="47">
        <v>2830</v>
      </c>
      <c r="Z825" s="52" t="s">
        <v>410</v>
      </c>
      <c r="AA825" s="52">
        <v>4</v>
      </c>
      <c r="AB825" s="52">
        <v>3</v>
      </c>
      <c r="AC825" s="52" t="s">
        <v>247</v>
      </c>
      <c r="AD825" s="52" t="s">
        <v>2</v>
      </c>
      <c r="AE825" s="52" t="s">
        <v>372</v>
      </c>
      <c r="AF825" s="155" t="s">
        <v>247</v>
      </c>
      <c r="AG825" s="155" t="s">
        <v>247</v>
      </c>
    </row>
    <row r="826" spans="25:33">
      <c r="Y826" s="47">
        <v>2831</v>
      </c>
      <c r="Z826" s="52" t="s">
        <v>410</v>
      </c>
      <c r="AA826" s="52">
        <v>4</v>
      </c>
      <c r="AB826" s="52">
        <v>3</v>
      </c>
      <c r="AC826" s="52" t="s">
        <v>247</v>
      </c>
      <c r="AD826" s="52" t="s">
        <v>2</v>
      </c>
      <c r="AE826" s="52" t="s">
        <v>372</v>
      </c>
      <c r="AF826" s="155" t="s">
        <v>247</v>
      </c>
      <c r="AG826" s="155" t="s">
        <v>247</v>
      </c>
    </row>
    <row r="827" spans="25:33">
      <c r="Y827" s="47">
        <v>2832</v>
      </c>
      <c r="Z827" s="52" t="s">
        <v>410</v>
      </c>
      <c r="AA827" s="52">
        <v>4</v>
      </c>
      <c r="AB827" s="52">
        <v>3</v>
      </c>
      <c r="AC827" s="52" t="s">
        <v>247</v>
      </c>
      <c r="AD827" s="52" t="s">
        <v>2</v>
      </c>
      <c r="AE827" s="52" t="s">
        <v>372</v>
      </c>
      <c r="AF827" s="155" t="s">
        <v>247</v>
      </c>
      <c r="AG827" s="155" t="s">
        <v>247</v>
      </c>
    </row>
    <row r="828" spans="25:33">
      <c r="Y828" s="47">
        <v>2833</v>
      </c>
      <c r="Z828" s="52" t="s">
        <v>410</v>
      </c>
      <c r="AA828" s="52">
        <v>4</v>
      </c>
      <c r="AB828" s="52">
        <v>3</v>
      </c>
      <c r="AC828" s="52" t="s">
        <v>247</v>
      </c>
      <c r="AD828" s="52" t="s">
        <v>2</v>
      </c>
      <c r="AE828" s="52" t="s">
        <v>372</v>
      </c>
      <c r="AF828" s="155" t="s">
        <v>247</v>
      </c>
      <c r="AG828" s="155" t="s">
        <v>247</v>
      </c>
    </row>
    <row r="829" spans="25:33">
      <c r="Y829" s="47">
        <v>2834</v>
      </c>
      <c r="Z829" s="52" t="s">
        <v>410</v>
      </c>
      <c r="AA829" s="52">
        <v>4</v>
      </c>
      <c r="AB829" s="52">
        <v>3</v>
      </c>
      <c r="AC829" s="52" t="s">
        <v>247</v>
      </c>
      <c r="AD829" s="52" t="s">
        <v>2</v>
      </c>
      <c r="AE829" s="52" t="s">
        <v>372</v>
      </c>
      <c r="AF829" s="155" t="s">
        <v>247</v>
      </c>
      <c r="AG829" s="155" t="s">
        <v>247</v>
      </c>
    </row>
    <row r="830" spans="25:33">
      <c r="Y830" s="47">
        <v>2835</v>
      </c>
      <c r="Z830" s="52" t="s">
        <v>410</v>
      </c>
      <c r="AA830" s="52">
        <v>4</v>
      </c>
      <c r="AB830" s="52">
        <v>3</v>
      </c>
      <c r="AC830" s="52" t="s">
        <v>247</v>
      </c>
      <c r="AD830" s="52" t="s">
        <v>2</v>
      </c>
      <c r="AE830" s="52" t="s">
        <v>372</v>
      </c>
      <c r="AF830" s="155" t="s">
        <v>247</v>
      </c>
      <c r="AG830" s="155" t="s">
        <v>247</v>
      </c>
    </row>
    <row r="831" spans="25:33">
      <c r="Y831" s="47">
        <v>2836</v>
      </c>
      <c r="Z831" s="52" t="s">
        <v>410</v>
      </c>
      <c r="AA831" s="52">
        <v>4</v>
      </c>
      <c r="AB831" s="52">
        <v>3</v>
      </c>
      <c r="AC831" s="52" t="s">
        <v>247</v>
      </c>
      <c r="AD831" s="52" t="s">
        <v>2</v>
      </c>
      <c r="AE831" s="52" t="s">
        <v>372</v>
      </c>
      <c r="AF831" s="155" t="s">
        <v>247</v>
      </c>
      <c r="AG831" s="155" t="s">
        <v>247</v>
      </c>
    </row>
    <row r="832" spans="25:33">
      <c r="Y832" s="47">
        <v>2837</v>
      </c>
      <c r="Z832" s="52" t="s">
        <v>410</v>
      </c>
      <c r="AA832" s="52" t="s">
        <v>247</v>
      </c>
      <c r="AB832" s="52">
        <v>3</v>
      </c>
      <c r="AC832" s="52" t="s">
        <v>247</v>
      </c>
      <c r="AD832" s="52" t="s">
        <v>2</v>
      </c>
      <c r="AE832" s="52" t="s">
        <v>372</v>
      </c>
      <c r="AF832" s="155" t="s">
        <v>247</v>
      </c>
      <c r="AG832" s="155" t="s">
        <v>247</v>
      </c>
    </row>
    <row r="833" spans="25:33">
      <c r="Y833" s="47">
        <v>2838</v>
      </c>
      <c r="Z833" s="52" t="s">
        <v>410</v>
      </c>
      <c r="AA833" s="52">
        <v>4</v>
      </c>
      <c r="AB833" s="52">
        <v>3</v>
      </c>
      <c r="AC833" s="52" t="s">
        <v>247</v>
      </c>
      <c r="AD833" s="52" t="s">
        <v>2</v>
      </c>
      <c r="AE833" s="52" t="s">
        <v>372</v>
      </c>
      <c r="AF833" s="155" t="s">
        <v>247</v>
      </c>
      <c r="AG833" s="155" t="s">
        <v>247</v>
      </c>
    </row>
    <row r="834" spans="25:33">
      <c r="Y834" s="47">
        <v>2839</v>
      </c>
      <c r="Z834" s="52" t="s">
        <v>410</v>
      </c>
      <c r="AA834" s="52">
        <v>4</v>
      </c>
      <c r="AB834" s="52">
        <v>3</v>
      </c>
      <c r="AC834" s="52" t="s">
        <v>247</v>
      </c>
      <c r="AD834" s="52" t="s">
        <v>2</v>
      </c>
      <c r="AE834" s="52" t="s">
        <v>372</v>
      </c>
      <c r="AF834" s="155" t="s">
        <v>247</v>
      </c>
      <c r="AG834" s="155" t="s">
        <v>247</v>
      </c>
    </row>
    <row r="835" spans="25:33">
      <c r="Y835" s="47">
        <v>2840</v>
      </c>
      <c r="Z835" s="52" t="s">
        <v>410</v>
      </c>
      <c r="AA835" s="52">
        <v>4</v>
      </c>
      <c r="AB835" s="52">
        <v>3</v>
      </c>
      <c r="AC835" s="52" t="s">
        <v>247</v>
      </c>
      <c r="AD835" s="52" t="s">
        <v>2</v>
      </c>
      <c r="AE835" s="52" t="s">
        <v>372</v>
      </c>
      <c r="AF835" s="155" t="s">
        <v>247</v>
      </c>
      <c r="AG835" s="155" t="s">
        <v>247</v>
      </c>
    </row>
    <row r="836" spans="25:33">
      <c r="Y836" s="47">
        <v>2841</v>
      </c>
      <c r="Z836" s="52" t="s">
        <v>410</v>
      </c>
      <c r="AA836" s="52" t="s">
        <v>247</v>
      </c>
      <c r="AB836" s="52">
        <v>3</v>
      </c>
      <c r="AC836" s="52" t="s">
        <v>247</v>
      </c>
      <c r="AD836" s="52" t="s">
        <v>2</v>
      </c>
      <c r="AE836" s="52" t="s">
        <v>372</v>
      </c>
      <c r="AF836" s="155" t="s">
        <v>247</v>
      </c>
      <c r="AG836" s="155" t="s">
        <v>247</v>
      </c>
    </row>
    <row r="837" spans="25:33">
      <c r="Y837" s="47">
        <v>2842</v>
      </c>
      <c r="Z837" s="52" t="s">
        <v>410</v>
      </c>
      <c r="AA837" s="52">
        <v>4</v>
      </c>
      <c r="AB837" s="52">
        <v>3</v>
      </c>
      <c r="AC837" s="52" t="s">
        <v>247</v>
      </c>
      <c r="AD837" s="52" t="s">
        <v>2</v>
      </c>
      <c r="AE837" s="52" t="s">
        <v>372</v>
      </c>
      <c r="AF837" s="155" t="s">
        <v>247</v>
      </c>
      <c r="AG837" s="155" t="s">
        <v>247</v>
      </c>
    </row>
    <row r="838" spans="25:33">
      <c r="Y838" s="47">
        <v>2843</v>
      </c>
      <c r="Z838" s="52" t="s">
        <v>410</v>
      </c>
      <c r="AA838" s="52">
        <v>4</v>
      </c>
      <c r="AB838" s="52">
        <v>3</v>
      </c>
      <c r="AC838" s="52" t="s">
        <v>247</v>
      </c>
      <c r="AD838" s="52" t="s">
        <v>2</v>
      </c>
      <c r="AE838" s="52" t="s">
        <v>372</v>
      </c>
      <c r="AF838" s="155" t="s">
        <v>247</v>
      </c>
      <c r="AG838" s="155" t="s">
        <v>247</v>
      </c>
    </row>
    <row r="839" spans="25:33">
      <c r="Y839" s="47">
        <v>2844</v>
      </c>
      <c r="Z839" s="52" t="s">
        <v>410</v>
      </c>
      <c r="AA839" s="52">
        <v>4</v>
      </c>
      <c r="AB839" s="52">
        <v>3</v>
      </c>
      <c r="AC839" s="52" t="s">
        <v>247</v>
      </c>
      <c r="AD839" s="52" t="s">
        <v>2</v>
      </c>
      <c r="AE839" s="52" t="s">
        <v>372</v>
      </c>
      <c r="AF839" s="155" t="s">
        <v>247</v>
      </c>
      <c r="AG839" s="155" t="s">
        <v>247</v>
      </c>
    </row>
    <row r="840" spans="25:33">
      <c r="Y840" s="47">
        <v>2845</v>
      </c>
      <c r="Z840" s="52" t="s">
        <v>407</v>
      </c>
      <c r="AA840" s="52">
        <v>7</v>
      </c>
      <c r="AB840" s="52">
        <v>5</v>
      </c>
      <c r="AC840" s="52" t="s">
        <v>247</v>
      </c>
      <c r="AD840" s="52" t="s">
        <v>1</v>
      </c>
      <c r="AE840" s="52" t="s">
        <v>372</v>
      </c>
      <c r="AF840" s="155" t="s">
        <v>247</v>
      </c>
      <c r="AG840" s="155" t="s">
        <v>247</v>
      </c>
    </row>
    <row r="841" spans="25:33">
      <c r="Y841" s="47">
        <v>2846</v>
      </c>
      <c r="Z841" s="52" t="s">
        <v>407</v>
      </c>
      <c r="AA841" s="52">
        <v>7</v>
      </c>
      <c r="AB841" s="52">
        <v>5</v>
      </c>
      <c r="AC841" s="52" t="s">
        <v>247</v>
      </c>
      <c r="AD841" s="52" t="s">
        <v>1</v>
      </c>
      <c r="AE841" s="52" t="s">
        <v>372</v>
      </c>
      <c r="AF841" s="155" t="s">
        <v>247</v>
      </c>
      <c r="AG841" s="155" t="s">
        <v>247</v>
      </c>
    </row>
    <row r="842" spans="25:33">
      <c r="Y842" s="47">
        <v>2847</v>
      </c>
      <c r="Z842" s="52" t="s">
        <v>407</v>
      </c>
      <c r="AA842" s="52">
        <v>7</v>
      </c>
      <c r="AB842" s="52">
        <v>5</v>
      </c>
      <c r="AC842" s="52" t="s">
        <v>247</v>
      </c>
      <c r="AD842" s="52" t="s">
        <v>1</v>
      </c>
      <c r="AE842" s="52" t="s">
        <v>372</v>
      </c>
      <c r="AF842" s="155" t="s">
        <v>247</v>
      </c>
      <c r="AG842" s="155" t="s">
        <v>247</v>
      </c>
    </row>
    <row r="843" spans="25:33">
      <c r="Y843" s="47">
        <v>2848</v>
      </c>
      <c r="Z843" s="52" t="s">
        <v>410</v>
      </c>
      <c r="AA843" s="52">
        <v>7</v>
      </c>
      <c r="AB843" s="52">
        <v>5</v>
      </c>
      <c r="AC843" s="52" t="s">
        <v>247</v>
      </c>
      <c r="AD843" s="52" t="s">
        <v>1</v>
      </c>
      <c r="AE843" s="52" t="s">
        <v>372</v>
      </c>
      <c r="AF843" s="155" t="s">
        <v>247</v>
      </c>
      <c r="AG843" s="155" t="s">
        <v>247</v>
      </c>
    </row>
    <row r="844" spans="25:33">
      <c r="Y844" s="47">
        <v>2849</v>
      </c>
      <c r="Z844" s="52" t="s">
        <v>410</v>
      </c>
      <c r="AA844" s="52">
        <v>7</v>
      </c>
      <c r="AB844" s="52">
        <v>5</v>
      </c>
      <c r="AC844" s="52" t="s">
        <v>247</v>
      </c>
      <c r="AD844" s="52" t="s">
        <v>1</v>
      </c>
      <c r="AE844" s="52" t="s">
        <v>372</v>
      </c>
      <c r="AF844" s="155" t="s">
        <v>247</v>
      </c>
      <c r="AG844" s="155" t="s">
        <v>247</v>
      </c>
    </row>
    <row r="845" spans="25:33">
      <c r="Y845" s="47">
        <v>2850</v>
      </c>
      <c r="Z845" s="52" t="s">
        <v>410</v>
      </c>
      <c r="AA845" s="52">
        <v>7</v>
      </c>
      <c r="AB845" s="52">
        <v>5</v>
      </c>
      <c r="AC845" s="52" t="s">
        <v>247</v>
      </c>
      <c r="AD845" s="52" t="s">
        <v>2</v>
      </c>
      <c r="AE845" s="52" t="s">
        <v>372</v>
      </c>
      <c r="AF845" s="155" t="s">
        <v>247</v>
      </c>
      <c r="AG845" s="155" t="s">
        <v>247</v>
      </c>
    </row>
    <row r="846" spans="25:33">
      <c r="Y846" s="47">
        <v>2851</v>
      </c>
      <c r="Z846" s="52" t="s">
        <v>410</v>
      </c>
      <c r="AA846" s="52" t="s">
        <v>247</v>
      </c>
      <c r="AB846" s="52">
        <v>3</v>
      </c>
      <c r="AC846" s="52" t="s">
        <v>247</v>
      </c>
      <c r="AD846" s="52" t="s">
        <v>2</v>
      </c>
      <c r="AE846" s="52" t="s">
        <v>372</v>
      </c>
      <c r="AF846" s="155" t="s">
        <v>247</v>
      </c>
      <c r="AG846" s="155" t="s">
        <v>247</v>
      </c>
    </row>
    <row r="847" spans="25:33">
      <c r="Y847" s="47">
        <v>2852</v>
      </c>
      <c r="Z847" s="52" t="s">
        <v>410</v>
      </c>
      <c r="AA847" s="52">
        <v>4</v>
      </c>
      <c r="AB847" s="52">
        <v>3</v>
      </c>
      <c r="AC847" s="52" t="s">
        <v>247</v>
      </c>
      <c r="AD847" s="52" t="s">
        <v>2</v>
      </c>
      <c r="AE847" s="52" t="s">
        <v>372</v>
      </c>
      <c r="AF847" s="155" t="s">
        <v>247</v>
      </c>
      <c r="AG847" s="155" t="s">
        <v>247</v>
      </c>
    </row>
    <row r="848" spans="25:33">
      <c r="Y848" s="47">
        <v>2853</v>
      </c>
      <c r="Z848" s="52" t="s">
        <v>410</v>
      </c>
      <c r="AA848" s="52" t="s">
        <v>247</v>
      </c>
      <c r="AB848" s="52">
        <v>3</v>
      </c>
      <c r="AC848" s="52" t="s">
        <v>247</v>
      </c>
      <c r="AD848" s="52" t="s">
        <v>2</v>
      </c>
      <c r="AE848" s="52" t="s">
        <v>372</v>
      </c>
      <c r="AF848" s="155" t="s">
        <v>247</v>
      </c>
      <c r="AG848" s="155" t="s">
        <v>247</v>
      </c>
    </row>
    <row r="849" spans="25:33">
      <c r="Y849" s="47">
        <v>2854</v>
      </c>
      <c r="Z849" s="52" t="s">
        <v>410</v>
      </c>
      <c r="AA849" s="52" t="s">
        <v>247</v>
      </c>
      <c r="AB849" s="52">
        <v>3</v>
      </c>
      <c r="AC849" s="52" t="s">
        <v>247</v>
      </c>
      <c r="AD849" s="52" t="s">
        <v>2</v>
      </c>
      <c r="AE849" s="52" t="s">
        <v>372</v>
      </c>
      <c r="AF849" s="155" t="s">
        <v>247</v>
      </c>
      <c r="AG849" s="155" t="s">
        <v>247</v>
      </c>
    </row>
    <row r="850" spans="25:33">
      <c r="Y850" s="47">
        <v>2855</v>
      </c>
      <c r="Z850" s="52" t="s">
        <v>410</v>
      </c>
      <c r="AA850" s="52" t="s">
        <v>247</v>
      </c>
      <c r="AB850" s="52">
        <v>3</v>
      </c>
      <c r="AC850" s="52" t="s">
        <v>247</v>
      </c>
      <c r="AD850" s="52" t="s">
        <v>2</v>
      </c>
      <c r="AE850" s="52" t="s">
        <v>372</v>
      </c>
      <c r="AF850" s="155" t="s">
        <v>247</v>
      </c>
      <c r="AG850" s="155" t="s">
        <v>247</v>
      </c>
    </row>
    <row r="851" spans="25:33">
      <c r="Y851" s="47">
        <v>2856</v>
      </c>
      <c r="Z851" s="52" t="s">
        <v>410</v>
      </c>
      <c r="AA851" s="52" t="s">
        <v>247</v>
      </c>
      <c r="AB851" s="52">
        <v>3</v>
      </c>
      <c r="AC851" s="52" t="s">
        <v>247</v>
      </c>
      <c r="AD851" s="52" t="s">
        <v>2</v>
      </c>
      <c r="AE851" s="52" t="s">
        <v>372</v>
      </c>
      <c r="AF851" s="155" t="s">
        <v>247</v>
      </c>
      <c r="AG851" s="155" t="s">
        <v>247</v>
      </c>
    </row>
    <row r="852" spans="25:33">
      <c r="Y852" s="47">
        <v>2857</v>
      </c>
      <c r="Z852" s="52" t="s">
        <v>410</v>
      </c>
      <c r="AA852" s="52" t="s">
        <v>247</v>
      </c>
      <c r="AB852" s="52">
        <v>3</v>
      </c>
      <c r="AC852" s="52" t="s">
        <v>247</v>
      </c>
      <c r="AD852" s="52" t="s">
        <v>2</v>
      </c>
      <c r="AE852" s="52" t="s">
        <v>372</v>
      </c>
      <c r="AF852" s="155" t="s">
        <v>247</v>
      </c>
      <c r="AG852" s="155" t="s">
        <v>247</v>
      </c>
    </row>
    <row r="853" spans="25:33">
      <c r="Y853" s="47">
        <v>2858</v>
      </c>
      <c r="Z853" s="52" t="s">
        <v>410</v>
      </c>
      <c r="AA853" s="52" t="s">
        <v>247</v>
      </c>
      <c r="AB853" s="52">
        <v>3</v>
      </c>
      <c r="AC853" s="52" t="s">
        <v>247</v>
      </c>
      <c r="AD853" s="52" t="s">
        <v>2</v>
      </c>
      <c r="AE853" s="52" t="s">
        <v>372</v>
      </c>
      <c r="AF853" s="155" t="s">
        <v>247</v>
      </c>
      <c r="AG853" s="155" t="s">
        <v>247</v>
      </c>
    </row>
    <row r="854" spans="25:33">
      <c r="Y854" s="47">
        <v>2859</v>
      </c>
      <c r="Z854" s="52" t="s">
        <v>410</v>
      </c>
      <c r="AA854" s="52" t="s">
        <v>247</v>
      </c>
      <c r="AB854" s="52">
        <v>3</v>
      </c>
      <c r="AC854" s="52" t="s">
        <v>247</v>
      </c>
      <c r="AD854" s="52" t="s">
        <v>2</v>
      </c>
      <c r="AE854" s="52" t="s">
        <v>372</v>
      </c>
      <c r="AF854" s="155" t="s">
        <v>247</v>
      </c>
      <c r="AG854" s="155" t="s">
        <v>247</v>
      </c>
    </row>
    <row r="855" spans="25:33">
      <c r="Y855" s="47">
        <v>2860</v>
      </c>
      <c r="Z855" s="52" t="s">
        <v>410</v>
      </c>
      <c r="AA855" s="52" t="s">
        <v>247</v>
      </c>
      <c r="AB855" s="52">
        <v>3</v>
      </c>
      <c r="AC855" s="52" t="s">
        <v>247</v>
      </c>
      <c r="AD855" s="52" t="s">
        <v>2</v>
      </c>
      <c r="AE855" s="52" t="s">
        <v>372</v>
      </c>
      <c r="AF855" s="155" t="s">
        <v>247</v>
      </c>
      <c r="AG855" s="155" t="s">
        <v>247</v>
      </c>
    </row>
    <row r="856" spans="25:33">
      <c r="Y856" s="47">
        <v>2861</v>
      </c>
      <c r="Z856" s="52" t="s">
        <v>410</v>
      </c>
      <c r="AA856" s="52" t="s">
        <v>247</v>
      </c>
      <c r="AB856" s="52">
        <v>3</v>
      </c>
      <c r="AC856" s="52" t="s">
        <v>247</v>
      </c>
      <c r="AD856" s="52" t="s">
        <v>2</v>
      </c>
      <c r="AE856" s="52" t="s">
        <v>372</v>
      </c>
      <c r="AF856" s="155" t="s">
        <v>247</v>
      </c>
      <c r="AG856" s="155" t="s">
        <v>247</v>
      </c>
    </row>
    <row r="857" spans="25:33">
      <c r="Y857" s="47">
        <v>2862</v>
      </c>
      <c r="Z857" s="52" t="s">
        <v>410</v>
      </c>
      <c r="AA857" s="52" t="s">
        <v>247</v>
      </c>
      <c r="AB857" s="52">
        <v>3</v>
      </c>
      <c r="AC857" s="52" t="s">
        <v>247</v>
      </c>
      <c r="AD857" s="52" t="s">
        <v>2</v>
      </c>
      <c r="AE857" s="52" t="s">
        <v>372</v>
      </c>
      <c r="AF857" s="155" t="s">
        <v>247</v>
      </c>
      <c r="AG857" s="155" t="s">
        <v>247</v>
      </c>
    </row>
    <row r="858" spans="25:33">
      <c r="Y858" s="47">
        <v>2863</v>
      </c>
      <c r="Z858" s="52" t="s">
        <v>410</v>
      </c>
      <c r="AA858" s="52" t="s">
        <v>247</v>
      </c>
      <c r="AB858" s="52">
        <v>3</v>
      </c>
      <c r="AC858" s="52" t="s">
        <v>247</v>
      </c>
      <c r="AD858" s="52" t="s">
        <v>2</v>
      </c>
      <c r="AE858" s="52" t="s">
        <v>372</v>
      </c>
      <c r="AF858" s="155" t="s">
        <v>247</v>
      </c>
      <c r="AG858" s="155" t="s">
        <v>247</v>
      </c>
    </row>
    <row r="859" spans="25:33">
      <c r="Y859" s="47">
        <v>2864</v>
      </c>
      <c r="Z859" s="52" t="s">
        <v>410</v>
      </c>
      <c r="AA859" s="52">
        <v>4</v>
      </c>
      <c r="AB859" s="52">
        <v>3</v>
      </c>
      <c r="AC859" s="52" t="s">
        <v>247</v>
      </c>
      <c r="AD859" s="52" t="s">
        <v>2</v>
      </c>
      <c r="AE859" s="52" t="s">
        <v>372</v>
      </c>
      <c r="AF859" s="155" t="s">
        <v>247</v>
      </c>
      <c r="AG859" s="155" t="s">
        <v>247</v>
      </c>
    </row>
    <row r="860" spans="25:33">
      <c r="Y860" s="47">
        <v>2865</v>
      </c>
      <c r="Z860" s="52" t="s">
        <v>410</v>
      </c>
      <c r="AA860" s="52">
        <v>7</v>
      </c>
      <c r="AB860" s="52">
        <v>5</v>
      </c>
      <c r="AC860" s="52" t="s">
        <v>247</v>
      </c>
      <c r="AD860" s="52" t="s">
        <v>2</v>
      </c>
      <c r="AE860" s="52" t="s">
        <v>372</v>
      </c>
      <c r="AF860" s="155" t="s">
        <v>247</v>
      </c>
      <c r="AG860" s="155" t="s">
        <v>247</v>
      </c>
    </row>
    <row r="861" spans="25:33">
      <c r="Y861" s="47">
        <v>2866</v>
      </c>
      <c r="Z861" s="52" t="s">
        <v>410</v>
      </c>
      <c r="AA861" s="52">
        <v>7</v>
      </c>
      <c r="AB861" s="52">
        <v>5</v>
      </c>
      <c r="AC861" s="52" t="s">
        <v>247</v>
      </c>
      <c r="AD861" s="52" t="s">
        <v>2</v>
      </c>
      <c r="AE861" s="52" t="s">
        <v>372</v>
      </c>
      <c r="AF861" s="155" t="s">
        <v>247</v>
      </c>
      <c r="AG861" s="155" t="s">
        <v>247</v>
      </c>
    </row>
    <row r="862" spans="25:33">
      <c r="Y862" s="47">
        <v>2867</v>
      </c>
      <c r="Z862" s="52" t="s">
        <v>410</v>
      </c>
      <c r="AA862" s="52">
        <v>7</v>
      </c>
      <c r="AB862" s="52">
        <v>5</v>
      </c>
      <c r="AC862" s="52" t="s">
        <v>247</v>
      </c>
      <c r="AD862" s="52" t="s">
        <v>2</v>
      </c>
      <c r="AE862" s="52" t="s">
        <v>372</v>
      </c>
      <c r="AF862" s="155" t="s">
        <v>247</v>
      </c>
      <c r="AG862" s="155" t="s">
        <v>247</v>
      </c>
    </row>
    <row r="863" spans="25:33">
      <c r="Y863" s="47">
        <v>2868</v>
      </c>
      <c r="Z863" s="52" t="s">
        <v>410</v>
      </c>
      <c r="AA863" s="52">
        <v>4</v>
      </c>
      <c r="AB863" s="52">
        <v>3</v>
      </c>
      <c r="AC863" s="52" t="s">
        <v>247</v>
      </c>
      <c r="AD863" s="52" t="s">
        <v>2</v>
      </c>
      <c r="AE863" s="52" t="s">
        <v>372</v>
      </c>
      <c r="AF863" s="155" t="s">
        <v>247</v>
      </c>
      <c r="AG863" s="155" t="s">
        <v>247</v>
      </c>
    </row>
    <row r="864" spans="25:33">
      <c r="Y864" s="47">
        <v>2869</v>
      </c>
      <c r="Z864" s="52" t="s">
        <v>410</v>
      </c>
      <c r="AA864" s="52">
        <v>4</v>
      </c>
      <c r="AB864" s="52">
        <v>3</v>
      </c>
      <c r="AC864" s="52" t="s">
        <v>247</v>
      </c>
      <c r="AD864" s="52" t="s">
        <v>2</v>
      </c>
      <c r="AE864" s="52" t="s">
        <v>372</v>
      </c>
      <c r="AF864" s="155" t="s">
        <v>247</v>
      </c>
      <c r="AG864" s="155" t="s">
        <v>247</v>
      </c>
    </row>
    <row r="865" spans="25:33">
      <c r="Y865" s="47">
        <v>2870</v>
      </c>
      <c r="Z865" s="52" t="s">
        <v>410</v>
      </c>
      <c r="AA865" s="52">
        <v>4</v>
      </c>
      <c r="AB865" s="52">
        <v>3</v>
      </c>
      <c r="AC865" s="52" t="s">
        <v>247</v>
      </c>
      <c r="AD865" s="52" t="s">
        <v>2</v>
      </c>
      <c r="AE865" s="52" t="s">
        <v>372</v>
      </c>
      <c r="AF865" s="155" t="s">
        <v>247</v>
      </c>
      <c r="AG865" s="155" t="s">
        <v>247</v>
      </c>
    </row>
    <row r="866" spans="25:33">
      <c r="Y866" s="47">
        <v>2871</v>
      </c>
      <c r="Z866" s="52" t="s">
        <v>410</v>
      </c>
      <c r="AA866" s="52">
        <v>4</v>
      </c>
      <c r="AB866" s="52">
        <v>3</v>
      </c>
      <c r="AC866" s="52" t="s">
        <v>247</v>
      </c>
      <c r="AD866" s="52" t="s">
        <v>2</v>
      </c>
      <c r="AE866" s="52" t="s">
        <v>372</v>
      </c>
      <c r="AF866" s="155" t="s">
        <v>247</v>
      </c>
      <c r="AG866" s="155" t="s">
        <v>247</v>
      </c>
    </row>
    <row r="867" spans="25:33">
      <c r="Y867" s="47">
        <v>2872</v>
      </c>
      <c r="Z867" s="52" t="s">
        <v>410</v>
      </c>
      <c r="AA867" s="52" t="s">
        <v>247</v>
      </c>
      <c r="AB867" s="52">
        <v>3</v>
      </c>
      <c r="AC867" s="52" t="s">
        <v>247</v>
      </c>
      <c r="AD867" s="52" t="s">
        <v>2</v>
      </c>
      <c r="AE867" s="52" t="s">
        <v>372</v>
      </c>
      <c r="AF867" s="155" t="s">
        <v>247</v>
      </c>
      <c r="AG867" s="155" t="s">
        <v>247</v>
      </c>
    </row>
    <row r="868" spans="25:33">
      <c r="Y868" s="47">
        <v>2873</v>
      </c>
      <c r="Z868" s="52" t="s">
        <v>410</v>
      </c>
      <c r="AA868" s="52">
        <v>4</v>
      </c>
      <c r="AB868" s="52">
        <v>3</v>
      </c>
      <c r="AC868" s="52" t="s">
        <v>247</v>
      </c>
      <c r="AD868" s="52" t="s">
        <v>2</v>
      </c>
      <c r="AE868" s="52" t="s">
        <v>372</v>
      </c>
      <c r="AF868" s="155" t="s">
        <v>247</v>
      </c>
      <c r="AG868" s="155" t="s">
        <v>247</v>
      </c>
    </row>
    <row r="869" spans="25:33">
      <c r="Y869" s="47">
        <v>2874</v>
      </c>
      <c r="Z869" s="52" t="s">
        <v>410</v>
      </c>
      <c r="AA869" s="52">
        <v>4</v>
      </c>
      <c r="AB869" s="52">
        <v>3</v>
      </c>
      <c r="AC869" s="52" t="s">
        <v>247</v>
      </c>
      <c r="AD869" s="52" t="s">
        <v>2</v>
      </c>
      <c r="AE869" s="52" t="s">
        <v>372</v>
      </c>
      <c r="AF869" s="155" t="s">
        <v>247</v>
      </c>
      <c r="AG869" s="155" t="s">
        <v>247</v>
      </c>
    </row>
    <row r="870" spans="25:33">
      <c r="Y870" s="47">
        <v>2875</v>
      </c>
      <c r="Z870" s="52" t="s">
        <v>410</v>
      </c>
      <c r="AA870" s="52">
        <v>4</v>
      </c>
      <c r="AB870" s="52">
        <v>3</v>
      </c>
      <c r="AC870" s="52" t="s">
        <v>247</v>
      </c>
      <c r="AD870" s="52" t="s">
        <v>2</v>
      </c>
      <c r="AE870" s="52" t="s">
        <v>372</v>
      </c>
      <c r="AF870" s="155" t="s">
        <v>247</v>
      </c>
      <c r="AG870" s="155" t="s">
        <v>247</v>
      </c>
    </row>
    <row r="871" spans="25:33">
      <c r="Y871" s="47">
        <v>2876</v>
      </c>
      <c r="Z871" s="52" t="s">
        <v>410</v>
      </c>
      <c r="AA871" s="52">
        <v>4</v>
      </c>
      <c r="AB871" s="52">
        <v>3</v>
      </c>
      <c r="AC871" s="52" t="s">
        <v>247</v>
      </c>
      <c r="AD871" s="52" t="s">
        <v>2</v>
      </c>
      <c r="AE871" s="52" t="s">
        <v>372</v>
      </c>
      <c r="AF871" s="155" t="s">
        <v>247</v>
      </c>
      <c r="AG871" s="155" t="s">
        <v>247</v>
      </c>
    </row>
    <row r="872" spans="25:33">
      <c r="Y872" s="47">
        <v>2877</v>
      </c>
      <c r="Z872" s="52" t="s">
        <v>410</v>
      </c>
      <c r="AA872" s="52">
        <v>4</v>
      </c>
      <c r="AB872" s="52">
        <v>3</v>
      </c>
      <c r="AC872" s="52" t="s">
        <v>247</v>
      </c>
      <c r="AD872" s="52" t="s">
        <v>2</v>
      </c>
      <c r="AE872" s="52" t="s">
        <v>372</v>
      </c>
      <c r="AF872" s="155" t="s">
        <v>247</v>
      </c>
      <c r="AG872" s="155" t="s">
        <v>247</v>
      </c>
    </row>
    <row r="873" spans="25:33">
      <c r="Y873" s="47">
        <v>2878</v>
      </c>
      <c r="Z873" s="52" t="s">
        <v>410</v>
      </c>
      <c r="AA873" s="52">
        <v>4</v>
      </c>
      <c r="AB873" s="52">
        <v>3</v>
      </c>
      <c r="AC873" s="52" t="s">
        <v>247</v>
      </c>
      <c r="AD873" s="52" t="s">
        <v>2</v>
      </c>
      <c r="AE873" s="52" t="s">
        <v>372</v>
      </c>
      <c r="AF873" s="155" t="s">
        <v>247</v>
      </c>
      <c r="AG873" s="155" t="s">
        <v>247</v>
      </c>
    </row>
    <row r="874" spans="25:33">
      <c r="Y874" s="47">
        <v>2879</v>
      </c>
      <c r="Z874" s="52" t="s">
        <v>410</v>
      </c>
      <c r="AA874" s="52">
        <v>4</v>
      </c>
      <c r="AB874" s="52">
        <v>3</v>
      </c>
      <c r="AC874" s="52" t="s">
        <v>247</v>
      </c>
      <c r="AD874" s="52" t="s">
        <v>2</v>
      </c>
      <c r="AE874" s="52" t="s">
        <v>372</v>
      </c>
      <c r="AF874" s="155" t="s">
        <v>247</v>
      </c>
      <c r="AG874" s="155" t="s">
        <v>247</v>
      </c>
    </row>
    <row r="875" spans="25:33">
      <c r="Y875" s="47">
        <v>2880</v>
      </c>
      <c r="Z875" s="52" t="s">
        <v>410</v>
      </c>
      <c r="AA875" s="52">
        <v>4</v>
      </c>
      <c r="AB875" s="52">
        <v>3</v>
      </c>
      <c r="AC875" s="52" t="s">
        <v>247</v>
      </c>
      <c r="AD875" s="52" t="s">
        <v>2</v>
      </c>
      <c r="AE875" s="52" t="s">
        <v>372</v>
      </c>
      <c r="AF875" s="155" t="s">
        <v>247</v>
      </c>
      <c r="AG875" s="155" t="s">
        <v>247</v>
      </c>
    </row>
    <row r="876" spans="25:33">
      <c r="Y876" s="47">
        <v>2881</v>
      </c>
      <c r="Z876" s="52" t="s">
        <v>410</v>
      </c>
      <c r="AA876" s="52" t="s">
        <v>247</v>
      </c>
      <c r="AB876" s="52">
        <v>3</v>
      </c>
      <c r="AC876" s="52" t="s">
        <v>247</v>
      </c>
      <c r="AD876" s="52" t="s">
        <v>1</v>
      </c>
      <c r="AE876" s="52" t="s">
        <v>372</v>
      </c>
      <c r="AF876" s="155" t="s">
        <v>247</v>
      </c>
      <c r="AG876" s="155" t="s">
        <v>247</v>
      </c>
    </row>
    <row r="877" spans="25:33">
      <c r="Y877" s="47">
        <v>2882</v>
      </c>
      <c r="Z877" s="52" t="s">
        <v>410</v>
      </c>
      <c r="AA877" s="52" t="s">
        <v>247</v>
      </c>
      <c r="AB877" s="52">
        <v>3</v>
      </c>
      <c r="AC877" s="52" t="s">
        <v>247</v>
      </c>
      <c r="AD877" s="52" t="s">
        <v>1</v>
      </c>
      <c r="AE877" s="52" t="s">
        <v>372</v>
      </c>
      <c r="AF877" s="155" t="s">
        <v>247</v>
      </c>
      <c r="AG877" s="155" t="s">
        <v>247</v>
      </c>
    </row>
    <row r="878" spans="25:33">
      <c r="Y878" s="47">
        <v>2883</v>
      </c>
      <c r="Z878" s="52" t="s">
        <v>410</v>
      </c>
      <c r="AA878" s="52" t="s">
        <v>247</v>
      </c>
      <c r="AB878" s="52">
        <v>3</v>
      </c>
      <c r="AC878" s="52" t="s">
        <v>247</v>
      </c>
      <c r="AD878" s="52" t="s">
        <v>1</v>
      </c>
      <c r="AE878" s="52" t="s">
        <v>372</v>
      </c>
      <c r="AF878" s="155" t="s">
        <v>247</v>
      </c>
      <c r="AG878" s="155" t="s">
        <v>247</v>
      </c>
    </row>
    <row r="879" spans="25:33">
      <c r="Y879" s="47">
        <v>2884</v>
      </c>
      <c r="Z879" s="52" t="s">
        <v>410</v>
      </c>
      <c r="AA879" s="52" t="s">
        <v>247</v>
      </c>
      <c r="AB879" s="52">
        <v>3</v>
      </c>
      <c r="AC879" s="52" t="s">
        <v>247</v>
      </c>
      <c r="AD879" s="52" t="s">
        <v>1</v>
      </c>
      <c r="AE879" s="52" t="s">
        <v>372</v>
      </c>
      <c r="AF879" s="155" t="s">
        <v>247</v>
      </c>
      <c r="AG879" s="155" t="s">
        <v>247</v>
      </c>
    </row>
    <row r="880" spans="25:33">
      <c r="Y880" s="47">
        <v>2885</v>
      </c>
      <c r="Z880" s="52" t="s">
        <v>410</v>
      </c>
      <c r="AA880" s="52" t="s">
        <v>247</v>
      </c>
      <c r="AB880" s="52">
        <v>3</v>
      </c>
      <c r="AC880" s="52" t="s">
        <v>247</v>
      </c>
      <c r="AD880" s="52" t="s">
        <v>1</v>
      </c>
      <c r="AE880" s="52" t="s">
        <v>372</v>
      </c>
      <c r="AF880" s="155" t="s">
        <v>247</v>
      </c>
      <c r="AG880" s="155" t="s">
        <v>247</v>
      </c>
    </row>
    <row r="881" spans="25:33">
      <c r="Y881" s="47">
        <v>2886</v>
      </c>
      <c r="Z881" s="52" t="s">
        <v>410</v>
      </c>
      <c r="AA881" s="52" t="s">
        <v>247</v>
      </c>
      <c r="AB881" s="52">
        <v>3</v>
      </c>
      <c r="AC881" s="52" t="s">
        <v>247</v>
      </c>
      <c r="AD881" s="52" t="s">
        <v>1</v>
      </c>
      <c r="AE881" s="52" t="s">
        <v>372</v>
      </c>
      <c r="AF881" s="155" t="s">
        <v>247</v>
      </c>
      <c r="AG881" s="155" t="s">
        <v>247</v>
      </c>
    </row>
    <row r="882" spans="25:33">
      <c r="Y882" s="47">
        <v>2887</v>
      </c>
      <c r="Z882" s="52" t="s">
        <v>410</v>
      </c>
      <c r="AA882" s="52" t="s">
        <v>247</v>
      </c>
      <c r="AB882" s="52">
        <v>3</v>
      </c>
      <c r="AC882" s="52" t="s">
        <v>247</v>
      </c>
      <c r="AD882" s="52" t="s">
        <v>1</v>
      </c>
      <c r="AE882" s="52" t="s">
        <v>372</v>
      </c>
      <c r="AF882" s="155" t="s">
        <v>247</v>
      </c>
      <c r="AG882" s="155" t="s">
        <v>247</v>
      </c>
    </row>
    <row r="883" spans="25:33">
      <c r="Y883" s="47">
        <v>2888</v>
      </c>
      <c r="Z883" s="52" t="s">
        <v>410</v>
      </c>
      <c r="AA883" s="52" t="s">
        <v>247</v>
      </c>
      <c r="AB883" s="52">
        <v>3</v>
      </c>
      <c r="AC883" s="52" t="s">
        <v>247</v>
      </c>
      <c r="AD883" s="52" t="s">
        <v>1</v>
      </c>
      <c r="AE883" s="52" t="s">
        <v>372</v>
      </c>
      <c r="AF883" s="155" t="s">
        <v>247</v>
      </c>
      <c r="AG883" s="155" t="s">
        <v>247</v>
      </c>
    </row>
    <row r="884" spans="25:33">
      <c r="Y884" s="47">
        <v>2889</v>
      </c>
      <c r="Z884" s="52" t="s">
        <v>410</v>
      </c>
      <c r="AA884" s="52" t="s">
        <v>247</v>
      </c>
      <c r="AB884" s="52">
        <v>3</v>
      </c>
      <c r="AC884" s="52" t="s">
        <v>247</v>
      </c>
      <c r="AD884" s="52" t="s">
        <v>1</v>
      </c>
      <c r="AE884" s="52" t="s">
        <v>372</v>
      </c>
      <c r="AF884" s="155" t="s">
        <v>247</v>
      </c>
      <c r="AG884" s="155" t="s">
        <v>247</v>
      </c>
    </row>
    <row r="885" spans="25:33">
      <c r="Y885" s="47">
        <v>2890</v>
      </c>
      <c r="Z885" s="52" t="s">
        <v>410</v>
      </c>
      <c r="AA885" s="52">
        <v>2</v>
      </c>
      <c r="AB885" s="52">
        <v>3</v>
      </c>
      <c r="AC885" s="52" t="s">
        <v>247</v>
      </c>
      <c r="AD885" s="52" t="s">
        <v>1</v>
      </c>
      <c r="AE885" s="52" t="s">
        <v>372</v>
      </c>
      <c r="AF885" s="155" t="s">
        <v>247</v>
      </c>
      <c r="AG885" s="155" t="s">
        <v>247</v>
      </c>
    </row>
    <row r="886" spans="25:33">
      <c r="Y886" s="47">
        <v>2891</v>
      </c>
      <c r="Z886" s="52" t="s">
        <v>410</v>
      </c>
      <c r="AA886" s="52" t="s">
        <v>247</v>
      </c>
      <c r="AB886" s="52">
        <v>3</v>
      </c>
      <c r="AC886" s="52" t="s">
        <v>247</v>
      </c>
      <c r="AD886" s="52" t="s">
        <v>1</v>
      </c>
      <c r="AE886" s="52" t="s">
        <v>372</v>
      </c>
      <c r="AF886" s="155" t="s">
        <v>247</v>
      </c>
      <c r="AG886" s="155" t="s">
        <v>247</v>
      </c>
    </row>
    <row r="887" spans="25:33">
      <c r="Y887" s="47">
        <v>2892</v>
      </c>
      <c r="Z887" s="52" t="s">
        <v>410</v>
      </c>
      <c r="AA887" s="52" t="s">
        <v>247</v>
      </c>
      <c r="AB887" s="52">
        <v>3</v>
      </c>
      <c r="AC887" s="52" t="s">
        <v>247</v>
      </c>
      <c r="AD887" s="52" t="s">
        <v>1</v>
      </c>
      <c r="AE887" s="52" t="s">
        <v>372</v>
      </c>
      <c r="AF887" s="155" t="s">
        <v>247</v>
      </c>
      <c r="AG887" s="155" t="s">
        <v>247</v>
      </c>
    </row>
    <row r="888" spans="25:33">
      <c r="Y888" s="47">
        <v>2893</v>
      </c>
      <c r="Z888" s="52" t="s">
        <v>410</v>
      </c>
      <c r="AA888" s="52" t="s">
        <v>247</v>
      </c>
      <c r="AB888" s="52">
        <v>3</v>
      </c>
      <c r="AC888" s="52" t="s">
        <v>247</v>
      </c>
      <c r="AD888" s="52" t="s">
        <v>1</v>
      </c>
      <c r="AE888" s="52" t="s">
        <v>372</v>
      </c>
      <c r="AF888" s="155" t="s">
        <v>247</v>
      </c>
      <c r="AG888" s="155" t="s">
        <v>247</v>
      </c>
    </row>
    <row r="889" spans="25:33">
      <c r="Y889" s="47">
        <v>2894</v>
      </c>
      <c r="Z889" s="52" t="s">
        <v>410</v>
      </c>
      <c r="AA889" s="52" t="s">
        <v>247</v>
      </c>
      <c r="AB889" s="52">
        <v>3</v>
      </c>
      <c r="AC889" s="52" t="s">
        <v>247</v>
      </c>
      <c r="AD889" s="52" t="s">
        <v>1</v>
      </c>
      <c r="AE889" s="52" t="s">
        <v>372</v>
      </c>
      <c r="AF889" s="155" t="s">
        <v>247</v>
      </c>
      <c r="AG889" s="155" t="s">
        <v>247</v>
      </c>
    </row>
    <row r="890" spans="25:33">
      <c r="Y890" s="47">
        <v>2895</v>
      </c>
      <c r="Z890" s="52" t="s">
        <v>410</v>
      </c>
      <c r="AA890" s="52" t="s">
        <v>247</v>
      </c>
      <c r="AB890" s="52">
        <v>3</v>
      </c>
      <c r="AC890" s="52" t="s">
        <v>247</v>
      </c>
      <c r="AD890" s="52" t="s">
        <v>1</v>
      </c>
      <c r="AE890" s="52" t="s">
        <v>372</v>
      </c>
      <c r="AF890" s="155" t="s">
        <v>247</v>
      </c>
      <c r="AG890" s="155" t="s">
        <v>247</v>
      </c>
    </row>
    <row r="891" spans="25:33">
      <c r="Y891" s="47">
        <v>2896</v>
      </c>
      <c r="Z891" s="52" t="s">
        <v>410</v>
      </c>
      <c r="AA891" s="52" t="s">
        <v>247</v>
      </c>
      <c r="AB891" s="52">
        <v>3</v>
      </c>
      <c r="AC891" s="52" t="s">
        <v>247</v>
      </c>
      <c r="AD891" s="52" t="s">
        <v>1</v>
      </c>
      <c r="AE891" s="52" t="s">
        <v>372</v>
      </c>
      <c r="AF891" s="155" t="s">
        <v>247</v>
      </c>
      <c r="AG891" s="155" t="s">
        <v>247</v>
      </c>
    </row>
    <row r="892" spans="25:33">
      <c r="Y892" s="47">
        <v>2897</v>
      </c>
      <c r="Z892" s="52" t="s">
        <v>410</v>
      </c>
      <c r="AA892" s="52" t="s">
        <v>247</v>
      </c>
      <c r="AB892" s="52">
        <v>3</v>
      </c>
      <c r="AC892" s="52" t="s">
        <v>247</v>
      </c>
      <c r="AD892" s="52" t="s">
        <v>1</v>
      </c>
      <c r="AE892" s="52" t="s">
        <v>372</v>
      </c>
      <c r="AF892" s="155" t="s">
        <v>247</v>
      </c>
      <c r="AG892" s="155" t="s">
        <v>247</v>
      </c>
    </row>
    <row r="893" spans="25:33">
      <c r="Y893" s="47">
        <v>2898</v>
      </c>
      <c r="Z893" s="52" t="s">
        <v>410</v>
      </c>
      <c r="AA893" s="52">
        <v>2</v>
      </c>
      <c r="AB893" s="52">
        <v>3</v>
      </c>
      <c r="AC893" s="52" t="s">
        <v>247</v>
      </c>
      <c r="AD893" s="52" t="s">
        <v>1</v>
      </c>
      <c r="AE893" s="52" t="s">
        <v>372</v>
      </c>
      <c r="AF893" s="155" t="s">
        <v>247</v>
      </c>
      <c r="AG893" s="155" t="s">
        <v>247</v>
      </c>
    </row>
    <row r="894" spans="25:33">
      <c r="Y894" s="47">
        <v>800</v>
      </c>
      <c r="Z894" s="52" t="s">
        <v>408</v>
      </c>
      <c r="AA894" s="52" t="s">
        <v>247</v>
      </c>
      <c r="AB894" s="52" t="s">
        <v>247</v>
      </c>
      <c r="AC894" s="52" t="s">
        <v>247</v>
      </c>
      <c r="AD894" s="52" t="s">
        <v>1</v>
      </c>
      <c r="AE894" s="52" t="s">
        <v>382</v>
      </c>
      <c r="AF894" s="155" t="s">
        <v>247</v>
      </c>
      <c r="AG894" s="155" t="s">
        <v>247</v>
      </c>
    </row>
    <row r="895" spans="25:33">
      <c r="Y895" s="47">
        <v>801</v>
      </c>
      <c r="Z895" s="52" t="s">
        <v>408</v>
      </c>
      <c r="AA895" s="52" t="s">
        <v>247</v>
      </c>
      <c r="AB895" s="52" t="s">
        <v>247</v>
      </c>
      <c r="AC895" s="52" t="s">
        <v>247</v>
      </c>
      <c r="AD895" s="52" t="s">
        <v>1</v>
      </c>
      <c r="AE895" s="52" t="s">
        <v>382</v>
      </c>
      <c r="AF895" s="155" t="s">
        <v>247</v>
      </c>
      <c r="AG895" s="155" t="s">
        <v>247</v>
      </c>
    </row>
    <row r="896" spans="25:33">
      <c r="Y896" s="47">
        <v>802</v>
      </c>
      <c r="Z896" s="52" t="s">
        <v>408</v>
      </c>
      <c r="AA896" s="52" t="s">
        <v>247</v>
      </c>
      <c r="AB896" s="52" t="s">
        <v>247</v>
      </c>
      <c r="AC896" s="52" t="s">
        <v>247</v>
      </c>
      <c r="AD896" s="52" t="s">
        <v>1</v>
      </c>
      <c r="AE896" s="52" t="s">
        <v>382</v>
      </c>
      <c r="AF896" s="155" t="s">
        <v>247</v>
      </c>
      <c r="AG896" s="155" t="s">
        <v>247</v>
      </c>
    </row>
    <row r="897" spans="25:33">
      <c r="Y897" s="47">
        <v>803</v>
      </c>
      <c r="Z897" s="52" t="s">
        <v>408</v>
      </c>
      <c r="AA897" s="52" t="s">
        <v>247</v>
      </c>
      <c r="AB897" s="52" t="s">
        <v>247</v>
      </c>
      <c r="AC897" s="52" t="s">
        <v>247</v>
      </c>
      <c r="AD897" s="52" t="s">
        <v>1</v>
      </c>
      <c r="AE897" s="52" t="s">
        <v>382</v>
      </c>
      <c r="AF897" s="155" t="s">
        <v>247</v>
      </c>
      <c r="AG897" s="155" t="s">
        <v>247</v>
      </c>
    </row>
    <row r="898" spans="25:33">
      <c r="Y898" s="47">
        <v>804</v>
      </c>
      <c r="Z898" s="52" t="s">
        <v>408</v>
      </c>
      <c r="AA898" s="52" t="s">
        <v>247</v>
      </c>
      <c r="AB898" s="52" t="s">
        <v>247</v>
      </c>
      <c r="AC898" s="52" t="s">
        <v>247</v>
      </c>
      <c r="AD898" s="52" t="s">
        <v>1</v>
      </c>
      <c r="AE898" s="52" t="s">
        <v>382</v>
      </c>
      <c r="AF898" s="155" t="s">
        <v>247</v>
      </c>
      <c r="AG898" s="155" t="s">
        <v>247</v>
      </c>
    </row>
    <row r="899" spans="25:33">
      <c r="Y899" s="47">
        <v>805</v>
      </c>
      <c r="Z899" s="52" t="s">
        <v>408</v>
      </c>
      <c r="AA899" s="52" t="s">
        <v>247</v>
      </c>
      <c r="AB899" s="52" t="s">
        <v>247</v>
      </c>
      <c r="AC899" s="52" t="s">
        <v>247</v>
      </c>
      <c r="AD899" s="52" t="s">
        <v>1</v>
      </c>
      <c r="AE899" s="52" t="s">
        <v>382</v>
      </c>
      <c r="AF899" s="155" t="s">
        <v>247</v>
      </c>
      <c r="AG899" s="155" t="s">
        <v>247</v>
      </c>
    </row>
    <row r="900" spans="25:33">
      <c r="Y900" s="47">
        <v>806</v>
      </c>
      <c r="Z900" s="52" t="s">
        <v>408</v>
      </c>
      <c r="AA900" s="52" t="s">
        <v>247</v>
      </c>
      <c r="AB900" s="52" t="s">
        <v>247</v>
      </c>
      <c r="AC900" s="52" t="s">
        <v>247</v>
      </c>
      <c r="AD900" s="52" t="s">
        <v>1</v>
      </c>
      <c r="AE900" s="52" t="s">
        <v>382</v>
      </c>
      <c r="AF900" s="155" t="s">
        <v>247</v>
      </c>
      <c r="AG900" s="155" t="s">
        <v>247</v>
      </c>
    </row>
    <row r="901" spans="25:33">
      <c r="Y901" s="47">
        <v>807</v>
      </c>
      <c r="Z901" s="52" t="s">
        <v>408</v>
      </c>
      <c r="AA901" s="52" t="s">
        <v>247</v>
      </c>
      <c r="AB901" s="52" t="s">
        <v>247</v>
      </c>
      <c r="AC901" s="52" t="s">
        <v>247</v>
      </c>
      <c r="AD901" s="52" t="s">
        <v>1</v>
      </c>
      <c r="AE901" s="52" t="s">
        <v>382</v>
      </c>
      <c r="AF901" s="155" t="s">
        <v>247</v>
      </c>
      <c r="AG901" s="155" t="s">
        <v>247</v>
      </c>
    </row>
    <row r="902" spans="25:33">
      <c r="Y902" s="47">
        <v>808</v>
      </c>
      <c r="Z902" s="52" t="s">
        <v>408</v>
      </c>
      <c r="AA902" s="52" t="s">
        <v>247</v>
      </c>
      <c r="AB902" s="52" t="s">
        <v>247</v>
      </c>
      <c r="AC902" s="52" t="s">
        <v>247</v>
      </c>
      <c r="AD902" s="52" t="s">
        <v>1</v>
      </c>
      <c r="AE902" s="52" t="s">
        <v>382</v>
      </c>
      <c r="AF902" s="155" t="s">
        <v>247</v>
      </c>
      <c r="AG902" s="155" t="s">
        <v>247</v>
      </c>
    </row>
    <row r="903" spans="25:33">
      <c r="Y903" s="47">
        <v>809</v>
      </c>
      <c r="Z903" s="52" t="s">
        <v>408</v>
      </c>
      <c r="AA903" s="52" t="s">
        <v>247</v>
      </c>
      <c r="AB903" s="52" t="s">
        <v>247</v>
      </c>
      <c r="AC903" s="52" t="s">
        <v>247</v>
      </c>
      <c r="AD903" s="52" t="s">
        <v>1</v>
      </c>
      <c r="AE903" s="52" t="s">
        <v>382</v>
      </c>
      <c r="AF903" s="155" t="s">
        <v>247</v>
      </c>
      <c r="AG903" s="155" t="s">
        <v>247</v>
      </c>
    </row>
    <row r="904" spans="25:33">
      <c r="Y904" s="47">
        <v>810</v>
      </c>
      <c r="Z904" s="52" t="s">
        <v>408</v>
      </c>
      <c r="AA904" s="52" t="s">
        <v>247</v>
      </c>
      <c r="AB904" s="52" t="s">
        <v>247</v>
      </c>
      <c r="AC904" s="52" t="s">
        <v>247</v>
      </c>
      <c r="AD904" s="52" t="s">
        <v>1</v>
      </c>
      <c r="AE904" s="52" t="s">
        <v>382</v>
      </c>
      <c r="AF904" s="155" t="s">
        <v>247</v>
      </c>
      <c r="AG904" s="155" t="s">
        <v>247</v>
      </c>
    </row>
    <row r="905" spans="25:33">
      <c r="Y905" s="47">
        <v>811</v>
      </c>
      <c r="Z905" s="52" t="s">
        <v>408</v>
      </c>
      <c r="AA905" s="52" t="s">
        <v>247</v>
      </c>
      <c r="AB905" s="52" t="s">
        <v>247</v>
      </c>
      <c r="AC905" s="52" t="s">
        <v>247</v>
      </c>
      <c r="AD905" s="52" t="s">
        <v>1</v>
      </c>
      <c r="AE905" s="52" t="s">
        <v>382</v>
      </c>
      <c r="AF905" s="155" t="s">
        <v>247</v>
      </c>
      <c r="AG905" s="155" t="s">
        <v>247</v>
      </c>
    </row>
    <row r="906" spans="25:33">
      <c r="Y906" s="47">
        <v>812</v>
      </c>
      <c r="Z906" s="52" t="s">
        <v>408</v>
      </c>
      <c r="AA906" s="52" t="s">
        <v>247</v>
      </c>
      <c r="AB906" s="52" t="s">
        <v>247</v>
      </c>
      <c r="AC906" s="52" t="s">
        <v>247</v>
      </c>
      <c r="AD906" s="52" t="s">
        <v>1</v>
      </c>
      <c r="AE906" s="52" t="s">
        <v>382</v>
      </c>
      <c r="AF906" s="155" t="s">
        <v>247</v>
      </c>
      <c r="AG906" s="155" t="s">
        <v>247</v>
      </c>
    </row>
    <row r="907" spans="25:33">
      <c r="Y907" s="47">
        <v>813</v>
      </c>
      <c r="Z907" s="52" t="s">
        <v>408</v>
      </c>
      <c r="AA907" s="52" t="s">
        <v>247</v>
      </c>
      <c r="AB907" s="52" t="s">
        <v>247</v>
      </c>
      <c r="AC907" s="52" t="s">
        <v>247</v>
      </c>
      <c r="AD907" s="52" t="s">
        <v>1</v>
      </c>
      <c r="AE907" s="52" t="s">
        <v>382</v>
      </c>
      <c r="AF907" s="155" t="s">
        <v>247</v>
      </c>
      <c r="AG907" s="155" t="s">
        <v>247</v>
      </c>
    </row>
    <row r="908" spans="25:33">
      <c r="Y908" s="47">
        <v>814</v>
      </c>
      <c r="Z908" s="52" t="s">
        <v>408</v>
      </c>
      <c r="AA908" s="52" t="s">
        <v>247</v>
      </c>
      <c r="AB908" s="52" t="s">
        <v>247</v>
      </c>
      <c r="AC908" s="52" t="s">
        <v>247</v>
      </c>
      <c r="AD908" s="52" t="s">
        <v>1</v>
      </c>
      <c r="AE908" s="52" t="s">
        <v>382</v>
      </c>
      <c r="AF908" s="155" t="s">
        <v>247</v>
      </c>
      <c r="AG908" s="155" t="s">
        <v>247</v>
      </c>
    </row>
    <row r="909" spans="25:33">
      <c r="Y909" s="47">
        <v>815</v>
      </c>
      <c r="Z909" s="52" t="s">
        <v>408</v>
      </c>
      <c r="AA909" s="52" t="s">
        <v>247</v>
      </c>
      <c r="AB909" s="52" t="s">
        <v>247</v>
      </c>
      <c r="AC909" s="52" t="s">
        <v>247</v>
      </c>
      <c r="AD909" s="52" t="s">
        <v>1</v>
      </c>
      <c r="AE909" s="52" t="s">
        <v>382</v>
      </c>
      <c r="AF909" s="155" t="s">
        <v>247</v>
      </c>
      <c r="AG909" s="155" t="s">
        <v>247</v>
      </c>
    </row>
    <row r="910" spans="25:33">
      <c r="Y910" s="47">
        <v>816</v>
      </c>
      <c r="Z910" s="52" t="s">
        <v>408</v>
      </c>
      <c r="AA910" s="52" t="s">
        <v>247</v>
      </c>
      <c r="AB910" s="52" t="s">
        <v>247</v>
      </c>
      <c r="AC910" s="52" t="s">
        <v>247</v>
      </c>
      <c r="AD910" s="52" t="s">
        <v>1</v>
      </c>
      <c r="AE910" s="52" t="s">
        <v>382</v>
      </c>
      <c r="AF910" s="155" t="s">
        <v>247</v>
      </c>
      <c r="AG910" s="155" t="s">
        <v>247</v>
      </c>
    </row>
    <row r="911" spans="25:33">
      <c r="Y911" s="47">
        <v>817</v>
      </c>
      <c r="Z911" s="52" t="s">
        <v>408</v>
      </c>
      <c r="AA911" s="52" t="s">
        <v>247</v>
      </c>
      <c r="AB911" s="52" t="s">
        <v>247</v>
      </c>
      <c r="AC911" s="52" t="s">
        <v>247</v>
      </c>
      <c r="AD911" s="52" t="s">
        <v>1</v>
      </c>
      <c r="AE911" s="52" t="s">
        <v>382</v>
      </c>
      <c r="AF911" s="155" t="s">
        <v>247</v>
      </c>
      <c r="AG911" s="155" t="s">
        <v>247</v>
      </c>
    </row>
    <row r="912" spans="25:33">
      <c r="Y912" s="47">
        <v>818</v>
      </c>
      <c r="Z912" s="52" t="s">
        <v>408</v>
      </c>
      <c r="AA912" s="52" t="s">
        <v>247</v>
      </c>
      <c r="AB912" s="52" t="s">
        <v>247</v>
      </c>
      <c r="AC912" s="52" t="s">
        <v>247</v>
      </c>
      <c r="AD912" s="52" t="s">
        <v>1</v>
      </c>
      <c r="AE912" s="52" t="s">
        <v>382</v>
      </c>
      <c r="AF912" s="155" t="s">
        <v>247</v>
      </c>
      <c r="AG912" s="155" t="s">
        <v>247</v>
      </c>
    </row>
    <row r="913" spans="25:33">
      <c r="Y913" s="47">
        <v>819</v>
      </c>
      <c r="Z913" s="52" t="s">
        <v>408</v>
      </c>
      <c r="AA913" s="52" t="s">
        <v>247</v>
      </c>
      <c r="AB913" s="52" t="s">
        <v>247</v>
      </c>
      <c r="AC913" s="52" t="s">
        <v>247</v>
      </c>
      <c r="AD913" s="52" t="s">
        <v>1</v>
      </c>
      <c r="AE913" s="52" t="s">
        <v>382</v>
      </c>
      <c r="AF913" s="155" t="s">
        <v>247</v>
      </c>
      <c r="AG913" s="155" t="s">
        <v>247</v>
      </c>
    </row>
    <row r="914" spans="25:33">
      <c r="Y914" s="47">
        <v>820</v>
      </c>
      <c r="Z914" s="52" t="s">
        <v>408</v>
      </c>
      <c r="AA914" s="52" t="s">
        <v>247</v>
      </c>
      <c r="AB914" s="52" t="s">
        <v>247</v>
      </c>
      <c r="AC914" s="52" t="s">
        <v>247</v>
      </c>
      <c r="AD914" s="52" t="s">
        <v>1</v>
      </c>
      <c r="AE914" s="52" t="s">
        <v>382</v>
      </c>
      <c r="AF914" s="155" t="s">
        <v>247</v>
      </c>
      <c r="AG914" s="155" t="s">
        <v>247</v>
      </c>
    </row>
    <row r="915" spans="25:33">
      <c r="Y915" s="47">
        <v>821</v>
      </c>
      <c r="Z915" s="52" t="s">
        <v>408</v>
      </c>
      <c r="AA915" s="52" t="s">
        <v>247</v>
      </c>
      <c r="AB915" s="52" t="s">
        <v>247</v>
      </c>
      <c r="AC915" s="52" t="s">
        <v>247</v>
      </c>
      <c r="AD915" s="52" t="s">
        <v>1</v>
      </c>
      <c r="AE915" s="52" t="s">
        <v>382</v>
      </c>
      <c r="AF915" s="155" t="s">
        <v>247</v>
      </c>
      <c r="AG915" s="155" t="s">
        <v>247</v>
      </c>
    </row>
    <row r="916" spans="25:33">
      <c r="Y916" s="47">
        <v>822</v>
      </c>
      <c r="Z916" s="52" t="s">
        <v>408</v>
      </c>
      <c r="AA916" s="52" t="s">
        <v>247</v>
      </c>
      <c r="AB916" s="52" t="s">
        <v>247</v>
      </c>
      <c r="AC916" s="52" t="s">
        <v>247</v>
      </c>
      <c r="AD916" s="52" t="s">
        <v>1</v>
      </c>
      <c r="AE916" s="52" t="s">
        <v>382</v>
      </c>
      <c r="AF916" s="155" t="s">
        <v>247</v>
      </c>
      <c r="AG916" s="155" t="s">
        <v>247</v>
      </c>
    </row>
    <row r="917" spans="25:33">
      <c r="Y917" s="47">
        <v>823</v>
      </c>
      <c r="Z917" s="52" t="s">
        <v>408</v>
      </c>
      <c r="AA917" s="52" t="s">
        <v>247</v>
      </c>
      <c r="AB917" s="52" t="s">
        <v>247</v>
      </c>
      <c r="AC917" s="52" t="s">
        <v>247</v>
      </c>
      <c r="AD917" s="52" t="s">
        <v>1</v>
      </c>
      <c r="AE917" s="52" t="s">
        <v>382</v>
      </c>
      <c r="AF917" s="155" t="s">
        <v>247</v>
      </c>
      <c r="AG917" s="155" t="s">
        <v>247</v>
      </c>
    </row>
    <row r="918" spans="25:33">
      <c r="Y918" s="47">
        <v>824</v>
      </c>
      <c r="Z918" s="52" t="s">
        <v>408</v>
      </c>
      <c r="AA918" s="52" t="s">
        <v>247</v>
      </c>
      <c r="AB918" s="52" t="s">
        <v>247</v>
      </c>
      <c r="AC918" s="52" t="s">
        <v>247</v>
      </c>
      <c r="AD918" s="52" t="s">
        <v>1</v>
      </c>
      <c r="AE918" s="52" t="s">
        <v>382</v>
      </c>
      <c r="AF918" s="155" t="s">
        <v>247</v>
      </c>
      <c r="AG918" s="155" t="s">
        <v>247</v>
      </c>
    </row>
    <row r="919" spans="25:33">
      <c r="Y919" s="47">
        <v>825</v>
      </c>
      <c r="Z919" s="52" t="s">
        <v>408</v>
      </c>
      <c r="AA919" s="52" t="s">
        <v>247</v>
      </c>
      <c r="AB919" s="52" t="s">
        <v>247</v>
      </c>
      <c r="AC919" s="52" t="s">
        <v>247</v>
      </c>
      <c r="AD919" s="52" t="s">
        <v>1</v>
      </c>
      <c r="AE919" s="52" t="s">
        <v>382</v>
      </c>
      <c r="AF919" s="155" t="s">
        <v>247</v>
      </c>
      <c r="AG919" s="155" t="s">
        <v>247</v>
      </c>
    </row>
    <row r="920" spans="25:33">
      <c r="Y920" s="47">
        <v>826</v>
      </c>
      <c r="Z920" s="52" t="s">
        <v>408</v>
      </c>
      <c r="AA920" s="52" t="s">
        <v>247</v>
      </c>
      <c r="AB920" s="52" t="s">
        <v>247</v>
      </c>
      <c r="AC920" s="52" t="s">
        <v>247</v>
      </c>
      <c r="AD920" s="52" t="s">
        <v>1</v>
      </c>
      <c r="AE920" s="52" t="s">
        <v>382</v>
      </c>
      <c r="AF920" s="155" t="s">
        <v>247</v>
      </c>
      <c r="AG920" s="155" t="s">
        <v>247</v>
      </c>
    </row>
    <row r="921" spans="25:33">
      <c r="Y921" s="47">
        <v>827</v>
      </c>
      <c r="Z921" s="52" t="s">
        <v>408</v>
      </c>
      <c r="AA921" s="52" t="s">
        <v>247</v>
      </c>
      <c r="AB921" s="52" t="s">
        <v>247</v>
      </c>
      <c r="AC921" s="52" t="s">
        <v>247</v>
      </c>
      <c r="AD921" s="52" t="s">
        <v>1</v>
      </c>
      <c r="AE921" s="52" t="s">
        <v>382</v>
      </c>
      <c r="AF921" s="155" t="s">
        <v>247</v>
      </c>
      <c r="AG921" s="155" t="s">
        <v>247</v>
      </c>
    </row>
    <row r="922" spans="25:33">
      <c r="Y922" s="47">
        <v>828</v>
      </c>
      <c r="Z922" s="52" t="s">
        <v>408</v>
      </c>
      <c r="AA922" s="52" t="s">
        <v>247</v>
      </c>
      <c r="AB922" s="52" t="s">
        <v>247</v>
      </c>
      <c r="AC922" s="52" t="s">
        <v>247</v>
      </c>
      <c r="AD922" s="52" t="s">
        <v>1</v>
      </c>
      <c r="AE922" s="52" t="s">
        <v>382</v>
      </c>
      <c r="AF922" s="155" t="s">
        <v>247</v>
      </c>
      <c r="AG922" s="155" t="s">
        <v>247</v>
      </c>
    </row>
    <row r="923" spans="25:33">
      <c r="Y923" s="47">
        <v>829</v>
      </c>
      <c r="Z923" s="52" t="s">
        <v>408</v>
      </c>
      <c r="AA923" s="52" t="s">
        <v>247</v>
      </c>
      <c r="AB923" s="52" t="s">
        <v>247</v>
      </c>
      <c r="AC923" s="52" t="s">
        <v>247</v>
      </c>
      <c r="AD923" s="52" t="s">
        <v>1</v>
      </c>
      <c r="AE923" s="52" t="s">
        <v>382</v>
      </c>
      <c r="AF923" s="155" t="s">
        <v>247</v>
      </c>
      <c r="AG923" s="155" t="s">
        <v>247</v>
      </c>
    </row>
    <row r="924" spans="25:33">
      <c r="Y924" s="47">
        <v>830</v>
      </c>
      <c r="Z924" s="52" t="s">
        <v>408</v>
      </c>
      <c r="AA924" s="52" t="s">
        <v>247</v>
      </c>
      <c r="AB924" s="52" t="s">
        <v>247</v>
      </c>
      <c r="AC924" s="52" t="s">
        <v>247</v>
      </c>
      <c r="AD924" s="52" t="s">
        <v>1</v>
      </c>
      <c r="AE924" s="52" t="s">
        <v>382</v>
      </c>
      <c r="AF924" s="155" t="s">
        <v>247</v>
      </c>
      <c r="AG924" s="155" t="s">
        <v>247</v>
      </c>
    </row>
    <row r="925" spans="25:33">
      <c r="Y925" s="47">
        <v>831</v>
      </c>
      <c r="Z925" s="52" t="s">
        <v>408</v>
      </c>
      <c r="AA925" s="52" t="s">
        <v>247</v>
      </c>
      <c r="AB925" s="52" t="s">
        <v>247</v>
      </c>
      <c r="AC925" s="52" t="s">
        <v>247</v>
      </c>
      <c r="AD925" s="52" t="s">
        <v>1</v>
      </c>
      <c r="AE925" s="52" t="s">
        <v>382</v>
      </c>
      <c r="AF925" s="155" t="s">
        <v>247</v>
      </c>
      <c r="AG925" s="155" t="s">
        <v>247</v>
      </c>
    </row>
    <row r="926" spans="25:33">
      <c r="Y926" s="47">
        <v>832</v>
      </c>
      <c r="Z926" s="52" t="s">
        <v>408</v>
      </c>
      <c r="AA926" s="52" t="s">
        <v>247</v>
      </c>
      <c r="AB926" s="52" t="s">
        <v>247</v>
      </c>
      <c r="AC926" s="52" t="s">
        <v>247</v>
      </c>
      <c r="AD926" s="52" t="s">
        <v>1</v>
      </c>
      <c r="AE926" s="52" t="s">
        <v>382</v>
      </c>
      <c r="AF926" s="155" t="s">
        <v>247</v>
      </c>
      <c r="AG926" s="155" t="s">
        <v>247</v>
      </c>
    </row>
    <row r="927" spans="25:33">
      <c r="Y927" s="47">
        <v>833</v>
      </c>
      <c r="Z927" s="52" t="s">
        <v>408</v>
      </c>
      <c r="AA927" s="52" t="s">
        <v>247</v>
      </c>
      <c r="AB927" s="52" t="s">
        <v>247</v>
      </c>
      <c r="AC927" s="52" t="s">
        <v>247</v>
      </c>
      <c r="AD927" s="52" t="s">
        <v>1</v>
      </c>
      <c r="AE927" s="52" t="s">
        <v>382</v>
      </c>
      <c r="AF927" s="155" t="s">
        <v>247</v>
      </c>
      <c r="AG927" s="155" t="s">
        <v>247</v>
      </c>
    </row>
    <row r="928" spans="25:33">
      <c r="Y928" s="47">
        <v>834</v>
      </c>
      <c r="Z928" s="52" t="s">
        <v>408</v>
      </c>
      <c r="AA928" s="52" t="s">
        <v>247</v>
      </c>
      <c r="AB928" s="52" t="s">
        <v>247</v>
      </c>
      <c r="AC928" s="52" t="s">
        <v>247</v>
      </c>
      <c r="AD928" s="52" t="s">
        <v>1</v>
      </c>
      <c r="AE928" s="52" t="s">
        <v>382</v>
      </c>
      <c r="AF928" s="155" t="s">
        <v>247</v>
      </c>
      <c r="AG928" s="155" t="s">
        <v>247</v>
      </c>
    </row>
    <row r="929" spans="25:33">
      <c r="Y929" s="47">
        <v>835</v>
      </c>
      <c r="Z929" s="52" t="s">
        <v>408</v>
      </c>
      <c r="AA929" s="52" t="s">
        <v>247</v>
      </c>
      <c r="AB929" s="52" t="s">
        <v>247</v>
      </c>
      <c r="AC929" s="52" t="s">
        <v>247</v>
      </c>
      <c r="AD929" s="52" t="s">
        <v>1</v>
      </c>
      <c r="AE929" s="52" t="s">
        <v>382</v>
      </c>
      <c r="AF929" s="155" t="s">
        <v>247</v>
      </c>
      <c r="AG929" s="155" t="s">
        <v>247</v>
      </c>
    </row>
    <row r="930" spans="25:33">
      <c r="Y930" s="47">
        <v>836</v>
      </c>
      <c r="Z930" s="52" t="s">
        <v>408</v>
      </c>
      <c r="AA930" s="52" t="s">
        <v>247</v>
      </c>
      <c r="AB930" s="52" t="s">
        <v>247</v>
      </c>
      <c r="AC930" s="52" t="s">
        <v>247</v>
      </c>
      <c r="AD930" s="52" t="s">
        <v>1</v>
      </c>
      <c r="AE930" s="52" t="s">
        <v>382</v>
      </c>
      <c r="AF930" s="155" t="s">
        <v>247</v>
      </c>
      <c r="AG930" s="155" t="s">
        <v>247</v>
      </c>
    </row>
    <row r="931" spans="25:33">
      <c r="Y931" s="47">
        <v>837</v>
      </c>
      <c r="Z931" s="52" t="s">
        <v>408</v>
      </c>
      <c r="AA931" s="52" t="s">
        <v>247</v>
      </c>
      <c r="AB931" s="52" t="s">
        <v>247</v>
      </c>
      <c r="AC931" s="52" t="s">
        <v>247</v>
      </c>
      <c r="AD931" s="52" t="s">
        <v>1</v>
      </c>
      <c r="AE931" s="52" t="s">
        <v>382</v>
      </c>
      <c r="AF931" s="155" t="s">
        <v>247</v>
      </c>
      <c r="AG931" s="155" t="s">
        <v>247</v>
      </c>
    </row>
    <row r="932" spans="25:33">
      <c r="Y932" s="47">
        <v>838</v>
      </c>
      <c r="Z932" s="52" t="s">
        <v>408</v>
      </c>
      <c r="AA932" s="52" t="s">
        <v>247</v>
      </c>
      <c r="AB932" s="52" t="s">
        <v>247</v>
      </c>
      <c r="AC932" s="52" t="s">
        <v>247</v>
      </c>
      <c r="AD932" s="52" t="s">
        <v>1</v>
      </c>
      <c r="AE932" s="52" t="s">
        <v>382</v>
      </c>
      <c r="AF932" s="155" t="s">
        <v>247</v>
      </c>
      <c r="AG932" s="155" t="s">
        <v>247</v>
      </c>
    </row>
    <row r="933" spans="25:33">
      <c r="Y933" s="47">
        <v>839</v>
      </c>
      <c r="Z933" s="52" t="s">
        <v>408</v>
      </c>
      <c r="AA933" s="52" t="s">
        <v>247</v>
      </c>
      <c r="AB933" s="52" t="s">
        <v>247</v>
      </c>
      <c r="AC933" s="52" t="s">
        <v>247</v>
      </c>
      <c r="AD933" s="52" t="s">
        <v>1</v>
      </c>
      <c r="AE933" s="52" t="s">
        <v>382</v>
      </c>
      <c r="AF933" s="155" t="s">
        <v>247</v>
      </c>
      <c r="AG933" s="155" t="s">
        <v>247</v>
      </c>
    </row>
    <row r="934" spans="25:33">
      <c r="Y934" s="47">
        <v>840</v>
      </c>
      <c r="Z934" s="52" t="s">
        <v>408</v>
      </c>
      <c r="AA934" s="52" t="s">
        <v>247</v>
      </c>
      <c r="AB934" s="52" t="s">
        <v>247</v>
      </c>
      <c r="AC934" s="52" t="s">
        <v>247</v>
      </c>
      <c r="AD934" s="52" t="s">
        <v>1</v>
      </c>
      <c r="AE934" s="52" t="s">
        <v>382</v>
      </c>
      <c r="AF934" s="155" t="s">
        <v>247</v>
      </c>
      <c r="AG934" s="155" t="s">
        <v>247</v>
      </c>
    </row>
    <row r="935" spans="25:33">
      <c r="Y935" s="47">
        <v>841</v>
      </c>
      <c r="Z935" s="52" t="s">
        <v>408</v>
      </c>
      <c r="AA935" s="52" t="s">
        <v>247</v>
      </c>
      <c r="AB935" s="52" t="s">
        <v>247</v>
      </c>
      <c r="AC935" s="52" t="s">
        <v>247</v>
      </c>
      <c r="AD935" s="52" t="s">
        <v>1</v>
      </c>
      <c r="AE935" s="52" t="s">
        <v>382</v>
      </c>
      <c r="AF935" s="155" t="s">
        <v>247</v>
      </c>
      <c r="AG935" s="155" t="s">
        <v>247</v>
      </c>
    </row>
    <row r="936" spans="25:33">
      <c r="Y936" s="47">
        <v>842</v>
      </c>
      <c r="Z936" s="52" t="s">
        <v>408</v>
      </c>
      <c r="AA936" s="52" t="s">
        <v>247</v>
      </c>
      <c r="AB936" s="52" t="s">
        <v>247</v>
      </c>
      <c r="AC936" s="52" t="s">
        <v>247</v>
      </c>
      <c r="AD936" s="52" t="s">
        <v>1</v>
      </c>
      <c r="AE936" s="52" t="s">
        <v>382</v>
      </c>
      <c r="AF936" s="155" t="s">
        <v>247</v>
      </c>
      <c r="AG936" s="155" t="s">
        <v>247</v>
      </c>
    </row>
    <row r="937" spans="25:33">
      <c r="Y937" s="47">
        <v>843</v>
      </c>
      <c r="Z937" s="52" t="s">
        <v>408</v>
      </c>
      <c r="AA937" s="52" t="s">
        <v>247</v>
      </c>
      <c r="AB937" s="52" t="s">
        <v>247</v>
      </c>
      <c r="AC937" s="52" t="s">
        <v>247</v>
      </c>
      <c r="AD937" s="52" t="s">
        <v>1</v>
      </c>
      <c r="AE937" s="52" t="s">
        <v>382</v>
      </c>
      <c r="AF937" s="155" t="s">
        <v>247</v>
      </c>
      <c r="AG937" s="155" t="s">
        <v>247</v>
      </c>
    </row>
    <row r="938" spans="25:33">
      <c r="Y938" s="47">
        <v>844</v>
      </c>
      <c r="Z938" s="52" t="s">
        <v>408</v>
      </c>
      <c r="AA938" s="52" t="s">
        <v>247</v>
      </c>
      <c r="AB938" s="52" t="s">
        <v>247</v>
      </c>
      <c r="AC938" s="52" t="s">
        <v>247</v>
      </c>
      <c r="AD938" s="52" t="s">
        <v>1</v>
      </c>
      <c r="AE938" s="52" t="s">
        <v>382</v>
      </c>
      <c r="AF938" s="155" t="s">
        <v>247</v>
      </c>
      <c r="AG938" s="155" t="s">
        <v>247</v>
      </c>
    </row>
    <row r="939" spans="25:33">
      <c r="Y939" s="47">
        <v>845</v>
      </c>
      <c r="Z939" s="52" t="s">
        <v>408</v>
      </c>
      <c r="AA939" s="52" t="s">
        <v>247</v>
      </c>
      <c r="AB939" s="52" t="s">
        <v>247</v>
      </c>
      <c r="AC939" s="52" t="s">
        <v>247</v>
      </c>
      <c r="AD939" s="52" t="s">
        <v>1</v>
      </c>
      <c r="AE939" s="52" t="s">
        <v>382</v>
      </c>
      <c r="AF939" s="155" t="s">
        <v>247</v>
      </c>
      <c r="AG939" s="155" t="s">
        <v>247</v>
      </c>
    </row>
    <row r="940" spans="25:33">
      <c r="Y940" s="47">
        <v>846</v>
      </c>
      <c r="Z940" s="52" t="s">
        <v>408</v>
      </c>
      <c r="AA940" s="52" t="s">
        <v>247</v>
      </c>
      <c r="AB940" s="52" t="s">
        <v>247</v>
      </c>
      <c r="AC940" s="52" t="s">
        <v>247</v>
      </c>
      <c r="AD940" s="52" t="s">
        <v>1</v>
      </c>
      <c r="AE940" s="52" t="s">
        <v>382</v>
      </c>
      <c r="AF940" s="155" t="s">
        <v>247</v>
      </c>
      <c r="AG940" s="155" t="s">
        <v>247</v>
      </c>
    </row>
    <row r="941" spans="25:33">
      <c r="Y941" s="47">
        <v>847</v>
      </c>
      <c r="Z941" s="52" t="s">
        <v>408</v>
      </c>
      <c r="AA941" s="52" t="s">
        <v>247</v>
      </c>
      <c r="AB941" s="52" t="s">
        <v>247</v>
      </c>
      <c r="AC941" s="52" t="s">
        <v>247</v>
      </c>
      <c r="AD941" s="52" t="s">
        <v>1</v>
      </c>
      <c r="AE941" s="52" t="s">
        <v>382</v>
      </c>
      <c r="AF941" s="155" t="s">
        <v>247</v>
      </c>
      <c r="AG941" s="155" t="s">
        <v>247</v>
      </c>
    </row>
    <row r="942" spans="25:33">
      <c r="Y942" s="47">
        <v>848</v>
      </c>
      <c r="Z942" s="52" t="s">
        <v>408</v>
      </c>
      <c r="AA942" s="52" t="s">
        <v>247</v>
      </c>
      <c r="AB942" s="52" t="s">
        <v>247</v>
      </c>
      <c r="AC942" s="52" t="s">
        <v>247</v>
      </c>
      <c r="AD942" s="52" t="s">
        <v>1</v>
      </c>
      <c r="AE942" s="52" t="s">
        <v>382</v>
      </c>
      <c r="AF942" s="155" t="s">
        <v>247</v>
      </c>
      <c r="AG942" s="155" t="s">
        <v>247</v>
      </c>
    </row>
    <row r="943" spans="25:33">
      <c r="Y943" s="47">
        <v>849</v>
      </c>
      <c r="Z943" s="52" t="s">
        <v>408</v>
      </c>
      <c r="AA943" s="52" t="s">
        <v>247</v>
      </c>
      <c r="AB943" s="52" t="s">
        <v>247</v>
      </c>
      <c r="AC943" s="52" t="s">
        <v>247</v>
      </c>
      <c r="AD943" s="52" t="s">
        <v>1</v>
      </c>
      <c r="AE943" s="52" t="s">
        <v>382</v>
      </c>
      <c r="AF943" s="155" t="s">
        <v>247</v>
      </c>
      <c r="AG943" s="155" t="s">
        <v>247</v>
      </c>
    </row>
    <row r="944" spans="25:33">
      <c r="Y944" s="47">
        <v>850</v>
      </c>
      <c r="Z944" s="52" t="s">
        <v>408</v>
      </c>
      <c r="AA944" s="52" t="s">
        <v>247</v>
      </c>
      <c r="AB944" s="52" t="s">
        <v>247</v>
      </c>
      <c r="AC944" s="52" t="s">
        <v>247</v>
      </c>
      <c r="AD944" s="52" t="s">
        <v>1</v>
      </c>
      <c r="AE944" s="52" t="s">
        <v>382</v>
      </c>
      <c r="AF944" s="155" t="s">
        <v>247</v>
      </c>
      <c r="AG944" s="155" t="s">
        <v>247</v>
      </c>
    </row>
    <row r="945" spans="25:33">
      <c r="Y945" s="47">
        <v>851</v>
      </c>
      <c r="Z945" s="52" t="s">
        <v>408</v>
      </c>
      <c r="AA945" s="52" t="s">
        <v>247</v>
      </c>
      <c r="AB945" s="52" t="s">
        <v>247</v>
      </c>
      <c r="AC945" s="52" t="s">
        <v>247</v>
      </c>
      <c r="AD945" s="52" t="s">
        <v>1</v>
      </c>
      <c r="AE945" s="52" t="s">
        <v>382</v>
      </c>
      <c r="AF945" s="155" t="s">
        <v>247</v>
      </c>
      <c r="AG945" s="155" t="s">
        <v>247</v>
      </c>
    </row>
    <row r="946" spans="25:33">
      <c r="Y946" s="47">
        <v>852</v>
      </c>
      <c r="Z946" s="52" t="s">
        <v>408</v>
      </c>
      <c r="AA946" s="52" t="s">
        <v>247</v>
      </c>
      <c r="AB946" s="52" t="s">
        <v>247</v>
      </c>
      <c r="AC946" s="52" t="s">
        <v>247</v>
      </c>
      <c r="AD946" s="52" t="s">
        <v>1</v>
      </c>
      <c r="AE946" s="52" t="s">
        <v>382</v>
      </c>
      <c r="AF946" s="155" t="s">
        <v>247</v>
      </c>
      <c r="AG946" s="155" t="s">
        <v>247</v>
      </c>
    </row>
    <row r="947" spans="25:33">
      <c r="Y947" s="47">
        <v>853</v>
      </c>
      <c r="Z947" s="52" t="s">
        <v>408</v>
      </c>
      <c r="AA947" s="52" t="s">
        <v>247</v>
      </c>
      <c r="AB947" s="52" t="s">
        <v>247</v>
      </c>
      <c r="AC947" s="52" t="s">
        <v>247</v>
      </c>
      <c r="AD947" s="52" t="s">
        <v>1</v>
      </c>
      <c r="AE947" s="52" t="s">
        <v>382</v>
      </c>
      <c r="AF947" s="155" t="s">
        <v>247</v>
      </c>
      <c r="AG947" s="155" t="s">
        <v>247</v>
      </c>
    </row>
    <row r="948" spans="25:33">
      <c r="Y948" s="47">
        <v>854</v>
      </c>
      <c r="Z948" s="52" t="s">
        <v>408</v>
      </c>
      <c r="AA948" s="52" t="s">
        <v>247</v>
      </c>
      <c r="AB948" s="52" t="s">
        <v>247</v>
      </c>
      <c r="AC948" s="52" t="s">
        <v>247</v>
      </c>
      <c r="AD948" s="52" t="s">
        <v>1</v>
      </c>
      <c r="AE948" s="52" t="s">
        <v>382</v>
      </c>
      <c r="AF948" s="155" t="s">
        <v>247</v>
      </c>
      <c r="AG948" s="155" t="s">
        <v>247</v>
      </c>
    </row>
    <row r="949" spans="25:33">
      <c r="Y949" s="47">
        <v>860</v>
      </c>
      <c r="Z949" s="52" t="s">
        <v>409</v>
      </c>
      <c r="AA949" s="52" t="s">
        <v>247</v>
      </c>
      <c r="AB949" s="52" t="s">
        <v>247</v>
      </c>
      <c r="AC949" s="52" t="s">
        <v>247</v>
      </c>
      <c r="AD949" s="52" t="s">
        <v>1</v>
      </c>
      <c r="AE949" s="52" t="s">
        <v>382</v>
      </c>
      <c r="AF949" s="155" t="s">
        <v>247</v>
      </c>
      <c r="AG949" s="155" t="s">
        <v>247</v>
      </c>
    </row>
    <row r="950" spans="25:33">
      <c r="Y950" s="47">
        <v>862</v>
      </c>
      <c r="Z950" s="52" t="s">
        <v>408</v>
      </c>
      <c r="AA950" s="52" t="s">
        <v>247</v>
      </c>
      <c r="AB950" s="52" t="s">
        <v>247</v>
      </c>
      <c r="AC950" s="52" t="s">
        <v>247</v>
      </c>
      <c r="AD950" s="52" t="s">
        <v>1</v>
      </c>
      <c r="AE950" s="52" t="s">
        <v>382</v>
      </c>
      <c r="AF950" s="155" t="s">
        <v>247</v>
      </c>
      <c r="AG950" s="155" t="s">
        <v>247</v>
      </c>
    </row>
    <row r="951" spans="25:33">
      <c r="Y951" s="47">
        <v>870</v>
      </c>
      <c r="Z951" s="52" t="s">
        <v>409</v>
      </c>
      <c r="AA951" s="52" t="s">
        <v>247</v>
      </c>
      <c r="AB951" s="52" t="s">
        <v>247</v>
      </c>
      <c r="AC951" s="52" t="s">
        <v>247</v>
      </c>
      <c r="AD951" s="52" t="s">
        <v>1</v>
      </c>
      <c r="AE951" s="52" t="s">
        <v>382</v>
      </c>
      <c r="AF951" s="155" t="s">
        <v>247</v>
      </c>
      <c r="AG951" s="155" t="s">
        <v>247</v>
      </c>
    </row>
    <row r="952" spans="25:33">
      <c r="Y952" s="47">
        <v>871</v>
      </c>
      <c r="Z952" s="52" t="s">
        <v>409</v>
      </c>
      <c r="AA952" s="52" t="s">
        <v>247</v>
      </c>
      <c r="AB952" s="52" t="s">
        <v>247</v>
      </c>
      <c r="AC952" s="52" t="s">
        <v>247</v>
      </c>
      <c r="AD952" s="52" t="s">
        <v>1</v>
      </c>
      <c r="AE952" s="52" t="s">
        <v>382</v>
      </c>
      <c r="AF952" s="155" t="s">
        <v>247</v>
      </c>
      <c r="AG952" s="155" t="s">
        <v>247</v>
      </c>
    </row>
    <row r="953" spans="25:33">
      <c r="Y953" s="47">
        <v>872</v>
      </c>
      <c r="Z953" s="52" t="s">
        <v>409</v>
      </c>
      <c r="AA953" s="52" t="s">
        <v>247</v>
      </c>
      <c r="AB953" s="52" t="s">
        <v>247</v>
      </c>
      <c r="AC953" s="52" t="s">
        <v>247</v>
      </c>
      <c r="AD953" s="52" t="s">
        <v>1</v>
      </c>
      <c r="AE953" s="52" t="s">
        <v>382</v>
      </c>
      <c r="AF953" s="155" t="s">
        <v>247</v>
      </c>
      <c r="AG953" s="155" t="s">
        <v>247</v>
      </c>
    </row>
    <row r="954" spans="25:33">
      <c r="Y954" s="47">
        <v>873</v>
      </c>
      <c r="Z954" s="52" t="s">
        <v>409</v>
      </c>
      <c r="AA954" s="52" t="s">
        <v>247</v>
      </c>
      <c r="AB954" s="52" t="s">
        <v>247</v>
      </c>
      <c r="AC954" s="52" t="s">
        <v>247</v>
      </c>
      <c r="AD954" s="52" t="s">
        <v>1</v>
      </c>
      <c r="AE954" s="52" t="s">
        <v>382</v>
      </c>
      <c r="AF954" s="155" t="s">
        <v>247</v>
      </c>
      <c r="AG954" s="155" t="s">
        <v>247</v>
      </c>
    </row>
    <row r="955" spans="25:33">
      <c r="Y955" s="47">
        <v>874</v>
      </c>
      <c r="Z955" s="52" t="s">
        <v>409</v>
      </c>
      <c r="AA955" s="52" t="s">
        <v>247</v>
      </c>
      <c r="AB955" s="52" t="s">
        <v>247</v>
      </c>
      <c r="AC955" s="52" t="s">
        <v>247</v>
      </c>
      <c r="AD955" s="52" t="s">
        <v>1</v>
      </c>
      <c r="AE955" s="52" t="s">
        <v>382</v>
      </c>
      <c r="AF955" s="155" t="s">
        <v>247</v>
      </c>
      <c r="AG955" s="155" t="s">
        <v>247</v>
      </c>
    </row>
    <row r="956" spans="25:33">
      <c r="Y956" s="47">
        <v>875</v>
      </c>
      <c r="Z956" s="52" t="s">
        <v>409</v>
      </c>
      <c r="AA956" s="52" t="s">
        <v>247</v>
      </c>
      <c r="AB956" s="52" t="s">
        <v>247</v>
      </c>
      <c r="AC956" s="52" t="s">
        <v>247</v>
      </c>
      <c r="AD956" s="52" t="s">
        <v>1</v>
      </c>
      <c r="AE956" s="52" t="s">
        <v>382</v>
      </c>
      <c r="AF956" s="155" t="s">
        <v>247</v>
      </c>
      <c r="AG956" s="155" t="s">
        <v>247</v>
      </c>
    </row>
    <row r="957" spans="25:33">
      <c r="Y957" s="47">
        <v>880</v>
      </c>
      <c r="Z957" s="52" t="s">
        <v>408</v>
      </c>
      <c r="AA957" s="52" t="s">
        <v>247</v>
      </c>
      <c r="AB957" s="52" t="s">
        <v>247</v>
      </c>
      <c r="AC957" s="52" t="s">
        <v>247</v>
      </c>
      <c r="AD957" s="52" t="s">
        <v>1</v>
      </c>
      <c r="AE957" s="52" t="s">
        <v>382</v>
      </c>
      <c r="AF957" s="155" t="s">
        <v>247</v>
      </c>
      <c r="AG957" s="155" t="s">
        <v>247</v>
      </c>
    </row>
    <row r="958" spans="25:33">
      <c r="Y958" s="47">
        <v>881</v>
      </c>
      <c r="Z958" s="52" t="s">
        <v>408</v>
      </c>
      <c r="AA958" s="52" t="s">
        <v>247</v>
      </c>
      <c r="AB958" s="52" t="s">
        <v>247</v>
      </c>
      <c r="AC958" s="52" t="s">
        <v>247</v>
      </c>
      <c r="AD958" s="52" t="s">
        <v>1</v>
      </c>
      <c r="AE958" s="52" t="s">
        <v>382</v>
      </c>
      <c r="AF958" s="155" t="s">
        <v>247</v>
      </c>
      <c r="AG958" s="155" t="s">
        <v>247</v>
      </c>
    </row>
    <row r="959" spans="25:33">
      <c r="Y959" s="47">
        <v>882</v>
      </c>
      <c r="Z959" s="52" t="s">
        <v>408</v>
      </c>
      <c r="AA959" s="52" t="s">
        <v>247</v>
      </c>
      <c r="AB959" s="52" t="s">
        <v>247</v>
      </c>
      <c r="AC959" s="52" t="s">
        <v>247</v>
      </c>
      <c r="AD959" s="52" t="s">
        <v>1</v>
      </c>
      <c r="AE959" s="52" t="s">
        <v>382</v>
      </c>
      <c r="AF959" s="155" t="s">
        <v>247</v>
      </c>
      <c r="AG959" s="155" t="s">
        <v>247</v>
      </c>
    </row>
    <row r="960" spans="25:33">
      <c r="Y960" s="47">
        <v>883</v>
      </c>
      <c r="Z960" s="52" t="s">
        <v>408</v>
      </c>
      <c r="AA960" s="52" t="s">
        <v>247</v>
      </c>
      <c r="AB960" s="52" t="s">
        <v>247</v>
      </c>
      <c r="AC960" s="52" t="s">
        <v>247</v>
      </c>
      <c r="AD960" s="52" t="s">
        <v>1</v>
      </c>
      <c r="AE960" s="52" t="s">
        <v>382</v>
      </c>
      <c r="AF960" s="155" t="s">
        <v>247</v>
      </c>
      <c r="AG960" s="155" t="s">
        <v>247</v>
      </c>
    </row>
    <row r="961" spans="25:33">
      <c r="Y961" s="47">
        <v>884</v>
      </c>
      <c r="Z961" s="52" t="s">
        <v>408</v>
      </c>
      <c r="AA961" s="52" t="s">
        <v>247</v>
      </c>
      <c r="AB961" s="52" t="s">
        <v>247</v>
      </c>
      <c r="AC961" s="52" t="s">
        <v>247</v>
      </c>
      <c r="AD961" s="52" t="s">
        <v>1</v>
      </c>
      <c r="AE961" s="52" t="s">
        <v>382</v>
      </c>
      <c r="AF961" s="155" t="s">
        <v>247</v>
      </c>
      <c r="AG961" s="155" t="s">
        <v>247</v>
      </c>
    </row>
    <row r="962" spans="25:33">
      <c r="Y962" s="47">
        <v>885</v>
      </c>
      <c r="Z962" s="52" t="s">
        <v>408</v>
      </c>
      <c r="AA962" s="52" t="s">
        <v>247</v>
      </c>
      <c r="AB962" s="52" t="s">
        <v>247</v>
      </c>
      <c r="AC962" s="52" t="s">
        <v>247</v>
      </c>
      <c r="AD962" s="52" t="s">
        <v>1</v>
      </c>
      <c r="AE962" s="52" t="s">
        <v>382</v>
      </c>
      <c r="AF962" s="155" t="s">
        <v>247</v>
      </c>
      <c r="AG962" s="155" t="s">
        <v>247</v>
      </c>
    </row>
    <row r="963" spans="25:33">
      <c r="Y963" s="47">
        <v>886</v>
      </c>
      <c r="Z963" s="52" t="s">
        <v>408</v>
      </c>
      <c r="AA963" s="52" t="s">
        <v>247</v>
      </c>
      <c r="AB963" s="52" t="s">
        <v>247</v>
      </c>
      <c r="AC963" s="52" t="s">
        <v>247</v>
      </c>
      <c r="AD963" s="52" t="s">
        <v>1</v>
      </c>
      <c r="AE963" s="52" t="s">
        <v>382</v>
      </c>
      <c r="AF963" s="155" t="s">
        <v>247</v>
      </c>
      <c r="AG963" s="155" t="s">
        <v>247</v>
      </c>
    </row>
    <row r="964" spans="25:33">
      <c r="Y964" s="47">
        <v>4000</v>
      </c>
      <c r="Z964" s="52" t="s">
        <v>410</v>
      </c>
      <c r="AA964" s="52" t="s">
        <v>247</v>
      </c>
      <c r="AB964" s="52" t="s">
        <v>247</v>
      </c>
      <c r="AC964" s="52" t="s">
        <v>247</v>
      </c>
      <c r="AD964" s="52" t="s">
        <v>1</v>
      </c>
      <c r="AE964" s="52" t="s">
        <v>376</v>
      </c>
      <c r="AF964" s="155" t="s">
        <v>247</v>
      </c>
      <c r="AG964" s="155" t="s">
        <v>247</v>
      </c>
    </row>
    <row r="965" spans="25:33">
      <c r="Y965" s="47">
        <v>4001</v>
      </c>
      <c r="Z965" s="52" t="s">
        <v>410</v>
      </c>
      <c r="AA965" s="52" t="s">
        <v>247</v>
      </c>
      <c r="AB965" s="52" t="s">
        <v>247</v>
      </c>
      <c r="AC965" s="52" t="s">
        <v>247</v>
      </c>
      <c r="AD965" s="52" t="s">
        <v>1</v>
      </c>
      <c r="AE965" s="52" t="s">
        <v>376</v>
      </c>
      <c r="AF965" s="155" t="s">
        <v>247</v>
      </c>
      <c r="AG965" s="155" t="s">
        <v>247</v>
      </c>
    </row>
    <row r="966" spans="25:33">
      <c r="Y966" s="47">
        <v>4002</v>
      </c>
      <c r="Z966" s="52" t="s">
        <v>410</v>
      </c>
      <c r="AA966" s="52" t="s">
        <v>247</v>
      </c>
      <c r="AB966" s="52" t="s">
        <v>247</v>
      </c>
      <c r="AC966" s="52" t="s">
        <v>247</v>
      </c>
      <c r="AD966" s="52" t="s">
        <v>1</v>
      </c>
      <c r="AE966" s="52" t="s">
        <v>376</v>
      </c>
      <c r="AF966" s="155" t="s">
        <v>247</v>
      </c>
      <c r="AG966" s="155" t="s">
        <v>247</v>
      </c>
    </row>
    <row r="967" spans="25:33">
      <c r="Y967" s="47">
        <v>4003</v>
      </c>
      <c r="Z967" s="52" t="s">
        <v>410</v>
      </c>
      <c r="AA967" s="52" t="s">
        <v>247</v>
      </c>
      <c r="AB967" s="52" t="s">
        <v>247</v>
      </c>
      <c r="AC967" s="52" t="s">
        <v>247</v>
      </c>
      <c r="AD967" s="52" t="s">
        <v>1</v>
      </c>
      <c r="AE967" s="52" t="s">
        <v>376</v>
      </c>
      <c r="AF967" s="155" t="s">
        <v>247</v>
      </c>
      <c r="AG967" s="155" t="s">
        <v>247</v>
      </c>
    </row>
    <row r="968" spans="25:33">
      <c r="Y968" s="47">
        <v>4004</v>
      </c>
      <c r="Z968" s="52" t="s">
        <v>410</v>
      </c>
      <c r="AA968" s="52" t="s">
        <v>247</v>
      </c>
      <c r="AB968" s="52" t="s">
        <v>247</v>
      </c>
      <c r="AC968" s="52" t="s">
        <v>247</v>
      </c>
      <c r="AD968" s="52" t="s">
        <v>1</v>
      </c>
      <c r="AE968" s="52" t="s">
        <v>376</v>
      </c>
      <c r="AF968" s="155" t="s">
        <v>247</v>
      </c>
      <c r="AG968" s="155" t="s">
        <v>247</v>
      </c>
    </row>
    <row r="969" spans="25:33">
      <c r="Y969" s="47">
        <v>4005</v>
      </c>
      <c r="Z969" s="52" t="s">
        <v>410</v>
      </c>
      <c r="AA969" s="52" t="s">
        <v>247</v>
      </c>
      <c r="AB969" s="52" t="s">
        <v>247</v>
      </c>
      <c r="AC969" s="52" t="s">
        <v>247</v>
      </c>
      <c r="AD969" s="52" t="s">
        <v>1</v>
      </c>
      <c r="AE969" s="52" t="s">
        <v>376</v>
      </c>
      <c r="AF969" s="155" t="s">
        <v>247</v>
      </c>
      <c r="AG969" s="155" t="s">
        <v>247</v>
      </c>
    </row>
    <row r="970" spans="25:33">
      <c r="Y970" s="47">
        <v>4006</v>
      </c>
      <c r="Z970" s="52" t="s">
        <v>410</v>
      </c>
      <c r="AA970" s="52" t="s">
        <v>247</v>
      </c>
      <c r="AB970" s="52" t="s">
        <v>247</v>
      </c>
      <c r="AC970" s="52" t="s">
        <v>247</v>
      </c>
      <c r="AD970" s="52" t="s">
        <v>1</v>
      </c>
      <c r="AE970" s="52" t="s">
        <v>376</v>
      </c>
      <c r="AF970" s="155" t="s">
        <v>247</v>
      </c>
      <c r="AG970" s="155" t="s">
        <v>247</v>
      </c>
    </row>
    <row r="971" spans="25:33">
      <c r="Y971" s="47">
        <v>4007</v>
      </c>
      <c r="Z971" s="52" t="s">
        <v>410</v>
      </c>
      <c r="AA971" s="52" t="s">
        <v>247</v>
      </c>
      <c r="AB971" s="52" t="s">
        <v>247</v>
      </c>
      <c r="AC971" s="52" t="s">
        <v>247</v>
      </c>
      <c r="AD971" s="52" t="s">
        <v>1</v>
      </c>
      <c r="AE971" s="52" t="s">
        <v>376</v>
      </c>
      <c r="AF971" s="155" t="s">
        <v>247</v>
      </c>
      <c r="AG971" s="155" t="s">
        <v>247</v>
      </c>
    </row>
    <row r="972" spans="25:33">
      <c r="Y972" s="47">
        <v>4008</v>
      </c>
      <c r="Z972" s="52" t="s">
        <v>410</v>
      </c>
      <c r="AA972" s="52" t="s">
        <v>247</v>
      </c>
      <c r="AB972" s="52" t="s">
        <v>247</v>
      </c>
      <c r="AC972" s="52" t="s">
        <v>247</v>
      </c>
      <c r="AD972" s="52" t="s">
        <v>1</v>
      </c>
      <c r="AE972" s="52" t="s">
        <v>376</v>
      </c>
      <c r="AF972" s="155" t="s">
        <v>247</v>
      </c>
      <c r="AG972" s="155" t="s">
        <v>247</v>
      </c>
    </row>
    <row r="973" spans="25:33">
      <c r="Y973" s="47">
        <v>4009</v>
      </c>
      <c r="Z973" s="52" t="s">
        <v>410</v>
      </c>
      <c r="AA973" s="52" t="s">
        <v>247</v>
      </c>
      <c r="AB973" s="52" t="s">
        <v>247</v>
      </c>
      <c r="AC973" s="52" t="s">
        <v>247</v>
      </c>
      <c r="AD973" s="52" t="s">
        <v>1</v>
      </c>
      <c r="AE973" s="52" t="s">
        <v>376</v>
      </c>
      <c r="AF973" s="155" t="s">
        <v>247</v>
      </c>
      <c r="AG973" s="155" t="s">
        <v>247</v>
      </c>
    </row>
    <row r="974" spans="25:33">
      <c r="Y974" s="47">
        <v>4010</v>
      </c>
      <c r="Z974" s="52" t="s">
        <v>410</v>
      </c>
      <c r="AA974" s="52" t="s">
        <v>247</v>
      </c>
      <c r="AB974" s="52" t="s">
        <v>247</v>
      </c>
      <c r="AC974" s="52" t="s">
        <v>247</v>
      </c>
      <c r="AD974" s="52" t="s">
        <v>1</v>
      </c>
      <c r="AE974" s="52" t="s">
        <v>376</v>
      </c>
      <c r="AF974" s="155" t="s">
        <v>247</v>
      </c>
      <c r="AG974" s="155" t="s">
        <v>247</v>
      </c>
    </row>
    <row r="975" spans="25:33">
      <c r="Y975" s="47">
        <v>4011</v>
      </c>
      <c r="Z975" s="52" t="s">
        <v>410</v>
      </c>
      <c r="AA975" s="52" t="s">
        <v>247</v>
      </c>
      <c r="AB975" s="52" t="s">
        <v>247</v>
      </c>
      <c r="AC975" s="52" t="s">
        <v>247</v>
      </c>
      <c r="AD975" s="52" t="s">
        <v>1</v>
      </c>
      <c r="AE975" s="52" t="s">
        <v>376</v>
      </c>
      <c r="AF975" s="155" t="s">
        <v>247</v>
      </c>
      <c r="AG975" s="155" t="s">
        <v>247</v>
      </c>
    </row>
    <row r="976" spans="25:33">
      <c r="Y976" s="47">
        <v>4012</v>
      </c>
      <c r="Z976" s="52" t="s">
        <v>410</v>
      </c>
      <c r="AA976" s="52" t="s">
        <v>247</v>
      </c>
      <c r="AB976" s="52" t="s">
        <v>247</v>
      </c>
      <c r="AC976" s="52" t="s">
        <v>247</v>
      </c>
      <c r="AD976" s="52" t="s">
        <v>1</v>
      </c>
      <c r="AE976" s="52" t="s">
        <v>376</v>
      </c>
      <c r="AF976" s="155" t="s">
        <v>247</v>
      </c>
      <c r="AG976" s="155" t="s">
        <v>247</v>
      </c>
    </row>
    <row r="977" spans="25:33">
      <c r="Y977" s="47">
        <v>4013</v>
      </c>
      <c r="Z977" s="52" t="s">
        <v>410</v>
      </c>
      <c r="AA977" s="52" t="s">
        <v>247</v>
      </c>
      <c r="AB977" s="52" t="s">
        <v>247</v>
      </c>
      <c r="AC977" s="52" t="s">
        <v>247</v>
      </c>
      <c r="AD977" s="52" t="s">
        <v>1</v>
      </c>
      <c r="AE977" s="52" t="s">
        <v>376</v>
      </c>
      <c r="AF977" s="155" t="s">
        <v>247</v>
      </c>
      <c r="AG977" s="155" t="s">
        <v>247</v>
      </c>
    </row>
    <row r="978" spans="25:33">
      <c r="Y978" s="47">
        <v>4014</v>
      </c>
      <c r="Z978" s="52" t="s">
        <v>410</v>
      </c>
      <c r="AA978" s="52" t="s">
        <v>247</v>
      </c>
      <c r="AB978" s="52" t="s">
        <v>247</v>
      </c>
      <c r="AC978" s="52" t="s">
        <v>247</v>
      </c>
      <c r="AD978" s="52" t="s">
        <v>1</v>
      </c>
      <c r="AE978" s="52" t="s">
        <v>376</v>
      </c>
      <c r="AF978" s="155" t="s">
        <v>247</v>
      </c>
      <c r="AG978" s="155" t="s">
        <v>247</v>
      </c>
    </row>
    <row r="979" spans="25:33">
      <c r="Y979" s="47">
        <v>4015</v>
      </c>
      <c r="Z979" s="52" t="s">
        <v>410</v>
      </c>
      <c r="AA979" s="52" t="s">
        <v>247</v>
      </c>
      <c r="AB979" s="52" t="s">
        <v>247</v>
      </c>
      <c r="AC979" s="52" t="s">
        <v>247</v>
      </c>
      <c r="AD979" s="52" t="s">
        <v>1</v>
      </c>
      <c r="AE979" s="52" t="s">
        <v>376</v>
      </c>
      <c r="AF979" s="155" t="s">
        <v>247</v>
      </c>
      <c r="AG979" s="155" t="s">
        <v>247</v>
      </c>
    </row>
    <row r="980" spans="25:33">
      <c r="Y980" s="47">
        <v>4016</v>
      </c>
      <c r="Z980" s="52" t="s">
        <v>410</v>
      </c>
      <c r="AA980" s="52" t="s">
        <v>247</v>
      </c>
      <c r="AB980" s="52" t="s">
        <v>247</v>
      </c>
      <c r="AC980" s="52" t="s">
        <v>247</v>
      </c>
      <c r="AD980" s="52" t="s">
        <v>1</v>
      </c>
      <c r="AE980" s="52" t="s">
        <v>376</v>
      </c>
      <c r="AF980" s="155" t="s">
        <v>247</v>
      </c>
      <c r="AG980" s="155" t="s">
        <v>247</v>
      </c>
    </row>
    <row r="981" spans="25:33">
      <c r="Y981" s="47">
        <v>4017</v>
      </c>
      <c r="Z981" s="52" t="s">
        <v>410</v>
      </c>
      <c r="AA981" s="52" t="s">
        <v>247</v>
      </c>
      <c r="AB981" s="52" t="s">
        <v>247</v>
      </c>
      <c r="AC981" s="52" t="s">
        <v>247</v>
      </c>
      <c r="AD981" s="52" t="s">
        <v>1</v>
      </c>
      <c r="AE981" s="52" t="s">
        <v>376</v>
      </c>
      <c r="AF981" s="155" t="s">
        <v>247</v>
      </c>
      <c r="AG981" s="155" t="s">
        <v>247</v>
      </c>
    </row>
    <row r="982" spans="25:33">
      <c r="Y982" s="47">
        <v>4018</v>
      </c>
      <c r="Z982" s="52" t="s">
        <v>410</v>
      </c>
      <c r="AA982" s="52" t="s">
        <v>247</v>
      </c>
      <c r="AB982" s="52" t="s">
        <v>247</v>
      </c>
      <c r="AC982" s="52" t="s">
        <v>247</v>
      </c>
      <c r="AD982" s="52" t="s">
        <v>1</v>
      </c>
      <c r="AE982" s="52" t="s">
        <v>376</v>
      </c>
      <c r="AF982" s="155" t="s">
        <v>247</v>
      </c>
      <c r="AG982" s="155" t="s">
        <v>247</v>
      </c>
    </row>
    <row r="983" spans="25:33">
      <c r="Y983" s="47">
        <v>4019</v>
      </c>
      <c r="Z983" s="52" t="s">
        <v>410</v>
      </c>
      <c r="AA983" s="52" t="s">
        <v>247</v>
      </c>
      <c r="AB983" s="52" t="s">
        <v>247</v>
      </c>
      <c r="AC983" s="52" t="s">
        <v>247</v>
      </c>
      <c r="AD983" s="52" t="s">
        <v>1</v>
      </c>
      <c r="AE983" s="52" t="s">
        <v>376</v>
      </c>
      <c r="AF983" s="155" t="s">
        <v>247</v>
      </c>
      <c r="AG983" s="155" t="s">
        <v>247</v>
      </c>
    </row>
    <row r="984" spans="25:33">
      <c r="Y984" s="47">
        <v>4020</v>
      </c>
      <c r="Z984" s="52" t="s">
        <v>410</v>
      </c>
      <c r="AA984" s="52" t="s">
        <v>247</v>
      </c>
      <c r="AB984" s="52" t="s">
        <v>247</v>
      </c>
      <c r="AC984" s="52" t="s">
        <v>247</v>
      </c>
      <c r="AD984" s="52" t="s">
        <v>1</v>
      </c>
      <c r="AE984" s="52" t="s">
        <v>376</v>
      </c>
      <c r="AF984" s="155" t="s">
        <v>247</v>
      </c>
      <c r="AG984" s="155" t="s">
        <v>247</v>
      </c>
    </row>
    <row r="985" spans="25:33">
      <c r="Y985" s="47">
        <v>4021</v>
      </c>
      <c r="Z985" s="52" t="s">
        <v>410</v>
      </c>
      <c r="AA985" s="52" t="s">
        <v>247</v>
      </c>
      <c r="AB985" s="52" t="s">
        <v>247</v>
      </c>
      <c r="AC985" s="52" t="s">
        <v>247</v>
      </c>
      <c r="AD985" s="52" t="s">
        <v>1</v>
      </c>
      <c r="AE985" s="52" t="s">
        <v>376</v>
      </c>
      <c r="AF985" s="155" t="s">
        <v>247</v>
      </c>
      <c r="AG985" s="155" t="s">
        <v>247</v>
      </c>
    </row>
    <row r="986" spans="25:33">
      <c r="Y986" s="47">
        <v>4022</v>
      </c>
      <c r="Z986" s="52" t="s">
        <v>410</v>
      </c>
      <c r="AA986" s="52" t="s">
        <v>247</v>
      </c>
      <c r="AB986" s="52" t="s">
        <v>247</v>
      </c>
      <c r="AC986" s="52" t="s">
        <v>247</v>
      </c>
      <c r="AD986" s="52" t="s">
        <v>1</v>
      </c>
      <c r="AE986" s="52" t="s">
        <v>376</v>
      </c>
      <c r="AF986" s="155" t="s">
        <v>247</v>
      </c>
      <c r="AG986" s="155" t="s">
        <v>247</v>
      </c>
    </row>
    <row r="987" spans="25:33">
      <c r="Y987" s="47">
        <v>4023</v>
      </c>
      <c r="Z987" s="52" t="s">
        <v>410</v>
      </c>
      <c r="AA987" s="52" t="s">
        <v>247</v>
      </c>
      <c r="AB987" s="52" t="s">
        <v>247</v>
      </c>
      <c r="AC987" s="52" t="s">
        <v>247</v>
      </c>
      <c r="AD987" s="52" t="s">
        <v>1</v>
      </c>
      <c r="AE987" s="52" t="s">
        <v>376</v>
      </c>
      <c r="AF987" s="155" t="s">
        <v>247</v>
      </c>
      <c r="AG987" s="155" t="s">
        <v>247</v>
      </c>
    </row>
    <row r="988" spans="25:33">
      <c r="Y988" s="47">
        <v>4024</v>
      </c>
      <c r="Z988" s="52" t="s">
        <v>410</v>
      </c>
      <c r="AA988" s="52" t="s">
        <v>247</v>
      </c>
      <c r="AB988" s="52" t="s">
        <v>247</v>
      </c>
      <c r="AC988" s="52" t="s">
        <v>247</v>
      </c>
      <c r="AD988" s="52" t="s">
        <v>1</v>
      </c>
      <c r="AE988" s="52" t="s">
        <v>376</v>
      </c>
      <c r="AF988" s="155" t="s">
        <v>247</v>
      </c>
      <c r="AG988" s="155" t="s">
        <v>247</v>
      </c>
    </row>
    <row r="989" spans="25:33">
      <c r="Y989" s="47">
        <v>4025</v>
      </c>
      <c r="Z989" s="52" t="s">
        <v>410</v>
      </c>
      <c r="AA989" s="52" t="s">
        <v>247</v>
      </c>
      <c r="AB989" s="52" t="s">
        <v>247</v>
      </c>
      <c r="AC989" s="52" t="s">
        <v>247</v>
      </c>
      <c r="AD989" s="52" t="s">
        <v>1</v>
      </c>
      <c r="AE989" s="52" t="s">
        <v>376</v>
      </c>
      <c r="AF989" s="155" t="s">
        <v>247</v>
      </c>
      <c r="AG989" s="155" t="s">
        <v>247</v>
      </c>
    </row>
    <row r="990" spans="25:33">
      <c r="Y990" s="47">
        <v>4026</v>
      </c>
      <c r="Z990" s="52" t="s">
        <v>410</v>
      </c>
      <c r="AA990" s="52" t="s">
        <v>247</v>
      </c>
      <c r="AB990" s="52" t="s">
        <v>247</v>
      </c>
      <c r="AC990" s="52" t="s">
        <v>247</v>
      </c>
      <c r="AD990" s="52" t="s">
        <v>1</v>
      </c>
      <c r="AE990" s="52" t="s">
        <v>376</v>
      </c>
      <c r="AF990" s="155" t="s">
        <v>247</v>
      </c>
      <c r="AG990" s="155" t="s">
        <v>247</v>
      </c>
    </row>
    <row r="991" spans="25:33">
      <c r="Y991" s="47">
        <v>4027</v>
      </c>
      <c r="Z991" s="52" t="s">
        <v>410</v>
      </c>
      <c r="AA991" s="52" t="s">
        <v>247</v>
      </c>
      <c r="AB991" s="52" t="s">
        <v>247</v>
      </c>
      <c r="AC991" s="52" t="s">
        <v>247</v>
      </c>
      <c r="AD991" s="52" t="s">
        <v>1</v>
      </c>
      <c r="AE991" s="52" t="s">
        <v>376</v>
      </c>
      <c r="AF991" s="155" t="s">
        <v>247</v>
      </c>
      <c r="AG991" s="155" t="s">
        <v>247</v>
      </c>
    </row>
    <row r="992" spans="25:33">
      <c r="Y992" s="47">
        <v>4028</v>
      </c>
      <c r="Z992" s="52" t="s">
        <v>410</v>
      </c>
      <c r="AA992" s="52" t="s">
        <v>247</v>
      </c>
      <c r="AB992" s="52" t="s">
        <v>247</v>
      </c>
      <c r="AC992" s="52" t="s">
        <v>247</v>
      </c>
      <c r="AD992" s="52" t="s">
        <v>1</v>
      </c>
      <c r="AE992" s="52" t="s">
        <v>376</v>
      </c>
      <c r="AF992" s="155" t="s">
        <v>247</v>
      </c>
      <c r="AG992" s="155" t="s">
        <v>247</v>
      </c>
    </row>
    <row r="993" spans="25:33">
      <c r="Y993" s="47">
        <v>4029</v>
      </c>
      <c r="Z993" s="52" t="s">
        <v>410</v>
      </c>
      <c r="AA993" s="52" t="s">
        <v>247</v>
      </c>
      <c r="AB993" s="52" t="s">
        <v>247</v>
      </c>
      <c r="AC993" s="52" t="s">
        <v>247</v>
      </c>
      <c r="AD993" s="52" t="s">
        <v>1</v>
      </c>
      <c r="AE993" s="52" t="s">
        <v>376</v>
      </c>
      <c r="AF993" s="155" t="s">
        <v>247</v>
      </c>
      <c r="AG993" s="155" t="s">
        <v>247</v>
      </c>
    </row>
    <row r="994" spans="25:33">
      <c r="Y994" s="47">
        <v>4030</v>
      </c>
      <c r="Z994" s="52" t="s">
        <v>410</v>
      </c>
      <c r="AA994" s="52" t="s">
        <v>247</v>
      </c>
      <c r="AB994" s="52" t="s">
        <v>247</v>
      </c>
      <c r="AC994" s="52" t="s">
        <v>247</v>
      </c>
      <c r="AD994" s="52" t="s">
        <v>1</v>
      </c>
      <c r="AE994" s="52" t="s">
        <v>376</v>
      </c>
      <c r="AF994" s="155" t="s">
        <v>247</v>
      </c>
      <c r="AG994" s="155" t="s">
        <v>247</v>
      </c>
    </row>
    <row r="995" spans="25:33">
      <c r="Y995" s="47">
        <v>4031</v>
      </c>
      <c r="Z995" s="52" t="s">
        <v>410</v>
      </c>
      <c r="AA995" s="52" t="s">
        <v>247</v>
      </c>
      <c r="AB995" s="52" t="s">
        <v>247</v>
      </c>
      <c r="AC995" s="52" t="s">
        <v>247</v>
      </c>
      <c r="AD995" s="52" t="s">
        <v>1</v>
      </c>
      <c r="AE995" s="52" t="s">
        <v>376</v>
      </c>
      <c r="AF995" s="155" t="s">
        <v>247</v>
      </c>
      <c r="AG995" s="155" t="s">
        <v>247</v>
      </c>
    </row>
    <row r="996" spans="25:33">
      <c r="Y996" s="47">
        <v>4032</v>
      </c>
      <c r="Z996" s="52" t="s">
        <v>410</v>
      </c>
      <c r="AA996" s="52" t="s">
        <v>247</v>
      </c>
      <c r="AB996" s="52" t="s">
        <v>247</v>
      </c>
      <c r="AC996" s="52" t="s">
        <v>247</v>
      </c>
      <c r="AD996" s="52" t="s">
        <v>1</v>
      </c>
      <c r="AE996" s="52" t="s">
        <v>376</v>
      </c>
      <c r="AF996" s="155" t="s">
        <v>247</v>
      </c>
      <c r="AG996" s="155" t="s">
        <v>247</v>
      </c>
    </row>
    <row r="997" spans="25:33">
      <c r="Y997" s="47">
        <v>4033</v>
      </c>
      <c r="Z997" s="52" t="s">
        <v>410</v>
      </c>
      <c r="AA997" s="52" t="s">
        <v>247</v>
      </c>
      <c r="AB997" s="52" t="s">
        <v>247</v>
      </c>
      <c r="AC997" s="52" t="s">
        <v>247</v>
      </c>
      <c r="AD997" s="52" t="s">
        <v>1</v>
      </c>
      <c r="AE997" s="52" t="s">
        <v>376</v>
      </c>
      <c r="AF997" s="155" t="s">
        <v>247</v>
      </c>
      <c r="AG997" s="155" t="s">
        <v>247</v>
      </c>
    </row>
    <row r="998" spans="25:33">
      <c r="Y998" s="47">
        <v>4034</v>
      </c>
      <c r="Z998" s="52" t="s">
        <v>410</v>
      </c>
      <c r="AA998" s="52" t="s">
        <v>247</v>
      </c>
      <c r="AB998" s="52" t="s">
        <v>247</v>
      </c>
      <c r="AC998" s="52" t="s">
        <v>247</v>
      </c>
      <c r="AD998" s="52" t="s">
        <v>1</v>
      </c>
      <c r="AE998" s="52" t="s">
        <v>376</v>
      </c>
      <c r="AF998" s="155" t="s">
        <v>247</v>
      </c>
      <c r="AG998" s="155" t="s">
        <v>247</v>
      </c>
    </row>
    <row r="999" spans="25:33">
      <c r="Y999" s="47">
        <v>4035</v>
      </c>
      <c r="Z999" s="52" t="s">
        <v>410</v>
      </c>
      <c r="AA999" s="52" t="s">
        <v>247</v>
      </c>
      <c r="AB999" s="52" t="s">
        <v>247</v>
      </c>
      <c r="AC999" s="52" t="s">
        <v>247</v>
      </c>
      <c r="AD999" s="52" t="s">
        <v>1</v>
      </c>
      <c r="AE999" s="52" t="s">
        <v>376</v>
      </c>
      <c r="AF999" s="155" t="s">
        <v>247</v>
      </c>
      <c r="AG999" s="155" t="s">
        <v>247</v>
      </c>
    </row>
    <row r="1000" spans="25:33">
      <c r="Y1000" s="47">
        <v>4036</v>
      </c>
      <c r="Z1000" s="52" t="s">
        <v>410</v>
      </c>
      <c r="AA1000" s="52" t="s">
        <v>247</v>
      </c>
      <c r="AB1000" s="52" t="s">
        <v>247</v>
      </c>
      <c r="AC1000" s="52" t="s">
        <v>247</v>
      </c>
      <c r="AD1000" s="52" t="s">
        <v>1</v>
      </c>
      <c r="AE1000" s="52" t="s">
        <v>376</v>
      </c>
      <c r="AF1000" s="155" t="s">
        <v>247</v>
      </c>
      <c r="AG1000" s="155" t="s">
        <v>247</v>
      </c>
    </row>
    <row r="1001" spans="25:33">
      <c r="Y1001" s="47">
        <v>4037</v>
      </c>
      <c r="Z1001" s="52" t="s">
        <v>410</v>
      </c>
      <c r="AA1001" s="52" t="s">
        <v>247</v>
      </c>
      <c r="AB1001" s="52" t="s">
        <v>247</v>
      </c>
      <c r="AC1001" s="52" t="s">
        <v>247</v>
      </c>
      <c r="AD1001" s="52" t="s">
        <v>1</v>
      </c>
      <c r="AE1001" s="52" t="s">
        <v>376</v>
      </c>
      <c r="AF1001" s="155" t="s">
        <v>247</v>
      </c>
      <c r="AG1001" s="155" t="s">
        <v>247</v>
      </c>
    </row>
    <row r="1002" spans="25:33">
      <c r="Y1002" s="47">
        <v>4038</v>
      </c>
      <c r="Z1002" s="52" t="s">
        <v>410</v>
      </c>
      <c r="AA1002" s="52" t="s">
        <v>247</v>
      </c>
      <c r="AB1002" s="52" t="s">
        <v>247</v>
      </c>
      <c r="AC1002" s="52" t="s">
        <v>247</v>
      </c>
      <c r="AD1002" s="52" t="s">
        <v>1</v>
      </c>
      <c r="AE1002" s="52" t="s">
        <v>376</v>
      </c>
      <c r="AF1002" s="155" t="s">
        <v>247</v>
      </c>
      <c r="AG1002" s="155" t="s">
        <v>247</v>
      </c>
    </row>
    <row r="1003" spans="25:33">
      <c r="Y1003" s="47">
        <v>4039</v>
      </c>
      <c r="Z1003" s="52" t="s">
        <v>410</v>
      </c>
      <c r="AA1003" s="52" t="s">
        <v>247</v>
      </c>
      <c r="AB1003" s="52" t="s">
        <v>247</v>
      </c>
      <c r="AC1003" s="52" t="s">
        <v>247</v>
      </c>
      <c r="AD1003" s="52" t="s">
        <v>1</v>
      </c>
      <c r="AE1003" s="52" t="s">
        <v>376</v>
      </c>
      <c r="AF1003" s="155" t="s">
        <v>247</v>
      </c>
      <c r="AG1003" s="155" t="s">
        <v>247</v>
      </c>
    </row>
    <row r="1004" spans="25:33">
      <c r="Y1004" s="47">
        <v>4040</v>
      </c>
      <c r="Z1004" s="52" t="s">
        <v>410</v>
      </c>
      <c r="AA1004" s="52" t="s">
        <v>247</v>
      </c>
      <c r="AB1004" s="52" t="s">
        <v>247</v>
      </c>
      <c r="AC1004" s="52" t="s">
        <v>247</v>
      </c>
      <c r="AD1004" s="52" t="s">
        <v>1</v>
      </c>
      <c r="AE1004" s="52" t="s">
        <v>376</v>
      </c>
      <c r="AF1004" s="155" t="s">
        <v>247</v>
      </c>
      <c r="AG1004" s="155" t="s">
        <v>247</v>
      </c>
    </row>
    <row r="1005" spans="25:33">
      <c r="Y1005" s="47">
        <v>4041</v>
      </c>
      <c r="Z1005" s="52" t="s">
        <v>410</v>
      </c>
      <c r="AA1005" s="52" t="s">
        <v>247</v>
      </c>
      <c r="AB1005" s="52" t="s">
        <v>247</v>
      </c>
      <c r="AC1005" s="52" t="s">
        <v>247</v>
      </c>
      <c r="AD1005" s="52" t="s">
        <v>1</v>
      </c>
      <c r="AE1005" s="52" t="s">
        <v>376</v>
      </c>
      <c r="AF1005" s="155" t="s">
        <v>247</v>
      </c>
      <c r="AG1005" s="155" t="s">
        <v>247</v>
      </c>
    </row>
    <row r="1006" spans="25:33">
      <c r="Y1006" s="47">
        <v>4042</v>
      </c>
      <c r="Z1006" s="52" t="s">
        <v>410</v>
      </c>
      <c r="AA1006" s="52" t="s">
        <v>247</v>
      </c>
      <c r="AB1006" s="52" t="s">
        <v>247</v>
      </c>
      <c r="AC1006" s="52" t="s">
        <v>247</v>
      </c>
      <c r="AD1006" s="52" t="s">
        <v>1</v>
      </c>
      <c r="AE1006" s="52" t="s">
        <v>376</v>
      </c>
      <c r="AF1006" s="155" t="s">
        <v>247</v>
      </c>
      <c r="AG1006" s="155" t="s">
        <v>247</v>
      </c>
    </row>
    <row r="1007" spans="25:33">
      <c r="Y1007" s="47">
        <v>4043</v>
      </c>
      <c r="Z1007" s="52" t="s">
        <v>410</v>
      </c>
      <c r="AA1007" s="52" t="s">
        <v>247</v>
      </c>
      <c r="AB1007" s="52" t="s">
        <v>247</v>
      </c>
      <c r="AC1007" s="52" t="s">
        <v>247</v>
      </c>
      <c r="AD1007" s="52" t="s">
        <v>1</v>
      </c>
      <c r="AE1007" s="52" t="s">
        <v>376</v>
      </c>
      <c r="AF1007" s="155" t="s">
        <v>247</v>
      </c>
      <c r="AG1007" s="155" t="s">
        <v>247</v>
      </c>
    </row>
    <row r="1008" spans="25:33">
      <c r="Y1008" s="47">
        <v>4044</v>
      </c>
      <c r="Z1008" s="52" t="s">
        <v>410</v>
      </c>
      <c r="AA1008" s="52" t="s">
        <v>247</v>
      </c>
      <c r="AB1008" s="52" t="s">
        <v>247</v>
      </c>
      <c r="AC1008" s="52" t="s">
        <v>247</v>
      </c>
      <c r="AD1008" s="52" t="s">
        <v>1</v>
      </c>
      <c r="AE1008" s="52" t="s">
        <v>376</v>
      </c>
      <c r="AF1008" s="155" t="s">
        <v>247</v>
      </c>
      <c r="AG1008" s="155" t="s">
        <v>247</v>
      </c>
    </row>
    <row r="1009" spans="25:33">
      <c r="Y1009" s="47">
        <v>4045</v>
      </c>
      <c r="Z1009" s="52" t="s">
        <v>410</v>
      </c>
      <c r="AA1009" s="52" t="s">
        <v>247</v>
      </c>
      <c r="AB1009" s="52" t="s">
        <v>247</v>
      </c>
      <c r="AC1009" s="52" t="s">
        <v>247</v>
      </c>
      <c r="AD1009" s="52" t="s">
        <v>1</v>
      </c>
      <c r="AE1009" s="52" t="s">
        <v>376</v>
      </c>
      <c r="AF1009" s="155" t="s">
        <v>247</v>
      </c>
      <c r="AG1009" s="155" t="s">
        <v>247</v>
      </c>
    </row>
    <row r="1010" spans="25:33">
      <c r="Y1010" s="47">
        <v>4046</v>
      </c>
      <c r="Z1010" s="52" t="s">
        <v>410</v>
      </c>
      <c r="AA1010" s="52" t="s">
        <v>247</v>
      </c>
      <c r="AB1010" s="52" t="s">
        <v>247</v>
      </c>
      <c r="AC1010" s="52" t="s">
        <v>247</v>
      </c>
      <c r="AD1010" s="52" t="s">
        <v>1</v>
      </c>
      <c r="AE1010" s="52" t="s">
        <v>376</v>
      </c>
      <c r="AF1010" s="155" t="s">
        <v>247</v>
      </c>
      <c r="AG1010" s="155" t="s">
        <v>247</v>
      </c>
    </row>
    <row r="1011" spans="25:33">
      <c r="Y1011" s="47">
        <v>4047</v>
      </c>
      <c r="Z1011" s="52" t="s">
        <v>410</v>
      </c>
      <c r="AA1011" s="52" t="s">
        <v>247</v>
      </c>
      <c r="AB1011" s="52" t="s">
        <v>247</v>
      </c>
      <c r="AC1011" s="52" t="s">
        <v>247</v>
      </c>
      <c r="AD1011" s="52" t="s">
        <v>1</v>
      </c>
      <c r="AE1011" s="52" t="s">
        <v>376</v>
      </c>
      <c r="AF1011" s="155" t="s">
        <v>247</v>
      </c>
      <c r="AG1011" s="155" t="s">
        <v>247</v>
      </c>
    </row>
    <row r="1012" spans="25:33">
      <c r="Y1012" s="47">
        <v>4048</v>
      </c>
      <c r="Z1012" s="52" t="s">
        <v>410</v>
      </c>
      <c r="AA1012" s="52" t="s">
        <v>247</v>
      </c>
      <c r="AB1012" s="52" t="s">
        <v>247</v>
      </c>
      <c r="AC1012" s="52" t="s">
        <v>247</v>
      </c>
      <c r="AD1012" s="52" t="s">
        <v>1</v>
      </c>
      <c r="AE1012" s="52" t="s">
        <v>376</v>
      </c>
      <c r="AF1012" s="155" t="s">
        <v>247</v>
      </c>
      <c r="AG1012" s="155" t="s">
        <v>247</v>
      </c>
    </row>
    <row r="1013" spans="25:33">
      <c r="Y1013" s="47">
        <v>4049</v>
      </c>
      <c r="Z1013" s="52" t="s">
        <v>410</v>
      </c>
      <c r="AA1013" s="52" t="s">
        <v>247</v>
      </c>
      <c r="AB1013" s="52" t="s">
        <v>247</v>
      </c>
      <c r="AC1013" s="52" t="s">
        <v>247</v>
      </c>
      <c r="AD1013" s="52" t="s">
        <v>1</v>
      </c>
      <c r="AE1013" s="52" t="s">
        <v>376</v>
      </c>
      <c r="AF1013" s="155" t="s">
        <v>247</v>
      </c>
      <c r="AG1013" s="155" t="s">
        <v>247</v>
      </c>
    </row>
    <row r="1014" spans="25:33">
      <c r="Y1014" s="47">
        <v>4050</v>
      </c>
      <c r="Z1014" s="52" t="s">
        <v>410</v>
      </c>
      <c r="AA1014" s="52" t="s">
        <v>247</v>
      </c>
      <c r="AB1014" s="52" t="s">
        <v>247</v>
      </c>
      <c r="AC1014" s="52" t="s">
        <v>247</v>
      </c>
      <c r="AD1014" s="52" t="s">
        <v>1</v>
      </c>
      <c r="AE1014" s="52" t="s">
        <v>376</v>
      </c>
      <c r="AF1014" s="155" t="s">
        <v>247</v>
      </c>
      <c r="AG1014" s="155" t="s">
        <v>247</v>
      </c>
    </row>
    <row r="1015" spans="25:33">
      <c r="Y1015" s="47">
        <v>4051</v>
      </c>
      <c r="Z1015" s="52" t="s">
        <v>410</v>
      </c>
      <c r="AA1015" s="52" t="s">
        <v>247</v>
      </c>
      <c r="AB1015" s="52" t="s">
        <v>247</v>
      </c>
      <c r="AC1015" s="52" t="s">
        <v>247</v>
      </c>
      <c r="AD1015" s="52" t="s">
        <v>1</v>
      </c>
      <c r="AE1015" s="52" t="s">
        <v>376</v>
      </c>
      <c r="AF1015" s="155" t="s">
        <v>247</v>
      </c>
      <c r="AG1015" s="155" t="s">
        <v>247</v>
      </c>
    </row>
    <row r="1016" spans="25:33">
      <c r="Y1016" s="47">
        <v>4052</v>
      </c>
      <c r="Z1016" s="52" t="s">
        <v>410</v>
      </c>
      <c r="AA1016" s="52" t="s">
        <v>247</v>
      </c>
      <c r="AB1016" s="52" t="s">
        <v>247</v>
      </c>
      <c r="AC1016" s="52" t="s">
        <v>247</v>
      </c>
      <c r="AD1016" s="52" t="s">
        <v>1</v>
      </c>
      <c r="AE1016" s="52" t="s">
        <v>376</v>
      </c>
      <c r="AF1016" s="155" t="s">
        <v>247</v>
      </c>
      <c r="AG1016" s="155" t="s">
        <v>247</v>
      </c>
    </row>
    <row r="1017" spans="25:33">
      <c r="Y1017" s="47">
        <v>4053</v>
      </c>
      <c r="Z1017" s="52" t="s">
        <v>410</v>
      </c>
      <c r="AA1017" s="52" t="s">
        <v>247</v>
      </c>
      <c r="AB1017" s="52" t="s">
        <v>247</v>
      </c>
      <c r="AC1017" s="52" t="s">
        <v>247</v>
      </c>
      <c r="AD1017" s="52" t="s">
        <v>1</v>
      </c>
      <c r="AE1017" s="52" t="s">
        <v>376</v>
      </c>
      <c r="AF1017" s="155" t="s">
        <v>247</v>
      </c>
      <c r="AG1017" s="155" t="s">
        <v>247</v>
      </c>
    </row>
    <row r="1018" spans="25:33">
      <c r="Y1018" s="47">
        <v>4054</v>
      </c>
      <c r="Z1018" s="52" t="s">
        <v>410</v>
      </c>
      <c r="AA1018" s="52" t="s">
        <v>247</v>
      </c>
      <c r="AB1018" s="52" t="s">
        <v>247</v>
      </c>
      <c r="AC1018" s="52" t="s">
        <v>247</v>
      </c>
      <c r="AD1018" s="52" t="s">
        <v>1</v>
      </c>
      <c r="AE1018" s="52" t="s">
        <v>376</v>
      </c>
      <c r="AF1018" s="155" t="s">
        <v>247</v>
      </c>
      <c r="AG1018" s="155" t="s">
        <v>247</v>
      </c>
    </row>
    <row r="1019" spans="25:33">
      <c r="Y1019" s="47">
        <v>4055</v>
      </c>
      <c r="Z1019" s="52" t="s">
        <v>410</v>
      </c>
      <c r="AA1019" s="52" t="s">
        <v>247</v>
      </c>
      <c r="AB1019" s="52" t="s">
        <v>247</v>
      </c>
      <c r="AC1019" s="52" t="s">
        <v>247</v>
      </c>
      <c r="AD1019" s="52" t="s">
        <v>1</v>
      </c>
      <c r="AE1019" s="52" t="s">
        <v>376</v>
      </c>
      <c r="AF1019" s="155" t="s">
        <v>247</v>
      </c>
      <c r="AG1019" s="155" t="s">
        <v>247</v>
      </c>
    </row>
    <row r="1020" spans="25:33">
      <c r="Y1020" s="47">
        <v>4056</v>
      </c>
      <c r="Z1020" s="52" t="s">
        <v>410</v>
      </c>
      <c r="AA1020" s="52" t="s">
        <v>247</v>
      </c>
      <c r="AB1020" s="52" t="s">
        <v>247</v>
      </c>
      <c r="AC1020" s="52" t="s">
        <v>247</v>
      </c>
      <c r="AD1020" s="52" t="s">
        <v>1</v>
      </c>
      <c r="AE1020" s="52" t="s">
        <v>376</v>
      </c>
      <c r="AF1020" s="155" t="s">
        <v>247</v>
      </c>
      <c r="AG1020" s="155" t="s">
        <v>247</v>
      </c>
    </row>
    <row r="1021" spans="25:33">
      <c r="Y1021" s="47">
        <v>4057</v>
      </c>
      <c r="Z1021" s="52" t="s">
        <v>410</v>
      </c>
      <c r="AA1021" s="52" t="s">
        <v>247</v>
      </c>
      <c r="AB1021" s="52" t="s">
        <v>247</v>
      </c>
      <c r="AC1021" s="52" t="s">
        <v>247</v>
      </c>
      <c r="AD1021" s="52" t="s">
        <v>1</v>
      </c>
      <c r="AE1021" s="52" t="s">
        <v>376</v>
      </c>
      <c r="AF1021" s="155" t="s">
        <v>247</v>
      </c>
      <c r="AG1021" s="155" t="s">
        <v>247</v>
      </c>
    </row>
    <row r="1022" spans="25:33">
      <c r="Y1022" s="47">
        <v>4058</v>
      </c>
      <c r="Z1022" s="52" t="s">
        <v>410</v>
      </c>
      <c r="AA1022" s="52" t="s">
        <v>247</v>
      </c>
      <c r="AB1022" s="52" t="s">
        <v>247</v>
      </c>
      <c r="AC1022" s="52" t="s">
        <v>247</v>
      </c>
      <c r="AD1022" s="52" t="s">
        <v>1</v>
      </c>
      <c r="AE1022" s="52" t="s">
        <v>376</v>
      </c>
      <c r="AF1022" s="155" t="s">
        <v>247</v>
      </c>
      <c r="AG1022" s="155" t="s">
        <v>247</v>
      </c>
    </row>
    <row r="1023" spans="25:33">
      <c r="Y1023" s="47">
        <v>4059</v>
      </c>
      <c r="Z1023" s="52" t="s">
        <v>410</v>
      </c>
      <c r="AA1023" s="52" t="s">
        <v>247</v>
      </c>
      <c r="AB1023" s="52" t="s">
        <v>247</v>
      </c>
      <c r="AC1023" s="52" t="s">
        <v>247</v>
      </c>
      <c r="AD1023" s="52" t="s">
        <v>1</v>
      </c>
      <c r="AE1023" s="52" t="s">
        <v>376</v>
      </c>
      <c r="AF1023" s="155" t="s">
        <v>247</v>
      </c>
      <c r="AG1023" s="155" t="s">
        <v>247</v>
      </c>
    </row>
    <row r="1024" spans="25:33">
      <c r="Y1024" s="47">
        <v>4060</v>
      </c>
      <c r="Z1024" s="52" t="s">
        <v>410</v>
      </c>
      <c r="AA1024" s="52" t="s">
        <v>247</v>
      </c>
      <c r="AB1024" s="52" t="s">
        <v>247</v>
      </c>
      <c r="AC1024" s="52" t="s">
        <v>247</v>
      </c>
      <c r="AD1024" s="52" t="s">
        <v>1</v>
      </c>
      <c r="AE1024" s="52" t="s">
        <v>376</v>
      </c>
      <c r="AF1024" s="155" t="s">
        <v>247</v>
      </c>
      <c r="AG1024" s="155" t="s">
        <v>247</v>
      </c>
    </row>
    <row r="1025" spans="25:33">
      <c r="Y1025" s="47">
        <v>4061</v>
      </c>
      <c r="Z1025" s="52" t="s">
        <v>410</v>
      </c>
      <c r="AA1025" s="52" t="s">
        <v>247</v>
      </c>
      <c r="AB1025" s="52" t="s">
        <v>247</v>
      </c>
      <c r="AC1025" s="52" t="s">
        <v>247</v>
      </c>
      <c r="AD1025" s="52" t="s">
        <v>1</v>
      </c>
      <c r="AE1025" s="52" t="s">
        <v>376</v>
      </c>
      <c r="AF1025" s="155" t="s">
        <v>247</v>
      </c>
      <c r="AG1025" s="155" t="s">
        <v>247</v>
      </c>
    </row>
    <row r="1026" spans="25:33">
      <c r="Y1026" s="47">
        <v>4062</v>
      </c>
      <c r="Z1026" s="52" t="s">
        <v>410</v>
      </c>
      <c r="AA1026" s="52" t="s">
        <v>247</v>
      </c>
      <c r="AB1026" s="52" t="s">
        <v>247</v>
      </c>
      <c r="AC1026" s="52" t="s">
        <v>247</v>
      </c>
      <c r="AD1026" s="52" t="s">
        <v>1</v>
      </c>
      <c r="AE1026" s="52" t="s">
        <v>376</v>
      </c>
      <c r="AF1026" s="155" t="s">
        <v>247</v>
      </c>
      <c r="AG1026" s="155" t="s">
        <v>247</v>
      </c>
    </row>
    <row r="1027" spans="25:33">
      <c r="Y1027" s="47">
        <v>4063</v>
      </c>
      <c r="Z1027" s="52" t="s">
        <v>410</v>
      </c>
      <c r="AA1027" s="52" t="s">
        <v>247</v>
      </c>
      <c r="AB1027" s="52" t="s">
        <v>247</v>
      </c>
      <c r="AC1027" s="52" t="s">
        <v>247</v>
      </c>
      <c r="AD1027" s="52" t="s">
        <v>1</v>
      </c>
      <c r="AE1027" s="52" t="s">
        <v>376</v>
      </c>
      <c r="AF1027" s="155" t="s">
        <v>247</v>
      </c>
      <c r="AG1027" s="155" t="s">
        <v>247</v>
      </c>
    </row>
    <row r="1028" spans="25:33">
      <c r="Y1028" s="47">
        <v>4064</v>
      </c>
      <c r="Z1028" s="52" t="s">
        <v>410</v>
      </c>
      <c r="AA1028" s="52" t="s">
        <v>247</v>
      </c>
      <c r="AB1028" s="52" t="s">
        <v>247</v>
      </c>
      <c r="AC1028" s="52" t="s">
        <v>247</v>
      </c>
      <c r="AD1028" s="52" t="s">
        <v>1</v>
      </c>
      <c r="AE1028" s="52" t="s">
        <v>376</v>
      </c>
      <c r="AF1028" s="155" t="s">
        <v>247</v>
      </c>
      <c r="AG1028" s="155" t="s">
        <v>247</v>
      </c>
    </row>
    <row r="1029" spans="25:33">
      <c r="Y1029" s="47">
        <v>4065</v>
      </c>
      <c r="Z1029" s="52" t="s">
        <v>410</v>
      </c>
      <c r="AA1029" s="52" t="s">
        <v>247</v>
      </c>
      <c r="AB1029" s="52" t="s">
        <v>247</v>
      </c>
      <c r="AC1029" s="52" t="s">
        <v>247</v>
      </c>
      <c r="AD1029" s="52" t="s">
        <v>1</v>
      </c>
      <c r="AE1029" s="52" t="s">
        <v>376</v>
      </c>
      <c r="AF1029" s="155" t="s">
        <v>247</v>
      </c>
      <c r="AG1029" s="155" t="s">
        <v>247</v>
      </c>
    </row>
    <row r="1030" spans="25:33">
      <c r="Y1030" s="47">
        <v>4066</v>
      </c>
      <c r="Z1030" s="52" t="s">
        <v>410</v>
      </c>
      <c r="AA1030" s="52" t="s">
        <v>247</v>
      </c>
      <c r="AB1030" s="52" t="s">
        <v>247</v>
      </c>
      <c r="AC1030" s="52" t="s">
        <v>247</v>
      </c>
      <c r="AD1030" s="52" t="s">
        <v>1</v>
      </c>
      <c r="AE1030" s="52" t="s">
        <v>376</v>
      </c>
      <c r="AF1030" s="155" t="s">
        <v>247</v>
      </c>
      <c r="AG1030" s="155" t="s">
        <v>247</v>
      </c>
    </row>
    <row r="1031" spans="25:33">
      <c r="Y1031" s="47">
        <v>4067</v>
      </c>
      <c r="Z1031" s="52" t="s">
        <v>410</v>
      </c>
      <c r="AA1031" s="52" t="s">
        <v>247</v>
      </c>
      <c r="AB1031" s="52" t="s">
        <v>247</v>
      </c>
      <c r="AC1031" s="52" t="s">
        <v>247</v>
      </c>
      <c r="AD1031" s="52" t="s">
        <v>1</v>
      </c>
      <c r="AE1031" s="52" t="s">
        <v>376</v>
      </c>
      <c r="AF1031" s="155" t="s">
        <v>247</v>
      </c>
      <c r="AG1031" s="155" t="s">
        <v>247</v>
      </c>
    </row>
    <row r="1032" spans="25:33">
      <c r="Y1032" s="47">
        <v>4068</v>
      </c>
      <c r="Z1032" s="52" t="s">
        <v>410</v>
      </c>
      <c r="AA1032" s="52" t="s">
        <v>247</v>
      </c>
      <c r="AB1032" s="52" t="s">
        <v>247</v>
      </c>
      <c r="AC1032" s="52" t="s">
        <v>247</v>
      </c>
      <c r="AD1032" s="52" t="s">
        <v>1</v>
      </c>
      <c r="AE1032" s="52" t="s">
        <v>376</v>
      </c>
      <c r="AF1032" s="155" t="s">
        <v>247</v>
      </c>
      <c r="AG1032" s="155" t="s">
        <v>247</v>
      </c>
    </row>
    <row r="1033" spans="25:33">
      <c r="Y1033" s="47">
        <v>4069</v>
      </c>
      <c r="Z1033" s="52" t="s">
        <v>410</v>
      </c>
      <c r="AA1033" s="52" t="s">
        <v>247</v>
      </c>
      <c r="AB1033" s="52" t="s">
        <v>247</v>
      </c>
      <c r="AC1033" s="52" t="s">
        <v>247</v>
      </c>
      <c r="AD1033" s="52" t="s">
        <v>1</v>
      </c>
      <c r="AE1033" s="52" t="s">
        <v>376</v>
      </c>
      <c r="AF1033" s="155" t="s">
        <v>247</v>
      </c>
      <c r="AG1033" s="155" t="s">
        <v>247</v>
      </c>
    </row>
    <row r="1034" spans="25:33">
      <c r="Y1034" s="47">
        <v>4070</v>
      </c>
      <c r="Z1034" s="52" t="s">
        <v>410</v>
      </c>
      <c r="AA1034" s="52" t="s">
        <v>247</v>
      </c>
      <c r="AB1034" s="52" t="s">
        <v>247</v>
      </c>
      <c r="AC1034" s="52" t="s">
        <v>247</v>
      </c>
      <c r="AD1034" s="52" t="s">
        <v>1</v>
      </c>
      <c r="AE1034" s="52" t="s">
        <v>376</v>
      </c>
      <c r="AF1034" s="155" t="s">
        <v>247</v>
      </c>
      <c r="AG1034" s="155" t="s">
        <v>247</v>
      </c>
    </row>
    <row r="1035" spans="25:33">
      <c r="Y1035" s="47">
        <v>4071</v>
      </c>
      <c r="Z1035" s="52" t="s">
        <v>410</v>
      </c>
      <c r="AA1035" s="52" t="s">
        <v>247</v>
      </c>
      <c r="AB1035" s="52" t="s">
        <v>247</v>
      </c>
      <c r="AC1035" s="52" t="s">
        <v>247</v>
      </c>
      <c r="AD1035" s="52" t="s">
        <v>1</v>
      </c>
      <c r="AE1035" s="52" t="s">
        <v>376</v>
      </c>
      <c r="AF1035" s="155" t="s">
        <v>247</v>
      </c>
      <c r="AG1035" s="155" t="s">
        <v>247</v>
      </c>
    </row>
    <row r="1036" spans="25:33">
      <c r="Y1036" s="47">
        <v>4072</v>
      </c>
      <c r="Z1036" s="52" t="s">
        <v>410</v>
      </c>
      <c r="AA1036" s="52" t="s">
        <v>247</v>
      </c>
      <c r="AB1036" s="52" t="s">
        <v>247</v>
      </c>
      <c r="AC1036" s="52" t="s">
        <v>247</v>
      </c>
      <c r="AD1036" s="52" t="s">
        <v>1</v>
      </c>
      <c r="AE1036" s="52" t="s">
        <v>376</v>
      </c>
      <c r="AF1036" s="155" t="s">
        <v>247</v>
      </c>
      <c r="AG1036" s="155" t="s">
        <v>247</v>
      </c>
    </row>
    <row r="1037" spans="25:33">
      <c r="Y1037" s="47">
        <v>4073</v>
      </c>
      <c r="Z1037" s="52" t="s">
        <v>410</v>
      </c>
      <c r="AA1037" s="52" t="s">
        <v>247</v>
      </c>
      <c r="AB1037" s="52" t="s">
        <v>247</v>
      </c>
      <c r="AC1037" s="52" t="s">
        <v>247</v>
      </c>
      <c r="AD1037" s="52" t="s">
        <v>1</v>
      </c>
      <c r="AE1037" s="52" t="s">
        <v>376</v>
      </c>
      <c r="AF1037" s="155" t="s">
        <v>247</v>
      </c>
      <c r="AG1037" s="155" t="s">
        <v>247</v>
      </c>
    </row>
    <row r="1038" spans="25:33">
      <c r="Y1038" s="47">
        <v>4074</v>
      </c>
      <c r="Z1038" s="52" t="s">
        <v>410</v>
      </c>
      <c r="AA1038" s="52" t="s">
        <v>247</v>
      </c>
      <c r="AB1038" s="52" t="s">
        <v>247</v>
      </c>
      <c r="AC1038" s="52" t="s">
        <v>247</v>
      </c>
      <c r="AD1038" s="52" t="s">
        <v>1</v>
      </c>
      <c r="AE1038" s="52" t="s">
        <v>376</v>
      </c>
      <c r="AF1038" s="155" t="s">
        <v>247</v>
      </c>
      <c r="AG1038" s="155" t="s">
        <v>247</v>
      </c>
    </row>
    <row r="1039" spans="25:33">
      <c r="Y1039" s="47">
        <v>4075</v>
      </c>
      <c r="Z1039" s="52" t="s">
        <v>410</v>
      </c>
      <c r="AA1039" s="52" t="s">
        <v>247</v>
      </c>
      <c r="AB1039" s="52" t="s">
        <v>247</v>
      </c>
      <c r="AC1039" s="52" t="s">
        <v>247</v>
      </c>
      <c r="AD1039" s="52" t="s">
        <v>1</v>
      </c>
      <c r="AE1039" s="52" t="s">
        <v>376</v>
      </c>
      <c r="AF1039" s="155" t="s">
        <v>247</v>
      </c>
      <c r="AG1039" s="155" t="s">
        <v>247</v>
      </c>
    </row>
    <row r="1040" spans="25:33">
      <c r="Y1040" s="47">
        <v>4076</v>
      </c>
      <c r="Z1040" s="52" t="s">
        <v>410</v>
      </c>
      <c r="AA1040" s="52" t="s">
        <v>247</v>
      </c>
      <c r="AB1040" s="52" t="s">
        <v>247</v>
      </c>
      <c r="AC1040" s="52" t="s">
        <v>247</v>
      </c>
      <c r="AD1040" s="52" t="s">
        <v>1</v>
      </c>
      <c r="AE1040" s="52" t="s">
        <v>376</v>
      </c>
      <c r="AF1040" s="155" t="s">
        <v>247</v>
      </c>
      <c r="AG1040" s="155" t="s">
        <v>247</v>
      </c>
    </row>
    <row r="1041" spans="25:33">
      <c r="Y1041" s="47">
        <v>4077</v>
      </c>
      <c r="Z1041" s="52" t="s">
        <v>410</v>
      </c>
      <c r="AA1041" s="52" t="s">
        <v>247</v>
      </c>
      <c r="AB1041" s="52" t="s">
        <v>247</v>
      </c>
      <c r="AC1041" s="52" t="s">
        <v>247</v>
      </c>
      <c r="AD1041" s="52" t="s">
        <v>1</v>
      </c>
      <c r="AE1041" s="52" t="s">
        <v>376</v>
      </c>
      <c r="AF1041" s="155" t="s">
        <v>247</v>
      </c>
      <c r="AG1041" s="155" t="s">
        <v>247</v>
      </c>
    </row>
    <row r="1042" spans="25:33">
      <c r="Y1042" s="47">
        <v>4078</v>
      </c>
      <c r="Z1042" s="52" t="s">
        <v>410</v>
      </c>
      <c r="AA1042" s="52" t="s">
        <v>247</v>
      </c>
      <c r="AB1042" s="52" t="s">
        <v>247</v>
      </c>
      <c r="AC1042" s="52" t="s">
        <v>247</v>
      </c>
      <c r="AD1042" s="52" t="s">
        <v>1</v>
      </c>
      <c r="AE1042" s="52" t="s">
        <v>376</v>
      </c>
      <c r="AF1042" s="155" t="s">
        <v>247</v>
      </c>
      <c r="AG1042" s="155" t="s">
        <v>247</v>
      </c>
    </row>
    <row r="1043" spans="25:33">
      <c r="Y1043" s="47">
        <v>4079</v>
      </c>
      <c r="Z1043" s="52" t="s">
        <v>410</v>
      </c>
      <c r="AA1043" s="52" t="s">
        <v>247</v>
      </c>
      <c r="AB1043" s="52" t="s">
        <v>247</v>
      </c>
      <c r="AC1043" s="52" t="s">
        <v>247</v>
      </c>
      <c r="AD1043" s="52" t="s">
        <v>1</v>
      </c>
      <c r="AE1043" s="52" t="s">
        <v>376</v>
      </c>
      <c r="AF1043" s="155" t="s">
        <v>247</v>
      </c>
      <c r="AG1043" s="155" t="s">
        <v>247</v>
      </c>
    </row>
    <row r="1044" spans="25:33">
      <c r="Y1044" s="47">
        <v>4080</v>
      </c>
      <c r="Z1044" s="52" t="s">
        <v>410</v>
      </c>
      <c r="AA1044" s="52" t="s">
        <v>247</v>
      </c>
      <c r="AB1044" s="52" t="s">
        <v>247</v>
      </c>
      <c r="AC1044" s="52" t="s">
        <v>247</v>
      </c>
      <c r="AD1044" s="52" t="s">
        <v>1</v>
      </c>
      <c r="AE1044" s="52" t="s">
        <v>376</v>
      </c>
      <c r="AF1044" s="155" t="s">
        <v>247</v>
      </c>
      <c r="AG1044" s="155" t="s">
        <v>247</v>
      </c>
    </row>
    <row r="1045" spans="25:33">
      <c r="Y1045" s="47">
        <v>4081</v>
      </c>
      <c r="Z1045" s="52" t="s">
        <v>410</v>
      </c>
      <c r="AA1045" s="52" t="s">
        <v>247</v>
      </c>
      <c r="AB1045" s="52" t="s">
        <v>247</v>
      </c>
      <c r="AC1045" s="52" t="s">
        <v>247</v>
      </c>
      <c r="AD1045" s="52" t="s">
        <v>1</v>
      </c>
      <c r="AE1045" s="52" t="s">
        <v>376</v>
      </c>
      <c r="AF1045" s="155" t="s">
        <v>247</v>
      </c>
      <c r="AG1045" s="155" t="s">
        <v>247</v>
      </c>
    </row>
    <row r="1046" spans="25:33">
      <c r="Y1046" s="47">
        <v>4082</v>
      </c>
      <c r="Z1046" s="52" t="s">
        <v>410</v>
      </c>
      <c r="AA1046" s="52" t="s">
        <v>247</v>
      </c>
      <c r="AB1046" s="52" t="s">
        <v>247</v>
      </c>
      <c r="AC1046" s="52" t="s">
        <v>247</v>
      </c>
      <c r="AD1046" s="52" t="s">
        <v>1</v>
      </c>
      <c r="AE1046" s="52" t="s">
        <v>376</v>
      </c>
      <c r="AF1046" s="155" t="s">
        <v>247</v>
      </c>
      <c r="AG1046" s="155" t="s">
        <v>247</v>
      </c>
    </row>
    <row r="1047" spans="25:33">
      <c r="Y1047" s="47">
        <v>4083</v>
      </c>
      <c r="Z1047" s="52" t="s">
        <v>410</v>
      </c>
      <c r="AA1047" s="52" t="s">
        <v>247</v>
      </c>
      <c r="AB1047" s="52" t="s">
        <v>247</v>
      </c>
      <c r="AC1047" s="52" t="s">
        <v>247</v>
      </c>
      <c r="AD1047" s="52" t="s">
        <v>1</v>
      </c>
      <c r="AE1047" s="52" t="s">
        <v>376</v>
      </c>
      <c r="AF1047" s="155" t="s">
        <v>247</v>
      </c>
      <c r="AG1047" s="155" t="s">
        <v>247</v>
      </c>
    </row>
    <row r="1048" spans="25:33">
      <c r="Y1048" s="47">
        <v>4084</v>
      </c>
      <c r="Z1048" s="52" t="s">
        <v>410</v>
      </c>
      <c r="AA1048" s="52" t="s">
        <v>247</v>
      </c>
      <c r="AB1048" s="52" t="s">
        <v>247</v>
      </c>
      <c r="AC1048" s="52" t="s">
        <v>247</v>
      </c>
      <c r="AD1048" s="52" t="s">
        <v>1</v>
      </c>
      <c r="AE1048" s="52" t="s">
        <v>376</v>
      </c>
      <c r="AF1048" s="155" t="s">
        <v>247</v>
      </c>
      <c r="AG1048" s="155" t="s">
        <v>247</v>
      </c>
    </row>
    <row r="1049" spans="25:33">
      <c r="Y1049" s="47">
        <v>4085</v>
      </c>
      <c r="Z1049" s="52" t="s">
        <v>410</v>
      </c>
      <c r="AA1049" s="52" t="s">
        <v>247</v>
      </c>
      <c r="AB1049" s="52" t="s">
        <v>247</v>
      </c>
      <c r="AC1049" s="52" t="s">
        <v>247</v>
      </c>
      <c r="AD1049" s="52" t="s">
        <v>1</v>
      </c>
      <c r="AE1049" s="52" t="s">
        <v>376</v>
      </c>
      <c r="AF1049" s="155" t="s">
        <v>247</v>
      </c>
      <c r="AG1049" s="155" t="s">
        <v>247</v>
      </c>
    </row>
    <row r="1050" spans="25:33">
      <c r="Y1050" s="47">
        <v>4086</v>
      </c>
      <c r="Z1050" s="52" t="s">
        <v>410</v>
      </c>
      <c r="AA1050" s="52" t="s">
        <v>247</v>
      </c>
      <c r="AB1050" s="52" t="s">
        <v>247</v>
      </c>
      <c r="AC1050" s="52" t="s">
        <v>247</v>
      </c>
      <c r="AD1050" s="52" t="s">
        <v>1</v>
      </c>
      <c r="AE1050" s="52" t="s">
        <v>376</v>
      </c>
      <c r="AF1050" s="155" t="s">
        <v>247</v>
      </c>
      <c r="AG1050" s="155" t="s">
        <v>247</v>
      </c>
    </row>
    <row r="1051" spans="25:33">
      <c r="Y1051" s="47">
        <v>4087</v>
      </c>
      <c r="Z1051" s="52" t="s">
        <v>410</v>
      </c>
      <c r="AA1051" s="52" t="s">
        <v>247</v>
      </c>
      <c r="AB1051" s="52" t="s">
        <v>247</v>
      </c>
      <c r="AC1051" s="52" t="s">
        <v>247</v>
      </c>
      <c r="AD1051" s="52" t="s">
        <v>1</v>
      </c>
      <c r="AE1051" s="52" t="s">
        <v>376</v>
      </c>
      <c r="AF1051" s="155" t="s">
        <v>247</v>
      </c>
      <c r="AG1051" s="155" t="s">
        <v>247</v>
      </c>
    </row>
    <row r="1052" spans="25:33">
      <c r="Y1052" s="47">
        <v>4088</v>
      </c>
      <c r="Z1052" s="52" t="s">
        <v>410</v>
      </c>
      <c r="AA1052" s="52" t="s">
        <v>247</v>
      </c>
      <c r="AB1052" s="52" t="s">
        <v>247</v>
      </c>
      <c r="AC1052" s="52" t="s">
        <v>247</v>
      </c>
      <c r="AD1052" s="52" t="s">
        <v>1</v>
      </c>
      <c r="AE1052" s="52" t="s">
        <v>376</v>
      </c>
      <c r="AF1052" s="155" t="s">
        <v>247</v>
      </c>
      <c r="AG1052" s="155" t="s">
        <v>247</v>
      </c>
    </row>
    <row r="1053" spans="25:33">
      <c r="Y1053" s="47">
        <v>4089</v>
      </c>
      <c r="Z1053" s="52" t="s">
        <v>410</v>
      </c>
      <c r="AA1053" s="52" t="s">
        <v>247</v>
      </c>
      <c r="AB1053" s="52" t="s">
        <v>247</v>
      </c>
      <c r="AC1053" s="52" t="s">
        <v>247</v>
      </c>
      <c r="AD1053" s="52" t="s">
        <v>1</v>
      </c>
      <c r="AE1053" s="52" t="s">
        <v>376</v>
      </c>
      <c r="AF1053" s="155" t="s">
        <v>247</v>
      </c>
      <c r="AG1053" s="155" t="s">
        <v>247</v>
      </c>
    </row>
    <row r="1054" spans="25:33">
      <c r="Y1054" s="47">
        <v>4090</v>
      </c>
      <c r="Z1054" s="52" t="s">
        <v>410</v>
      </c>
      <c r="AA1054" s="52" t="s">
        <v>247</v>
      </c>
      <c r="AB1054" s="52" t="s">
        <v>247</v>
      </c>
      <c r="AC1054" s="52" t="s">
        <v>247</v>
      </c>
      <c r="AD1054" s="52" t="s">
        <v>1</v>
      </c>
      <c r="AE1054" s="52" t="s">
        <v>376</v>
      </c>
      <c r="AF1054" s="155" t="s">
        <v>247</v>
      </c>
      <c r="AG1054" s="155" t="s">
        <v>247</v>
      </c>
    </row>
    <row r="1055" spans="25:33">
      <c r="Y1055" s="47">
        <v>4091</v>
      </c>
      <c r="Z1055" s="52" t="s">
        <v>410</v>
      </c>
      <c r="AA1055" s="52" t="s">
        <v>247</v>
      </c>
      <c r="AB1055" s="52" t="s">
        <v>247</v>
      </c>
      <c r="AC1055" s="52" t="s">
        <v>247</v>
      </c>
      <c r="AD1055" s="52" t="s">
        <v>1</v>
      </c>
      <c r="AE1055" s="52" t="s">
        <v>376</v>
      </c>
      <c r="AF1055" s="155" t="s">
        <v>247</v>
      </c>
      <c r="AG1055" s="155" t="s">
        <v>247</v>
      </c>
    </row>
    <row r="1056" spans="25:33">
      <c r="Y1056" s="47">
        <v>4092</v>
      </c>
      <c r="Z1056" s="52" t="s">
        <v>410</v>
      </c>
      <c r="AA1056" s="52" t="s">
        <v>247</v>
      </c>
      <c r="AB1056" s="52" t="s">
        <v>247</v>
      </c>
      <c r="AC1056" s="52" t="s">
        <v>247</v>
      </c>
      <c r="AD1056" s="52" t="s">
        <v>1</v>
      </c>
      <c r="AE1056" s="52" t="s">
        <v>376</v>
      </c>
      <c r="AF1056" s="155" t="s">
        <v>247</v>
      </c>
      <c r="AG1056" s="155" t="s">
        <v>247</v>
      </c>
    </row>
    <row r="1057" spans="25:33">
      <c r="Y1057" s="47">
        <v>4093</v>
      </c>
      <c r="Z1057" s="52" t="s">
        <v>410</v>
      </c>
      <c r="AA1057" s="52" t="s">
        <v>247</v>
      </c>
      <c r="AB1057" s="52" t="s">
        <v>247</v>
      </c>
      <c r="AC1057" s="52" t="s">
        <v>247</v>
      </c>
      <c r="AD1057" s="52" t="s">
        <v>1</v>
      </c>
      <c r="AE1057" s="52" t="s">
        <v>376</v>
      </c>
      <c r="AF1057" s="155" t="s">
        <v>247</v>
      </c>
      <c r="AG1057" s="155" t="s">
        <v>247</v>
      </c>
    </row>
    <row r="1058" spans="25:33">
      <c r="Y1058" s="47">
        <v>4094</v>
      </c>
      <c r="Z1058" s="52" t="s">
        <v>410</v>
      </c>
      <c r="AA1058" s="52" t="s">
        <v>247</v>
      </c>
      <c r="AB1058" s="52" t="s">
        <v>247</v>
      </c>
      <c r="AC1058" s="52" t="s">
        <v>247</v>
      </c>
      <c r="AD1058" s="52" t="s">
        <v>1</v>
      </c>
      <c r="AE1058" s="52" t="s">
        <v>376</v>
      </c>
      <c r="AF1058" s="155" t="s">
        <v>247</v>
      </c>
      <c r="AG1058" s="155" t="s">
        <v>247</v>
      </c>
    </row>
    <row r="1059" spans="25:33">
      <c r="Y1059" s="47">
        <v>4095</v>
      </c>
      <c r="Z1059" s="52" t="s">
        <v>410</v>
      </c>
      <c r="AA1059" s="52" t="s">
        <v>247</v>
      </c>
      <c r="AB1059" s="52" t="s">
        <v>247</v>
      </c>
      <c r="AC1059" s="52" t="s">
        <v>247</v>
      </c>
      <c r="AD1059" s="52" t="s">
        <v>1</v>
      </c>
      <c r="AE1059" s="52" t="s">
        <v>376</v>
      </c>
      <c r="AF1059" s="155" t="s">
        <v>247</v>
      </c>
      <c r="AG1059" s="155" t="s">
        <v>247</v>
      </c>
    </row>
    <row r="1060" spans="25:33">
      <c r="Y1060" s="47">
        <v>4096</v>
      </c>
      <c r="Z1060" s="52" t="s">
        <v>410</v>
      </c>
      <c r="AA1060" s="52" t="s">
        <v>247</v>
      </c>
      <c r="AB1060" s="52" t="s">
        <v>247</v>
      </c>
      <c r="AC1060" s="52" t="s">
        <v>247</v>
      </c>
      <c r="AD1060" s="52" t="s">
        <v>1</v>
      </c>
      <c r="AE1060" s="52" t="s">
        <v>376</v>
      </c>
      <c r="AF1060" s="155" t="s">
        <v>247</v>
      </c>
      <c r="AG1060" s="155" t="s">
        <v>247</v>
      </c>
    </row>
    <row r="1061" spans="25:33">
      <c r="Y1061" s="47">
        <v>4097</v>
      </c>
      <c r="Z1061" s="52" t="s">
        <v>410</v>
      </c>
      <c r="AA1061" s="52" t="s">
        <v>247</v>
      </c>
      <c r="AB1061" s="52" t="s">
        <v>247</v>
      </c>
      <c r="AC1061" s="52" t="s">
        <v>247</v>
      </c>
      <c r="AD1061" s="52" t="s">
        <v>1</v>
      </c>
      <c r="AE1061" s="52" t="s">
        <v>376</v>
      </c>
      <c r="AF1061" s="155" t="s">
        <v>247</v>
      </c>
      <c r="AG1061" s="155" t="s">
        <v>247</v>
      </c>
    </row>
    <row r="1062" spans="25:33">
      <c r="Y1062" s="47">
        <v>4098</v>
      </c>
      <c r="Z1062" s="52" t="s">
        <v>410</v>
      </c>
      <c r="AA1062" s="52" t="s">
        <v>247</v>
      </c>
      <c r="AB1062" s="52" t="s">
        <v>247</v>
      </c>
      <c r="AC1062" s="52" t="s">
        <v>247</v>
      </c>
      <c r="AD1062" s="52" t="s">
        <v>1</v>
      </c>
      <c r="AE1062" s="52" t="s">
        <v>376</v>
      </c>
      <c r="AF1062" s="155" t="s">
        <v>247</v>
      </c>
      <c r="AG1062" s="155" t="s">
        <v>247</v>
      </c>
    </row>
    <row r="1063" spans="25:33">
      <c r="Y1063" s="47">
        <v>4099</v>
      </c>
      <c r="Z1063" s="52" t="s">
        <v>410</v>
      </c>
      <c r="AA1063" s="52" t="s">
        <v>247</v>
      </c>
      <c r="AB1063" s="52" t="s">
        <v>247</v>
      </c>
      <c r="AC1063" s="52" t="s">
        <v>247</v>
      </c>
      <c r="AD1063" s="52" t="s">
        <v>1</v>
      </c>
      <c r="AE1063" s="52" t="s">
        <v>376</v>
      </c>
      <c r="AF1063" s="155" t="s">
        <v>247</v>
      </c>
      <c r="AG1063" s="155" t="s">
        <v>247</v>
      </c>
    </row>
    <row r="1064" spans="25:33">
      <c r="Y1064" s="47">
        <v>4100</v>
      </c>
      <c r="Z1064" s="52" t="s">
        <v>410</v>
      </c>
      <c r="AA1064" s="52" t="s">
        <v>247</v>
      </c>
      <c r="AB1064" s="52" t="s">
        <v>247</v>
      </c>
      <c r="AC1064" s="52" t="s">
        <v>247</v>
      </c>
      <c r="AD1064" s="52" t="s">
        <v>1</v>
      </c>
      <c r="AE1064" s="52" t="s">
        <v>376</v>
      </c>
      <c r="AF1064" s="155" t="s">
        <v>247</v>
      </c>
      <c r="AG1064" s="155" t="s">
        <v>247</v>
      </c>
    </row>
    <row r="1065" spans="25:33">
      <c r="Y1065" s="47">
        <v>4101</v>
      </c>
      <c r="Z1065" s="52" t="s">
        <v>410</v>
      </c>
      <c r="AA1065" s="52" t="s">
        <v>247</v>
      </c>
      <c r="AB1065" s="52" t="s">
        <v>247</v>
      </c>
      <c r="AC1065" s="52" t="s">
        <v>247</v>
      </c>
      <c r="AD1065" s="52" t="s">
        <v>1</v>
      </c>
      <c r="AE1065" s="52" t="s">
        <v>376</v>
      </c>
      <c r="AF1065" s="155" t="s">
        <v>247</v>
      </c>
      <c r="AG1065" s="155" t="s">
        <v>247</v>
      </c>
    </row>
    <row r="1066" spans="25:33">
      <c r="Y1066" s="47">
        <v>4102</v>
      </c>
      <c r="Z1066" s="52" t="s">
        <v>410</v>
      </c>
      <c r="AA1066" s="52" t="s">
        <v>247</v>
      </c>
      <c r="AB1066" s="52" t="s">
        <v>247</v>
      </c>
      <c r="AC1066" s="52" t="s">
        <v>247</v>
      </c>
      <c r="AD1066" s="52" t="s">
        <v>1</v>
      </c>
      <c r="AE1066" s="52" t="s">
        <v>376</v>
      </c>
      <c r="AF1066" s="155" t="s">
        <v>247</v>
      </c>
      <c r="AG1066" s="155" t="s">
        <v>247</v>
      </c>
    </row>
    <row r="1067" spans="25:33">
      <c r="Y1067" s="47">
        <v>4103</v>
      </c>
      <c r="Z1067" s="52" t="s">
        <v>410</v>
      </c>
      <c r="AA1067" s="52" t="s">
        <v>247</v>
      </c>
      <c r="AB1067" s="52" t="s">
        <v>247</v>
      </c>
      <c r="AC1067" s="52" t="s">
        <v>247</v>
      </c>
      <c r="AD1067" s="52" t="s">
        <v>1</v>
      </c>
      <c r="AE1067" s="52" t="s">
        <v>376</v>
      </c>
      <c r="AF1067" s="155" t="s">
        <v>247</v>
      </c>
      <c r="AG1067" s="155" t="s">
        <v>247</v>
      </c>
    </row>
    <row r="1068" spans="25:33">
      <c r="Y1068" s="47">
        <v>4104</v>
      </c>
      <c r="Z1068" s="52" t="s">
        <v>410</v>
      </c>
      <c r="AA1068" s="52" t="s">
        <v>247</v>
      </c>
      <c r="AB1068" s="52" t="s">
        <v>247</v>
      </c>
      <c r="AC1068" s="52" t="s">
        <v>247</v>
      </c>
      <c r="AD1068" s="52" t="s">
        <v>1</v>
      </c>
      <c r="AE1068" s="52" t="s">
        <v>376</v>
      </c>
      <c r="AF1068" s="155" t="s">
        <v>247</v>
      </c>
      <c r="AG1068" s="155" t="s">
        <v>247</v>
      </c>
    </row>
    <row r="1069" spans="25:33">
      <c r="Y1069" s="47">
        <v>4105</v>
      </c>
      <c r="Z1069" s="52" t="s">
        <v>410</v>
      </c>
      <c r="AA1069" s="52" t="s">
        <v>247</v>
      </c>
      <c r="AB1069" s="52" t="s">
        <v>247</v>
      </c>
      <c r="AC1069" s="52" t="s">
        <v>247</v>
      </c>
      <c r="AD1069" s="52" t="s">
        <v>1</v>
      </c>
      <c r="AE1069" s="52" t="s">
        <v>376</v>
      </c>
      <c r="AF1069" s="155" t="s">
        <v>247</v>
      </c>
      <c r="AG1069" s="155" t="s">
        <v>247</v>
      </c>
    </row>
    <row r="1070" spans="25:33">
      <c r="Y1070" s="47">
        <v>4106</v>
      </c>
      <c r="Z1070" s="52" t="s">
        <v>410</v>
      </c>
      <c r="AA1070" s="52" t="s">
        <v>247</v>
      </c>
      <c r="AB1070" s="52" t="s">
        <v>247</v>
      </c>
      <c r="AC1070" s="52" t="s">
        <v>247</v>
      </c>
      <c r="AD1070" s="52" t="s">
        <v>1</v>
      </c>
      <c r="AE1070" s="52" t="s">
        <v>376</v>
      </c>
      <c r="AF1070" s="155" t="s">
        <v>247</v>
      </c>
      <c r="AG1070" s="155" t="s">
        <v>247</v>
      </c>
    </row>
    <row r="1071" spans="25:33">
      <c r="Y1071" s="47">
        <v>4107</v>
      </c>
      <c r="Z1071" s="52" t="s">
        <v>410</v>
      </c>
      <c r="AA1071" s="52" t="s">
        <v>247</v>
      </c>
      <c r="AB1071" s="52" t="s">
        <v>247</v>
      </c>
      <c r="AC1071" s="52" t="s">
        <v>247</v>
      </c>
      <c r="AD1071" s="52" t="s">
        <v>1</v>
      </c>
      <c r="AE1071" s="52" t="s">
        <v>376</v>
      </c>
      <c r="AF1071" s="155" t="s">
        <v>247</v>
      </c>
      <c r="AG1071" s="155" t="s">
        <v>247</v>
      </c>
    </row>
    <row r="1072" spans="25:33">
      <c r="Y1072" s="47">
        <v>4108</v>
      </c>
      <c r="Z1072" s="52" t="s">
        <v>410</v>
      </c>
      <c r="AA1072" s="52" t="s">
        <v>247</v>
      </c>
      <c r="AB1072" s="52" t="s">
        <v>247</v>
      </c>
      <c r="AC1072" s="52" t="s">
        <v>247</v>
      </c>
      <c r="AD1072" s="52" t="s">
        <v>1</v>
      </c>
      <c r="AE1072" s="52" t="s">
        <v>376</v>
      </c>
      <c r="AF1072" s="155" t="s">
        <v>247</v>
      </c>
      <c r="AG1072" s="155" t="s">
        <v>247</v>
      </c>
    </row>
    <row r="1073" spans="25:33">
      <c r="Y1073" s="47">
        <v>4109</v>
      </c>
      <c r="Z1073" s="52" t="s">
        <v>410</v>
      </c>
      <c r="AA1073" s="52" t="s">
        <v>247</v>
      </c>
      <c r="AB1073" s="52" t="s">
        <v>247</v>
      </c>
      <c r="AC1073" s="52" t="s">
        <v>247</v>
      </c>
      <c r="AD1073" s="52" t="s">
        <v>1</v>
      </c>
      <c r="AE1073" s="52" t="s">
        <v>376</v>
      </c>
      <c r="AF1073" s="155" t="s">
        <v>247</v>
      </c>
      <c r="AG1073" s="155" t="s">
        <v>247</v>
      </c>
    </row>
    <row r="1074" spans="25:33">
      <c r="Y1074" s="47">
        <v>4110</v>
      </c>
      <c r="Z1074" s="52" t="s">
        <v>410</v>
      </c>
      <c r="AA1074" s="52" t="s">
        <v>247</v>
      </c>
      <c r="AB1074" s="52" t="s">
        <v>247</v>
      </c>
      <c r="AC1074" s="52" t="s">
        <v>247</v>
      </c>
      <c r="AD1074" s="52" t="s">
        <v>1</v>
      </c>
      <c r="AE1074" s="52" t="s">
        <v>376</v>
      </c>
      <c r="AF1074" s="155" t="s">
        <v>247</v>
      </c>
      <c r="AG1074" s="155" t="s">
        <v>247</v>
      </c>
    </row>
    <row r="1075" spans="25:33">
      <c r="Y1075" s="47">
        <v>4111</v>
      </c>
      <c r="Z1075" s="52" t="s">
        <v>410</v>
      </c>
      <c r="AA1075" s="52" t="s">
        <v>247</v>
      </c>
      <c r="AB1075" s="52" t="s">
        <v>247</v>
      </c>
      <c r="AC1075" s="52" t="s">
        <v>247</v>
      </c>
      <c r="AD1075" s="52" t="s">
        <v>1</v>
      </c>
      <c r="AE1075" s="52" t="s">
        <v>376</v>
      </c>
      <c r="AF1075" s="155" t="s">
        <v>247</v>
      </c>
      <c r="AG1075" s="155" t="s">
        <v>247</v>
      </c>
    </row>
    <row r="1076" spans="25:33">
      <c r="Y1076" s="47">
        <v>4112</v>
      </c>
      <c r="Z1076" s="52" t="s">
        <v>410</v>
      </c>
      <c r="AA1076" s="52" t="s">
        <v>247</v>
      </c>
      <c r="AB1076" s="52" t="s">
        <v>247</v>
      </c>
      <c r="AC1076" s="52" t="s">
        <v>247</v>
      </c>
      <c r="AD1076" s="52" t="s">
        <v>1</v>
      </c>
      <c r="AE1076" s="52" t="s">
        <v>376</v>
      </c>
      <c r="AF1076" s="155" t="s">
        <v>247</v>
      </c>
      <c r="AG1076" s="155" t="s">
        <v>247</v>
      </c>
    </row>
    <row r="1077" spans="25:33">
      <c r="Y1077" s="47">
        <v>4113</v>
      </c>
      <c r="Z1077" s="52" t="s">
        <v>410</v>
      </c>
      <c r="AA1077" s="52" t="s">
        <v>247</v>
      </c>
      <c r="AB1077" s="52" t="s">
        <v>247</v>
      </c>
      <c r="AC1077" s="52" t="s">
        <v>247</v>
      </c>
      <c r="AD1077" s="52" t="s">
        <v>1</v>
      </c>
      <c r="AE1077" s="52" t="s">
        <v>376</v>
      </c>
      <c r="AF1077" s="155" t="s">
        <v>247</v>
      </c>
      <c r="AG1077" s="155" t="s">
        <v>247</v>
      </c>
    </row>
    <row r="1078" spans="25:33">
      <c r="Y1078" s="47">
        <v>4114</v>
      </c>
      <c r="Z1078" s="52" t="s">
        <v>410</v>
      </c>
      <c r="AA1078" s="52" t="s">
        <v>247</v>
      </c>
      <c r="AB1078" s="52" t="s">
        <v>247</v>
      </c>
      <c r="AC1078" s="52" t="s">
        <v>247</v>
      </c>
      <c r="AD1078" s="52" t="s">
        <v>1</v>
      </c>
      <c r="AE1078" s="52" t="s">
        <v>376</v>
      </c>
      <c r="AF1078" s="155" t="s">
        <v>247</v>
      </c>
      <c r="AG1078" s="155" t="s">
        <v>247</v>
      </c>
    </row>
    <row r="1079" spans="25:33">
      <c r="Y1079" s="47">
        <v>4115</v>
      </c>
      <c r="Z1079" s="52" t="s">
        <v>410</v>
      </c>
      <c r="AA1079" s="52" t="s">
        <v>247</v>
      </c>
      <c r="AB1079" s="52" t="s">
        <v>247</v>
      </c>
      <c r="AC1079" s="52" t="s">
        <v>247</v>
      </c>
      <c r="AD1079" s="52" t="s">
        <v>1</v>
      </c>
      <c r="AE1079" s="52" t="s">
        <v>376</v>
      </c>
      <c r="AF1079" s="155" t="s">
        <v>247</v>
      </c>
      <c r="AG1079" s="155" t="s">
        <v>247</v>
      </c>
    </row>
    <row r="1080" spans="25:33">
      <c r="Y1080" s="47">
        <v>4116</v>
      </c>
      <c r="Z1080" s="52" t="s">
        <v>410</v>
      </c>
      <c r="AA1080" s="52" t="s">
        <v>247</v>
      </c>
      <c r="AB1080" s="52" t="s">
        <v>247</v>
      </c>
      <c r="AC1080" s="52" t="s">
        <v>247</v>
      </c>
      <c r="AD1080" s="52" t="s">
        <v>1</v>
      </c>
      <c r="AE1080" s="52" t="s">
        <v>376</v>
      </c>
      <c r="AF1080" s="155" t="s">
        <v>247</v>
      </c>
      <c r="AG1080" s="155" t="s">
        <v>247</v>
      </c>
    </row>
    <row r="1081" spans="25:33">
      <c r="Y1081" s="47">
        <v>4117</v>
      </c>
      <c r="Z1081" s="52" t="s">
        <v>410</v>
      </c>
      <c r="AA1081" s="52" t="s">
        <v>247</v>
      </c>
      <c r="AB1081" s="52" t="s">
        <v>247</v>
      </c>
      <c r="AC1081" s="52" t="s">
        <v>247</v>
      </c>
      <c r="AD1081" s="52" t="s">
        <v>1</v>
      </c>
      <c r="AE1081" s="52" t="s">
        <v>376</v>
      </c>
      <c r="AF1081" s="155" t="s">
        <v>247</v>
      </c>
      <c r="AG1081" s="155" t="s">
        <v>247</v>
      </c>
    </row>
    <row r="1082" spans="25:33">
      <c r="Y1082" s="47">
        <v>4118</v>
      </c>
      <c r="Z1082" s="52" t="s">
        <v>410</v>
      </c>
      <c r="AA1082" s="52" t="s">
        <v>247</v>
      </c>
      <c r="AB1082" s="52" t="s">
        <v>247</v>
      </c>
      <c r="AC1082" s="52" t="s">
        <v>247</v>
      </c>
      <c r="AD1082" s="52" t="s">
        <v>1</v>
      </c>
      <c r="AE1082" s="52" t="s">
        <v>376</v>
      </c>
      <c r="AF1082" s="155" t="s">
        <v>247</v>
      </c>
      <c r="AG1082" s="155" t="s">
        <v>247</v>
      </c>
    </row>
    <row r="1083" spans="25:33">
      <c r="Y1083" s="47">
        <v>4119</v>
      </c>
      <c r="Z1083" s="52" t="s">
        <v>410</v>
      </c>
      <c r="AA1083" s="52" t="s">
        <v>247</v>
      </c>
      <c r="AB1083" s="52" t="s">
        <v>247</v>
      </c>
      <c r="AC1083" s="52" t="s">
        <v>247</v>
      </c>
      <c r="AD1083" s="52" t="s">
        <v>1</v>
      </c>
      <c r="AE1083" s="52" t="s">
        <v>376</v>
      </c>
      <c r="AF1083" s="155" t="s">
        <v>247</v>
      </c>
      <c r="AG1083" s="155" t="s">
        <v>247</v>
      </c>
    </row>
    <row r="1084" spans="25:33">
      <c r="Y1084" s="47">
        <v>4120</v>
      </c>
      <c r="Z1084" s="52" t="s">
        <v>410</v>
      </c>
      <c r="AA1084" s="52" t="s">
        <v>247</v>
      </c>
      <c r="AB1084" s="52" t="s">
        <v>247</v>
      </c>
      <c r="AC1084" s="52" t="s">
        <v>247</v>
      </c>
      <c r="AD1084" s="52" t="s">
        <v>1</v>
      </c>
      <c r="AE1084" s="52" t="s">
        <v>376</v>
      </c>
      <c r="AF1084" s="155" t="s">
        <v>247</v>
      </c>
      <c r="AG1084" s="155" t="s">
        <v>247</v>
      </c>
    </row>
    <row r="1085" spans="25:33">
      <c r="Y1085" s="47">
        <v>4121</v>
      </c>
      <c r="Z1085" s="52" t="s">
        <v>410</v>
      </c>
      <c r="AA1085" s="52" t="s">
        <v>247</v>
      </c>
      <c r="AB1085" s="52" t="s">
        <v>247</v>
      </c>
      <c r="AC1085" s="52" t="s">
        <v>247</v>
      </c>
      <c r="AD1085" s="52" t="s">
        <v>1</v>
      </c>
      <c r="AE1085" s="52" t="s">
        <v>376</v>
      </c>
      <c r="AF1085" s="155" t="s">
        <v>247</v>
      </c>
      <c r="AG1085" s="155" t="s">
        <v>247</v>
      </c>
    </row>
    <row r="1086" spans="25:33">
      <c r="Y1086" s="47">
        <v>4122</v>
      </c>
      <c r="Z1086" s="52" t="s">
        <v>410</v>
      </c>
      <c r="AA1086" s="52" t="s">
        <v>247</v>
      </c>
      <c r="AB1086" s="52" t="s">
        <v>247</v>
      </c>
      <c r="AC1086" s="52" t="s">
        <v>247</v>
      </c>
      <c r="AD1086" s="52" t="s">
        <v>1</v>
      </c>
      <c r="AE1086" s="52" t="s">
        <v>376</v>
      </c>
      <c r="AF1086" s="155" t="s">
        <v>247</v>
      </c>
      <c r="AG1086" s="155" t="s">
        <v>247</v>
      </c>
    </row>
    <row r="1087" spans="25:33">
      <c r="Y1087" s="47">
        <v>4123</v>
      </c>
      <c r="Z1087" s="52" t="s">
        <v>410</v>
      </c>
      <c r="AA1087" s="52" t="s">
        <v>247</v>
      </c>
      <c r="AB1087" s="52" t="s">
        <v>247</v>
      </c>
      <c r="AC1087" s="52" t="s">
        <v>247</v>
      </c>
      <c r="AD1087" s="52" t="s">
        <v>1</v>
      </c>
      <c r="AE1087" s="52" t="s">
        <v>376</v>
      </c>
      <c r="AF1087" s="155" t="s">
        <v>247</v>
      </c>
      <c r="AG1087" s="155" t="s">
        <v>247</v>
      </c>
    </row>
    <row r="1088" spans="25:33">
      <c r="Y1088" s="47">
        <v>4124</v>
      </c>
      <c r="Z1088" s="52" t="s">
        <v>410</v>
      </c>
      <c r="AA1088" s="52" t="s">
        <v>247</v>
      </c>
      <c r="AB1088" s="52" t="s">
        <v>247</v>
      </c>
      <c r="AC1088" s="52" t="s">
        <v>247</v>
      </c>
      <c r="AD1088" s="52" t="s">
        <v>1</v>
      </c>
      <c r="AE1088" s="52" t="s">
        <v>376</v>
      </c>
      <c r="AF1088" s="155" t="s">
        <v>247</v>
      </c>
      <c r="AG1088" s="155" t="s">
        <v>247</v>
      </c>
    </row>
    <row r="1089" spans="25:33">
      <c r="Y1089" s="47">
        <v>4125</v>
      </c>
      <c r="Z1089" s="52" t="s">
        <v>410</v>
      </c>
      <c r="AA1089" s="52" t="s">
        <v>247</v>
      </c>
      <c r="AB1089" s="52" t="s">
        <v>247</v>
      </c>
      <c r="AC1089" s="52" t="s">
        <v>247</v>
      </c>
      <c r="AD1089" s="52" t="s">
        <v>1</v>
      </c>
      <c r="AE1089" s="52" t="s">
        <v>376</v>
      </c>
      <c r="AF1089" s="155" t="s">
        <v>247</v>
      </c>
      <c r="AG1089" s="155" t="s">
        <v>247</v>
      </c>
    </row>
    <row r="1090" spans="25:33">
      <c r="Y1090" s="47">
        <v>4126</v>
      </c>
      <c r="Z1090" s="52" t="s">
        <v>410</v>
      </c>
      <c r="AA1090" s="52" t="s">
        <v>247</v>
      </c>
      <c r="AB1090" s="52" t="s">
        <v>247</v>
      </c>
      <c r="AC1090" s="52" t="s">
        <v>247</v>
      </c>
      <c r="AD1090" s="52" t="s">
        <v>1</v>
      </c>
      <c r="AE1090" s="52" t="s">
        <v>376</v>
      </c>
      <c r="AF1090" s="155" t="s">
        <v>247</v>
      </c>
      <c r="AG1090" s="155" t="s">
        <v>247</v>
      </c>
    </row>
    <row r="1091" spans="25:33">
      <c r="Y1091" s="47">
        <v>4127</v>
      </c>
      <c r="Z1091" s="52" t="s">
        <v>410</v>
      </c>
      <c r="AA1091" s="52" t="s">
        <v>247</v>
      </c>
      <c r="AB1091" s="52" t="s">
        <v>247</v>
      </c>
      <c r="AC1091" s="52" t="s">
        <v>247</v>
      </c>
      <c r="AD1091" s="52" t="s">
        <v>1</v>
      </c>
      <c r="AE1091" s="52" t="s">
        <v>376</v>
      </c>
      <c r="AF1091" s="155" t="s">
        <v>247</v>
      </c>
      <c r="AG1091" s="155" t="s">
        <v>247</v>
      </c>
    </row>
    <row r="1092" spans="25:33">
      <c r="Y1092" s="47">
        <v>4128</v>
      </c>
      <c r="Z1092" s="52" t="s">
        <v>410</v>
      </c>
      <c r="AA1092" s="52" t="s">
        <v>247</v>
      </c>
      <c r="AB1092" s="52" t="s">
        <v>247</v>
      </c>
      <c r="AC1092" s="52" t="s">
        <v>247</v>
      </c>
      <c r="AD1092" s="52" t="s">
        <v>1</v>
      </c>
      <c r="AE1092" s="52" t="s">
        <v>376</v>
      </c>
      <c r="AF1092" s="155" t="s">
        <v>247</v>
      </c>
      <c r="AG1092" s="155" t="s">
        <v>247</v>
      </c>
    </row>
    <row r="1093" spans="25:33">
      <c r="Y1093" s="47">
        <v>4129</v>
      </c>
      <c r="Z1093" s="52" t="s">
        <v>410</v>
      </c>
      <c r="AA1093" s="52" t="s">
        <v>247</v>
      </c>
      <c r="AB1093" s="52" t="s">
        <v>247</v>
      </c>
      <c r="AC1093" s="52" t="s">
        <v>247</v>
      </c>
      <c r="AD1093" s="52" t="s">
        <v>1</v>
      </c>
      <c r="AE1093" s="52" t="s">
        <v>376</v>
      </c>
      <c r="AF1093" s="155" t="s">
        <v>247</v>
      </c>
      <c r="AG1093" s="155" t="s">
        <v>247</v>
      </c>
    </row>
    <row r="1094" spans="25:33">
      <c r="Y1094" s="47">
        <v>4130</v>
      </c>
      <c r="Z1094" s="52" t="s">
        <v>410</v>
      </c>
      <c r="AA1094" s="52" t="s">
        <v>247</v>
      </c>
      <c r="AB1094" s="52" t="s">
        <v>247</v>
      </c>
      <c r="AC1094" s="52" t="s">
        <v>247</v>
      </c>
      <c r="AD1094" s="52" t="s">
        <v>1</v>
      </c>
      <c r="AE1094" s="52" t="s">
        <v>376</v>
      </c>
      <c r="AF1094" s="155" t="s">
        <v>247</v>
      </c>
      <c r="AG1094" s="155" t="s">
        <v>247</v>
      </c>
    </row>
    <row r="1095" spans="25:33">
      <c r="Y1095" s="47">
        <v>4131</v>
      </c>
      <c r="Z1095" s="52" t="s">
        <v>410</v>
      </c>
      <c r="AA1095" s="52" t="s">
        <v>247</v>
      </c>
      <c r="AB1095" s="52" t="s">
        <v>247</v>
      </c>
      <c r="AC1095" s="52" t="s">
        <v>247</v>
      </c>
      <c r="AD1095" s="52" t="s">
        <v>1</v>
      </c>
      <c r="AE1095" s="52" t="s">
        <v>376</v>
      </c>
      <c r="AF1095" s="155" t="s">
        <v>247</v>
      </c>
      <c r="AG1095" s="155" t="s">
        <v>247</v>
      </c>
    </row>
    <row r="1096" spans="25:33">
      <c r="Y1096" s="47">
        <v>4132</v>
      </c>
      <c r="Z1096" s="52" t="s">
        <v>410</v>
      </c>
      <c r="AA1096" s="52" t="s">
        <v>247</v>
      </c>
      <c r="AB1096" s="52" t="s">
        <v>247</v>
      </c>
      <c r="AC1096" s="52" t="s">
        <v>247</v>
      </c>
      <c r="AD1096" s="52" t="s">
        <v>1</v>
      </c>
      <c r="AE1096" s="52" t="s">
        <v>376</v>
      </c>
      <c r="AF1096" s="155" t="s">
        <v>247</v>
      </c>
      <c r="AG1096" s="155" t="s">
        <v>247</v>
      </c>
    </row>
    <row r="1097" spans="25:33">
      <c r="Y1097" s="47">
        <v>4133</v>
      </c>
      <c r="Z1097" s="52" t="s">
        <v>410</v>
      </c>
      <c r="AA1097" s="52" t="s">
        <v>247</v>
      </c>
      <c r="AB1097" s="52" t="s">
        <v>247</v>
      </c>
      <c r="AC1097" s="52" t="s">
        <v>247</v>
      </c>
      <c r="AD1097" s="52" t="s">
        <v>1</v>
      </c>
      <c r="AE1097" s="52" t="s">
        <v>376</v>
      </c>
      <c r="AF1097" s="155" t="s">
        <v>247</v>
      </c>
      <c r="AG1097" s="155" t="s">
        <v>247</v>
      </c>
    </row>
    <row r="1098" spans="25:33">
      <c r="Y1098" s="47">
        <v>4134</v>
      </c>
      <c r="Z1098" s="52" t="s">
        <v>410</v>
      </c>
      <c r="AA1098" s="52" t="s">
        <v>247</v>
      </c>
      <c r="AB1098" s="52" t="s">
        <v>247</v>
      </c>
      <c r="AC1098" s="52" t="s">
        <v>247</v>
      </c>
      <c r="AD1098" s="52" t="s">
        <v>1</v>
      </c>
      <c r="AE1098" s="52" t="s">
        <v>376</v>
      </c>
      <c r="AF1098" s="155" t="s">
        <v>247</v>
      </c>
      <c r="AG1098" s="155" t="s">
        <v>247</v>
      </c>
    </row>
    <row r="1099" spans="25:33">
      <c r="Y1099" s="47">
        <v>4135</v>
      </c>
      <c r="Z1099" s="52" t="s">
        <v>410</v>
      </c>
      <c r="AA1099" s="52" t="s">
        <v>247</v>
      </c>
      <c r="AB1099" s="52" t="s">
        <v>247</v>
      </c>
      <c r="AC1099" s="52" t="s">
        <v>247</v>
      </c>
      <c r="AD1099" s="52" t="s">
        <v>1</v>
      </c>
      <c r="AE1099" s="52" t="s">
        <v>376</v>
      </c>
      <c r="AF1099" s="155" t="s">
        <v>247</v>
      </c>
      <c r="AG1099" s="155" t="s">
        <v>247</v>
      </c>
    </row>
    <row r="1100" spans="25:33">
      <c r="Y1100" s="47">
        <v>4136</v>
      </c>
      <c r="Z1100" s="52" t="s">
        <v>410</v>
      </c>
      <c r="AA1100" s="52" t="s">
        <v>247</v>
      </c>
      <c r="AB1100" s="52" t="s">
        <v>247</v>
      </c>
      <c r="AC1100" s="52" t="s">
        <v>247</v>
      </c>
      <c r="AD1100" s="52" t="s">
        <v>1</v>
      </c>
      <c r="AE1100" s="52" t="s">
        <v>376</v>
      </c>
      <c r="AF1100" s="155" t="s">
        <v>247</v>
      </c>
      <c r="AG1100" s="155" t="s">
        <v>247</v>
      </c>
    </row>
    <row r="1101" spans="25:33">
      <c r="Y1101" s="47">
        <v>4137</v>
      </c>
      <c r="Z1101" s="52" t="s">
        <v>410</v>
      </c>
      <c r="AA1101" s="52" t="s">
        <v>247</v>
      </c>
      <c r="AB1101" s="52" t="s">
        <v>247</v>
      </c>
      <c r="AC1101" s="52" t="s">
        <v>247</v>
      </c>
      <c r="AD1101" s="52" t="s">
        <v>1</v>
      </c>
      <c r="AE1101" s="52" t="s">
        <v>376</v>
      </c>
      <c r="AF1101" s="155" t="s">
        <v>247</v>
      </c>
      <c r="AG1101" s="155" t="s">
        <v>247</v>
      </c>
    </row>
    <row r="1102" spans="25:33">
      <c r="Y1102" s="47">
        <v>4138</v>
      </c>
      <c r="Z1102" s="52" t="s">
        <v>410</v>
      </c>
      <c r="AA1102" s="52" t="s">
        <v>247</v>
      </c>
      <c r="AB1102" s="52" t="s">
        <v>247</v>
      </c>
      <c r="AC1102" s="52" t="s">
        <v>247</v>
      </c>
      <c r="AD1102" s="52" t="s">
        <v>1</v>
      </c>
      <c r="AE1102" s="52" t="s">
        <v>376</v>
      </c>
      <c r="AF1102" s="155" t="s">
        <v>247</v>
      </c>
      <c r="AG1102" s="155" t="s">
        <v>247</v>
      </c>
    </row>
    <row r="1103" spans="25:33">
      <c r="Y1103" s="47">
        <v>4139</v>
      </c>
      <c r="Z1103" s="52" t="s">
        <v>410</v>
      </c>
      <c r="AA1103" s="52" t="s">
        <v>247</v>
      </c>
      <c r="AB1103" s="52" t="s">
        <v>247</v>
      </c>
      <c r="AC1103" s="52" t="s">
        <v>247</v>
      </c>
      <c r="AD1103" s="52" t="s">
        <v>1</v>
      </c>
      <c r="AE1103" s="52" t="s">
        <v>376</v>
      </c>
      <c r="AF1103" s="155" t="s">
        <v>247</v>
      </c>
      <c r="AG1103" s="155" t="s">
        <v>247</v>
      </c>
    </row>
    <row r="1104" spans="25:33">
      <c r="Y1104" s="47">
        <v>4140</v>
      </c>
      <c r="Z1104" s="52" t="s">
        <v>410</v>
      </c>
      <c r="AA1104" s="52" t="s">
        <v>247</v>
      </c>
      <c r="AB1104" s="52" t="s">
        <v>247</v>
      </c>
      <c r="AC1104" s="52" t="s">
        <v>247</v>
      </c>
      <c r="AD1104" s="52" t="s">
        <v>1</v>
      </c>
      <c r="AE1104" s="52" t="s">
        <v>376</v>
      </c>
      <c r="AF1104" s="155" t="s">
        <v>247</v>
      </c>
      <c r="AG1104" s="155" t="s">
        <v>247</v>
      </c>
    </row>
    <row r="1105" spans="25:33">
      <c r="Y1105" s="47">
        <v>4141</v>
      </c>
      <c r="Z1105" s="52" t="s">
        <v>410</v>
      </c>
      <c r="AA1105" s="52" t="s">
        <v>247</v>
      </c>
      <c r="AB1105" s="52" t="s">
        <v>247</v>
      </c>
      <c r="AC1105" s="52" t="s">
        <v>247</v>
      </c>
      <c r="AD1105" s="52" t="s">
        <v>1</v>
      </c>
      <c r="AE1105" s="52" t="s">
        <v>376</v>
      </c>
      <c r="AF1105" s="155" t="s">
        <v>247</v>
      </c>
      <c r="AG1105" s="155" t="s">
        <v>247</v>
      </c>
    </row>
    <row r="1106" spans="25:33">
      <c r="Y1106" s="47">
        <v>4142</v>
      </c>
      <c r="Z1106" s="52" t="s">
        <v>410</v>
      </c>
      <c r="AA1106" s="52" t="s">
        <v>247</v>
      </c>
      <c r="AB1106" s="52" t="s">
        <v>247</v>
      </c>
      <c r="AC1106" s="52" t="s">
        <v>247</v>
      </c>
      <c r="AD1106" s="52" t="s">
        <v>1</v>
      </c>
      <c r="AE1106" s="52" t="s">
        <v>376</v>
      </c>
      <c r="AF1106" s="155" t="s">
        <v>247</v>
      </c>
      <c r="AG1106" s="155" t="s">
        <v>247</v>
      </c>
    </row>
    <row r="1107" spans="25:33">
      <c r="Y1107" s="47">
        <v>4143</v>
      </c>
      <c r="Z1107" s="52" t="s">
        <v>410</v>
      </c>
      <c r="AA1107" s="52" t="s">
        <v>247</v>
      </c>
      <c r="AB1107" s="52" t="s">
        <v>247</v>
      </c>
      <c r="AC1107" s="52" t="s">
        <v>247</v>
      </c>
      <c r="AD1107" s="52" t="s">
        <v>1</v>
      </c>
      <c r="AE1107" s="52" t="s">
        <v>376</v>
      </c>
      <c r="AF1107" s="155" t="s">
        <v>247</v>
      </c>
      <c r="AG1107" s="155" t="s">
        <v>247</v>
      </c>
    </row>
    <row r="1108" spans="25:33">
      <c r="Y1108" s="47">
        <v>4144</v>
      </c>
      <c r="Z1108" s="52" t="s">
        <v>410</v>
      </c>
      <c r="AA1108" s="52" t="s">
        <v>247</v>
      </c>
      <c r="AB1108" s="52" t="s">
        <v>247</v>
      </c>
      <c r="AC1108" s="52" t="s">
        <v>247</v>
      </c>
      <c r="AD1108" s="52" t="s">
        <v>1</v>
      </c>
      <c r="AE1108" s="52" t="s">
        <v>376</v>
      </c>
      <c r="AF1108" s="155" t="s">
        <v>247</v>
      </c>
      <c r="AG1108" s="155" t="s">
        <v>247</v>
      </c>
    </row>
    <row r="1109" spans="25:33">
      <c r="Y1109" s="47">
        <v>4145</v>
      </c>
      <c r="Z1109" s="52" t="s">
        <v>410</v>
      </c>
      <c r="AA1109" s="52" t="s">
        <v>247</v>
      </c>
      <c r="AB1109" s="52" t="s">
        <v>247</v>
      </c>
      <c r="AC1109" s="52" t="s">
        <v>247</v>
      </c>
      <c r="AD1109" s="52" t="s">
        <v>1</v>
      </c>
      <c r="AE1109" s="52" t="s">
        <v>376</v>
      </c>
      <c r="AF1109" s="155" t="s">
        <v>247</v>
      </c>
      <c r="AG1109" s="155" t="s">
        <v>247</v>
      </c>
    </row>
    <row r="1110" spans="25:33">
      <c r="Y1110" s="47">
        <v>4146</v>
      </c>
      <c r="Z1110" s="52" t="s">
        <v>410</v>
      </c>
      <c r="AA1110" s="52" t="s">
        <v>247</v>
      </c>
      <c r="AB1110" s="52" t="s">
        <v>247</v>
      </c>
      <c r="AC1110" s="52" t="s">
        <v>247</v>
      </c>
      <c r="AD1110" s="52" t="s">
        <v>1</v>
      </c>
      <c r="AE1110" s="52" t="s">
        <v>376</v>
      </c>
      <c r="AF1110" s="155" t="s">
        <v>247</v>
      </c>
      <c r="AG1110" s="155" t="s">
        <v>247</v>
      </c>
    </row>
    <row r="1111" spans="25:33">
      <c r="Y1111" s="47">
        <v>4147</v>
      </c>
      <c r="Z1111" s="52" t="s">
        <v>410</v>
      </c>
      <c r="AA1111" s="52" t="s">
        <v>247</v>
      </c>
      <c r="AB1111" s="52" t="s">
        <v>247</v>
      </c>
      <c r="AC1111" s="52" t="s">
        <v>247</v>
      </c>
      <c r="AD1111" s="52" t="s">
        <v>1</v>
      </c>
      <c r="AE1111" s="52" t="s">
        <v>376</v>
      </c>
      <c r="AF1111" s="155" t="s">
        <v>247</v>
      </c>
      <c r="AG1111" s="155" t="s">
        <v>247</v>
      </c>
    </row>
    <row r="1112" spans="25:33">
      <c r="Y1112" s="47">
        <v>4148</v>
      </c>
      <c r="Z1112" s="52" t="s">
        <v>410</v>
      </c>
      <c r="AA1112" s="52" t="s">
        <v>247</v>
      </c>
      <c r="AB1112" s="52" t="s">
        <v>247</v>
      </c>
      <c r="AC1112" s="52" t="s">
        <v>247</v>
      </c>
      <c r="AD1112" s="52" t="s">
        <v>1</v>
      </c>
      <c r="AE1112" s="52" t="s">
        <v>376</v>
      </c>
      <c r="AF1112" s="155" t="s">
        <v>247</v>
      </c>
      <c r="AG1112" s="155" t="s">
        <v>247</v>
      </c>
    </row>
    <row r="1113" spans="25:33">
      <c r="Y1113" s="47">
        <v>4149</v>
      </c>
      <c r="Z1113" s="52" t="s">
        <v>410</v>
      </c>
      <c r="AA1113" s="52" t="s">
        <v>247</v>
      </c>
      <c r="AB1113" s="52" t="s">
        <v>247</v>
      </c>
      <c r="AC1113" s="52" t="s">
        <v>247</v>
      </c>
      <c r="AD1113" s="52" t="s">
        <v>1</v>
      </c>
      <c r="AE1113" s="52" t="s">
        <v>376</v>
      </c>
      <c r="AF1113" s="155" t="s">
        <v>247</v>
      </c>
      <c r="AG1113" s="155" t="s">
        <v>247</v>
      </c>
    </row>
    <row r="1114" spans="25:33">
      <c r="Y1114" s="47">
        <v>4150</v>
      </c>
      <c r="Z1114" s="52" t="s">
        <v>410</v>
      </c>
      <c r="AA1114" s="52" t="s">
        <v>247</v>
      </c>
      <c r="AB1114" s="52" t="s">
        <v>247</v>
      </c>
      <c r="AC1114" s="52" t="s">
        <v>247</v>
      </c>
      <c r="AD1114" s="52" t="s">
        <v>1</v>
      </c>
      <c r="AE1114" s="52" t="s">
        <v>376</v>
      </c>
      <c r="AF1114" s="155" t="s">
        <v>247</v>
      </c>
      <c r="AG1114" s="155" t="s">
        <v>247</v>
      </c>
    </row>
    <row r="1115" spans="25:33">
      <c r="Y1115" s="47">
        <v>4151</v>
      </c>
      <c r="Z1115" s="52" t="s">
        <v>410</v>
      </c>
      <c r="AA1115" s="52" t="s">
        <v>247</v>
      </c>
      <c r="AB1115" s="52" t="s">
        <v>247</v>
      </c>
      <c r="AC1115" s="52" t="s">
        <v>247</v>
      </c>
      <c r="AD1115" s="52" t="s">
        <v>1</v>
      </c>
      <c r="AE1115" s="52" t="s">
        <v>376</v>
      </c>
      <c r="AF1115" s="155" t="s">
        <v>247</v>
      </c>
      <c r="AG1115" s="155" t="s">
        <v>247</v>
      </c>
    </row>
    <row r="1116" spans="25:33">
      <c r="Y1116" s="47">
        <v>4152</v>
      </c>
      <c r="Z1116" s="52" t="s">
        <v>410</v>
      </c>
      <c r="AA1116" s="52" t="s">
        <v>247</v>
      </c>
      <c r="AB1116" s="52" t="s">
        <v>247</v>
      </c>
      <c r="AC1116" s="52" t="s">
        <v>247</v>
      </c>
      <c r="AD1116" s="52" t="s">
        <v>1</v>
      </c>
      <c r="AE1116" s="52" t="s">
        <v>376</v>
      </c>
      <c r="AF1116" s="155" t="s">
        <v>247</v>
      </c>
      <c r="AG1116" s="155" t="s">
        <v>247</v>
      </c>
    </row>
    <row r="1117" spans="25:33">
      <c r="Y1117" s="47">
        <v>4153</v>
      </c>
      <c r="Z1117" s="52" t="s">
        <v>410</v>
      </c>
      <c r="AA1117" s="52" t="s">
        <v>247</v>
      </c>
      <c r="AB1117" s="52" t="s">
        <v>247</v>
      </c>
      <c r="AC1117" s="52" t="s">
        <v>247</v>
      </c>
      <c r="AD1117" s="52" t="s">
        <v>1</v>
      </c>
      <c r="AE1117" s="52" t="s">
        <v>376</v>
      </c>
      <c r="AF1117" s="155" t="s">
        <v>247</v>
      </c>
      <c r="AG1117" s="155" t="s">
        <v>247</v>
      </c>
    </row>
    <row r="1118" spans="25:33">
      <c r="Y1118" s="47">
        <v>4154</v>
      </c>
      <c r="Z1118" s="52" t="s">
        <v>410</v>
      </c>
      <c r="AA1118" s="52" t="s">
        <v>247</v>
      </c>
      <c r="AB1118" s="52" t="s">
        <v>247</v>
      </c>
      <c r="AC1118" s="52" t="s">
        <v>247</v>
      </c>
      <c r="AD1118" s="52" t="s">
        <v>1</v>
      </c>
      <c r="AE1118" s="52" t="s">
        <v>376</v>
      </c>
      <c r="AF1118" s="155" t="s">
        <v>247</v>
      </c>
      <c r="AG1118" s="155" t="s">
        <v>247</v>
      </c>
    </row>
    <row r="1119" spans="25:33">
      <c r="Y1119" s="47">
        <v>4155</v>
      </c>
      <c r="Z1119" s="52" t="s">
        <v>410</v>
      </c>
      <c r="AA1119" s="52" t="s">
        <v>247</v>
      </c>
      <c r="AB1119" s="52" t="s">
        <v>247</v>
      </c>
      <c r="AC1119" s="52" t="s">
        <v>247</v>
      </c>
      <c r="AD1119" s="52" t="s">
        <v>1</v>
      </c>
      <c r="AE1119" s="52" t="s">
        <v>376</v>
      </c>
      <c r="AF1119" s="155" t="s">
        <v>247</v>
      </c>
      <c r="AG1119" s="155" t="s">
        <v>247</v>
      </c>
    </row>
    <row r="1120" spans="25:33">
      <c r="Y1120" s="47">
        <v>4156</v>
      </c>
      <c r="Z1120" s="52" t="s">
        <v>410</v>
      </c>
      <c r="AA1120" s="52" t="s">
        <v>247</v>
      </c>
      <c r="AB1120" s="52" t="s">
        <v>247</v>
      </c>
      <c r="AC1120" s="52" t="s">
        <v>247</v>
      </c>
      <c r="AD1120" s="52" t="s">
        <v>1</v>
      </c>
      <c r="AE1120" s="52" t="s">
        <v>376</v>
      </c>
      <c r="AF1120" s="155" t="s">
        <v>247</v>
      </c>
      <c r="AG1120" s="155" t="s">
        <v>247</v>
      </c>
    </row>
    <row r="1121" spans="25:33">
      <c r="Y1121" s="47">
        <v>4157</v>
      </c>
      <c r="Z1121" s="52" t="s">
        <v>410</v>
      </c>
      <c r="AA1121" s="52" t="s">
        <v>247</v>
      </c>
      <c r="AB1121" s="52" t="s">
        <v>247</v>
      </c>
      <c r="AC1121" s="52" t="s">
        <v>247</v>
      </c>
      <c r="AD1121" s="52" t="s">
        <v>1</v>
      </c>
      <c r="AE1121" s="52" t="s">
        <v>376</v>
      </c>
      <c r="AF1121" s="155" t="s">
        <v>247</v>
      </c>
      <c r="AG1121" s="155" t="s">
        <v>247</v>
      </c>
    </row>
    <row r="1122" spans="25:33">
      <c r="Y1122" s="47">
        <v>4158</v>
      </c>
      <c r="Z1122" s="52" t="s">
        <v>410</v>
      </c>
      <c r="AA1122" s="52" t="s">
        <v>247</v>
      </c>
      <c r="AB1122" s="52" t="s">
        <v>247</v>
      </c>
      <c r="AC1122" s="52" t="s">
        <v>247</v>
      </c>
      <c r="AD1122" s="52" t="s">
        <v>1</v>
      </c>
      <c r="AE1122" s="52" t="s">
        <v>376</v>
      </c>
      <c r="AF1122" s="155" t="s">
        <v>247</v>
      </c>
      <c r="AG1122" s="155" t="s">
        <v>247</v>
      </c>
    </row>
    <row r="1123" spans="25:33">
      <c r="Y1123" s="47">
        <v>4159</v>
      </c>
      <c r="Z1123" s="52" t="s">
        <v>410</v>
      </c>
      <c r="AA1123" s="52" t="s">
        <v>247</v>
      </c>
      <c r="AB1123" s="52" t="s">
        <v>247</v>
      </c>
      <c r="AC1123" s="52" t="s">
        <v>247</v>
      </c>
      <c r="AD1123" s="52" t="s">
        <v>1</v>
      </c>
      <c r="AE1123" s="52" t="s">
        <v>376</v>
      </c>
      <c r="AF1123" s="155" t="s">
        <v>247</v>
      </c>
      <c r="AG1123" s="155" t="s">
        <v>247</v>
      </c>
    </row>
    <row r="1124" spans="25:33">
      <c r="Y1124" s="47">
        <v>4160</v>
      </c>
      <c r="Z1124" s="52" t="s">
        <v>410</v>
      </c>
      <c r="AA1124" s="52" t="s">
        <v>247</v>
      </c>
      <c r="AB1124" s="52" t="s">
        <v>247</v>
      </c>
      <c r="AC1124" s="52" t="s">
        <v>247</v>
      </c>
      <c r="AD1124" s="52" t="s">
        <v>1</v>
      </c>
      <c r="AE1124" s="52" t="s">
        <v>376</v>
      </c>
      <c r="AF1124" s="155" t="s">
        <v>247</v>
      </c>
      <c r="AG1124" s="155" t="s">
        <v>247</v>
      </c>
    </row>
    <row r="1125" spans="25:33">
      <c r="Y1125" s="47">
        <v>4161</v>
      </c>
      <c r="Z1125" s="52" t="s">
        <v>410</v>
      </c>
      <c r="AA1125" s="52" t="s">
        <v>247</v>
      </c>
      <c r="AB1125" s="52" t="s">
        <v>247</v>
      </c>
      <c r="AC1125" s="52" t="s">
        <v>247</v>
      </c>
      <c r="AD1125" s="52" t="s">
        <v>1</v>
      </c>
      <c r="AE1125" s="52" t="s">
        <v>376</v>
      </c>
      <c r="AF1125" s="155" t="s">
        <v>247</v>
      </c>
      <c r="AG1125" s="155" t="s">
        <v>247</v>
      </c>
    </row>
    <row r="1126" spans="25:33">
      <c r="Y1126" s="47">
        <v>4162</v>
      </c>
      <c r="Z1126" s="52" t="s">
        <v>410</v>
      </c>
      <c r="AA1126" s="52" t="s">
        <v>247</v>
      </c>
      <c r="AB1126" s="52" t="s">
        <v>247</v>
      </c>
      <c r="AC1126" s="52" t="s">
        <v>247</v>
      </c>
      <c r="AD1126" s="52" t="s">
        <v>1</v>
      </c>
      <c r="AE1126" s="52" t="s">
        <v>376</v>
      </c>
      <c r="AF1126" s="155" t="s">
        <v>247</v>
      </c>
      <c r="AG1126" s="155" t="s">
        <v>247</v>
      </c>
    </row>
    <row r="1127" spans="25:33">
      <c r="Y1127" s="47">
        <v>4163</v>
      </c>
      <c r="Z1127" s="52" t="s">
        <v>410</v>
      </c>
      <c r="AA1127" s="52" t="s">
        <v>247</v>
      </c>
      <c r="AB1127" s="52" t="s">
        <v>247</v>
      </c>
      <c r="AC1127" s="52" t="s">
        <v>247</v>
      </c>
      <c r="AD1127" s="52" t="s">
        <v>1</v>
      </c>
      <c r="AE1127" s="52" t="s">
        <v>376</v>
      </c>
      <c r="AF1127" s="155" t="s">
        <v>247</v>
      </c>
      <c r="AG1127" s="155" t="s">
        <v>247</v>
      </c>
    </row>
    <row r="1128" spans="25:33">
      <c r="Y1128" s="47">
        <v>4164</v>
      </c>
      <c r="Z1128" s="52" t="s">
        <v>410</v>
      </c>
      <c r="AA1128" s="52" t="s">
        <v>247</v>
      </c>
      <c r="AB1128" s="52" t="s">
        <v>247</v>
      </c>
      <c r="AC1128" s="52" t="s">
        <v>247</v>
      </c>
      <c r="AD1128" s="52" t="s">
        <v>1</v>
      </c>
      <c r="AE1128" s="52" t="s">
        <v>376</v>
      </c>
      <c r="AF1128" s="155" t="s">
        <v>247</v>
      </c>
      <c r="AG1128" s="155" t="s">
        <v>247</v>
      </c>
    </row>
    <row r="1129" spans="25:33">
      <c r="Y1129" s="47">
        <v>4165</v>
      </c>
      <c r="Z1129" s="52" t="s">
        <v>410</v>
      </c>
      <c r="AA1129" s="52" t="s">
        <v>247</v>
      </c>
      <c r="AB1129" s="52" t="s">
        <v>247</v>
      </c>
      <c r="AC1129" s="52" t="s">
        <v>247</v>
      </c>
      <c r="AD1129" s="52" t="s">
        <v>1</v>
      </c>
      <c r="AE1129" s="52" t="s">
        <v>376</v>
      </c>
      <c r="AF1129" s="155" t="s">
        <v>247</v>
      </c>
      <c r="AG1129" s="155" t="s">
        <v>247</v>
      </c>
    </row>
    <row r="1130" spans="25:33">
      <c r="Y1130" s="47">
        <v>4166</v>
      </c>
      <c r="Z1130" s="52" t="s">
        <v>410</v>
      </c>
      <c r="AA1130" s="52" t="s">
        <v>247</v>
      </c>
      <c r="AB1130" s="52" t="s">
        <v>247</v>
      </c>
      <c r="AC1130" s="52" t="s">
        <v>247</v>
      </c>
      <c r="AD1130" s="52" t="s">
        <v>1</v>
      </c>
      <c r="AE1130" s="52" t="s">
        <v>376</v>
      </c>
      <c r="AF1130" s="155" t="s">
        <v>247</v>
      </c>
      <c r="AG1130" s="155" t="s">
        <v>247</v>
      </c>
    </row>
    <row r="1131" spans="25:33">
      <c r="Y1131" s="47">
        <v>4167</v>
      </c>
      <c r="Z1131" s="52" t="s">
        <v>410</v>
      </c>
      <c r="AA1131" s="52" t="s">
        <v>247</v>
      </c>
      <c r="AB1131" s="52" t="s">
        <v>247</v>
      </c>
      <c r="AC1131" s="52" t="s">
        <v>247</v>
      </c>
      <c r="AD1131" s="52" t="s">
        <v>1</v>
      </c>
      <c r="AE1131" s="52" t="s">
        <v>376</v>
      </c>
      <c r="AF1131" s="155" t="s">
        <v>247</v>
      </c>
      <c r="AG1131" s="155" t="s">
        <v>247</v>
      </c>
    </row>
    <row r="1132" spans="25:33">
      <c r="Y1132" s="47">
        <v>4168</v>
      </c>
      <c r="Z1132" s="52" t="s">
        <v>410</v>
      </c>
      <c r="AA1132" s="52" t="s">
        <v>247</v>
      </c>
      <c r="AB1132" s="52" t="s">
        <v>247</v>
      </c>
      <c r="AC1132" s="52" t="s">
        <v>247</v>
      </c>
      <c r="AD1132" s="52" t="s">
        <v>1</v>
      </c>
      <c r="AE1132" s="52" t="s">
        <v>376</v>
      </c>
      <c r="AF1132" s="155" t="s">
        <v>247</v>
      </c>
      <c r="AG1132" s="155" t="s">
        <v>247</v>
      </c>
    </row>
    <row r="1133" spans="25:33">
      <c r="Y1133" s="47">
        <v>4169</v>
      </c>
      <c r="Z1133" s="52" t="s">
        <v>410</v>
      </c>
      <c r="AA1133" s="52" t="s">
        <v>247</v>
      </c>
      <c r="AB1133" s="52" t="s">
        <v>247</v>
      </c>
      <c r="AC1133" s="52" t="s">
        <v>247</v>
      </c>
      <c r="AD1133" s="52" t="s">
        <v>1</v>
      </c>
      <c r="AE1133" s="52" t="s">
        <v>376</v>
      </c>
      <c r="AF1133" s="155" t="s">
        <v>247</v>
      </c>
      <c r="AG1133" s="155" t="s">
        <v>247</v>
      </c>
    </row>
    <row r="1134" spans="25:33">
      <c r="Y1134" s="47">
        <v>4170</v>
      </c>
      <c r="Z1134" s="52" t="s">
        <v>410</v>
      </c>
      <c r="AA1134" s="52" t="s">
        <v>247</v>
      </c>
      <c r="AB1134" s="52" t="s">
        <v>247</v>
      </c>
      <c r="AC1134" s="52" t="s">
        <v>247</v>
      </c>
      <c r="AD1134" s="52" t="s">
        <v>1</v>
      </c>
      <c r="AE1134" s="52" t="s">
        <v>376</v>
      </c>
      <c r="AF1134" s="155" t="s">
        <v>247</v>
      </c>
      <c r="AG1134" s="155" t="s">
        <v>247</v>
      </c>
    </row>
    <row r="1135" spans="25:33">
      <c r="Y1135" s="47">
        <v>4171</v>
      </c>
      <c r="Z1135" s="52" t="s">
        <v>410</v>
      </c>
      <c r="AA1135" s="52" t="s">
        <v>247</v>
      </c>
      <c r="AB1135" s="52" t="s">
        <v>247</v>
      </c>
      <c r="AC1135" s="52" t="s">
        <v>247</v>
      </c>
      <c r="AD1135" s="52" t="s">
        <v>1</v>
      </c>
      <c r="AE1135" s="52" t="s">
        <v>376</v>
      </c>
      <c r="AF1135" s="155" t="s">
        <v>247</v>
      </c>
      <c r="AG1135" s="155" t="s">
        <v>247</v>
      </c>
    </row>
    <row r="1136" spans="25:33">
      <c r="Y1136" s="47">
        <v>4172</v>
      </c>
      <c r="Z1136" s="52" t="s">
        <v>410</v>
      </c>
      <c r="AA1136" s="52" t="s">
        <v>247</v>
      </c>
      <c r="AB1136" s="52" t="s">
        <v>247</v>
      </c>
      <c r="AC1136" s="52" t="s">
        <v>247</v>
      </c>
      <c r="AD1136" s="52" t="s">
        <v>1</v>
      </c>
      <c r="AE1136" s="52" t="s">
        <v>376</v>
      </c>
      <c r="AF1136" s="155" t="s">
        <v>247</v>
      </c>
      <c r="AG1136" s="155" t="s">
        <v>247</v>
      </c>
    </row>
    <row r="1137" spans="25:33">
      <c r="Y1137" s="47">
        <v>4173</v>
      </c>
      <c r="Z1137" s="52" t="s">
        <v>410</v>
      </c>
      <c r="AA1137" s="52" t="s">
        <v>247</v>
      </c>
      <c r="AB1137" s="52" t="s">
        <v>247</v>
      </c>
      <c r="AC1137" s="52" t="s">
        <v>247</v>
      </c>
      <c r="AD1137" s="52" t="s">
        <v>1</v>
      </c>
      <c r="AE1137" s="52" t="s">
        <v>376</v>
      </c>
      <c r="AF1137" s="155" t="s">
        <v>247</v>
      </c>
      <c r="AG1137" s="155" t="s">
        <v>247</v>
      </c>
    </row>
    <row r="1138" spans="25:33">
      <c r="Y1138" s="47">
        <v>4174</v>
      </c>
      <c r="Z1138" s="52" t="s">
        <v>410</v>
      </c>
      <c r="AA1138" s="52" t="s">
        <v>247</v>
      </c>
      <c r="AB1138" s="52" t="s">
        <v>247</v>
      </c>
      <c r="AC1138" s="52" t="s">
        <v>247</v>
      </c>
      <c r="AD1138" s="52" t="s">
        <v>1</v>
      </c>
      <c r="AE1138" s="52" t="s">
        <v>376</v>
      </c>
      <c r="AF1138" s="155" t="s">
        <v>247</v>
      </c>
      <c r="AG1138" s="155" t="s">
        <v>247</v>
      </c>
    </row>
    <row r="1139" spans="25:33">
      <c r="Y1139" s="47">
        <v>4175</v>
      </c>
      <c r="Z1139" s="52" t="s">
        <v>410</v>
      </c>
      <c r="AA1139" s="52" t="s">
        <v>247</v>
      </c>
      <c r="AB1139" s="52" t="s">
        <v>247</v>
      </c>
      <c r="AC1139" s="52" t="s">
        <v>247</v>
      </c>
      <c r="AD1139" s="52" t="s">
        <v>1</v>
      </c>
      <c r="AE1139" s="52" t="s">
        <v>376</v>
      </c>
      <c r="AF1139" s="155" t="s">
        <v>247</v>
      </c>
      <c r="AG1139" s="155" t="s">
        <v>247</v>
      </c>
    </row>
    <row r="1140" spans="25:33">
      <c r="Y1140" s="47">
        <v>4176</v>
      </c>
      <c r="Z1140" s="52" t="s">
        <v>410</v>
      </c>
      <c r="AA1140" s="52" t="s">
        <v>247</v>
      </c>
      <c r="AB1140" s="52" t="s">
        <v>247</v>
      </c>
      <c r="AC1140" s="52" t="s">
        <v>247</v>
      </c>
      <c r="AD1140" s="52" t="s">
        <v>1</v>
      </c>
      <c r="AE1140" s="52" t="s">
        <v>376</v>
      </c>
      <c r="AF1140" s="155" t="s">
        <v>247</v>
      </c>
      <c r="AG1140" s="155" t="s">
        <v>247</v>
      </c>
    </row>
    <row r="1141" spans="25:33">
      <c r="Y1141" s="47">
        <v>4177</v>
      </c>
      <c r="Z1141" s="52" t="s">
        <v>410</v>
      </c>
      <c r="AA1141" s="52" t="s">
        <v>247</v>
      </c>
      <c r="AB1141" s="52" t="s">
        <v>247</v>
      </c>
      <c r="AC1141" s="52" t="s">
        <v>247</v>
      </c>
      <c r="AD1141" s="52" t="s">
        <v>1</v>
      </c>
      <c r="AE1141" s="52" t="s">
        <v>376</v>
      </c>
      <c r="AF1141" s="155" t="s">
        <v>247</v>
      </c>
      <c r="AG1141" s="155" t="s">
        <v>247</v>
      </c>
    </row>
    <row r="1142" spans="25:33">
      <c r="Y1142" s="47">
        <v>4178</v>
      </c>
      <c r="Z1142" s="52" t="s">
        <v>410</v>
      </c>
      <c r="AA1142" s="52" t="s">
        <v>247</v>
      </c>
      <c r="AB1142" s="52" t="s">
        <v>247</v>
      </c>
      <c r="AC1142" s="52" t="s">
        <v>247</v>
      </c>
      <c r="AD1142" s="52" t="s">
        <v>1</v>
      </c>
      <c r="AE1142" s="52" t="s">
        <v>376</v>
      </c>
      <c r="AF1142" s="155" t="s">
        <v>247</v>
      </c>
      <c r="AG1142" s="155" t="s">
        <v>247</v>
      </c>
    </row>
    <row r="1143" spans="25:33">
      <c r="Y1143" s="47">
        <v>4179</v>
      </c>
      <c r="Z1143" s="52" t="s">
        <v>410</v>
      </c>
      <c r="AA1143" s="52" t="s">
        <v>247</v>
      </c>
      <c r="AB1143" s="52" t="s">
        <v>247</v>
      </c>
      <c r="AC1143" s="52" t="s">
        <v>247</v>
      </c>
      <c r="AD1143" s="52" t="s">
        <v>1</v>
      </c>
      <c r="AE1143" s="52" t="s">
        <v>376</v>
      </c>
      <c r="AF1143" s="155" t="s">
        <v>247</v>
      </c>
      <c r="AG1143" s="155" t="s">
        <v>247</v>
      </c>
    </row>
    <row r="1144" spans="25:33">
      <c r="Y1144" s="47">
        <v>4180</v>
      </c>
      <c r="Z1144" s="52" t="s">
        <v>410</v>
      </c>
      <c r="AA1144" s="52" t="s">
        <v>247</v>
      </c>
      <c r="AB1144" s="52" t="s">
        <v>247</v>
      </c>
      <c r="AC1144" s="52" t="s">
        <v>247</v>
      </c>
      <c r="AD1144" s="52" t="s">
        <v>1</v>
      </c>
      <c r="AE1144" s="52" t="s">
        <v>376</v>
      </c>
      <c r="AF1144" s="155" t="s">
        <v>247</v>
      </c>
      <c r="AG1144" s="155" t="s">
        <v>247</v>
      </c>
    </row>
    <row r="1145" spans="25:33">
      <c r="Y1145" s="47">
        <v>4181</v>
      </c>
      <c r="Z1145" s="52" t="s">
        <v>410</v>
      </c>
      <c r="AA1145" s="52" t="s">
        <v>247</v>
      </c>
      <c r="AB1145" s="52" t="s">
        <v>247</v>
      </c>
      <c r="AC1145" s="52" t="s">
        <v>247</v>
      </c>
      <c r="AD1145" s="52" t="s">
        <v>1</v>
      </c>
      <c r="AE1145" s="52" t="s">
        <v>376</v>
      </c>
      <c r="AF1145" s="155" t="s">
        <v>247</v>
      </c>
      <c r="AG1145" s="155" t="s">
        <v>247</v>
      </c>
    </row>
    <row r="1146" spans="25:33">
      <c r="Y1146" s="47">
        <v>4182</v>
      </c>
      <c r="Z1146" s="52" t="s">
        <v>410</v>
      </c>
      <c r="AA1146" s="52" t="s">
        <v>247</v>
      </c>
      <c r="AB1146" s="52" t="s">
        <v>247</v>
      </c>
      <c r="AC1146" s="52" t="s">
        <v>247</v>
      </c>
      <c r="AD1146" s="52" t="s">
        <v>1</v>
      </c>
      <c r="AE1146" s="52" t="s">
        <v>376</v>
      </c>
      <c r="AF1146" s="155" t="s">
        <v>247</v>
      </c>
      <c r="AG1146" s="155" t="s">
        <v>247</v>
      </c>
    </row>
    <row r="1147" spans="25:33">
      <c r="Y1147" s="47">
        <v>4183</v>
      </c>
      <c r="Z1147" s="52" t="s">
        <v>410</v>
      </c>
      <c r="AA1147" s="52" t="s">
        <v>247</v>
      </c>
      <c r="AB1147" s="52" t="s">
        <v>247</v>
      </c>
      <c r="AC1147" s="52" t="s">
        <v>247</v>
      </c>
      <c r="AD1147" s="52" t="s">
        <v>1</v>
      </c>
      <c r="AE1147" s="52" t="s">
        <v>376</v>
      </c>
      <c r="AF1147" s="155" t="s">
        <v>247</v>
      </c>
      <c r="AG1147" s="155" t="s">
        <v>247</v>
      </c>
    </row>
    <row r="1148" spans="25:33">
      <c r="Y1148" s="47">
        <v>4184</v>
      </c>
      <c r="Z1148" s="52" t="s">
        <v>410</v>
      </c>
      <c r="AA1148" s="52" t="s">
        <v>247</v>
      </c>
      <c r="AB1148" s="52" t="s">
        <v>247</v>
      </c>
      <c r="AC1148" s="52" t="s">
        <v>247</v>
      </c>
      <c r="AD1148" s="52" t="s">
        <v>1</v>
      </c>
      <c r="AE1148" s="52" t="s">
        <v>376</v>
      </c>
      <c r="AF1148" s="155" t="s">
        <v>247</v>
      </c>
      <c r="AG1148" s="155" t="s">
        <v>247</v>
      </c>
    </row>
    <row r="1149" spans="25:33">
      <c r="Y1149" s="47">
        <v>4185</v>
      </c>
      <c r="Z1149" s="52" t="s">
        <v>410</v>
      </c>
      <c r="AA1149" s="52" t="s">
        <v>247</v>
      </c>
      <c r="AB1149" s="52" t="s">
        <v>247</v>
      </c>
      <c r="AC1149" s="52" t="s">
        <v>247</v>
      </c>
      <c r="AD1149" s="52" t="s">
        <v>1</v>
      </c>
      <c r="AE1149" s="52" t="s">
        <v>376</v>
      </c>
      <c r="AF1149" s="155" t="s">
        <v>247</v>
      </c>
      <c r="AG1149" s="155" t="s">
        <v>247</v>
      </c>
    </row>
    <row r="1150" spans="25:33">
      <c r="Y1150" s="47">
        <v>4186</v>
      </c>
      <c r="Z1150" s="52" t="s">
        <v>410</v>
      </c>
      <c r="AA1150" s="52" t="s">
        <v>247</v>
      </c>
      <c r="AB1150" s="52" t="s">
        <v>247</v>
      </c>
      <c r="AC1150" s="52" t="s">
        <v>247</v>
      </c>
      <c r="AD1150" s="52" t="s">
        <v>1</v>
      </c>
      <c r="AE1150" s="52" t="s">
        <v>376</v>
      </c>
      <c r="AF1150" s="155" t="s">
        <v>247</v>
      </c>
      <c r="AG1150" s="155" t="s">
        <v>247</v>
      </c>
    </row>
    <row r="1151" spans="25:33">
      <c r="Y1151" s="47">
        <v>4187</v>
      </c>
      <c r="Z1151" s="52" t="s">
        <v>410</v>
      </c>
      <c r="AA1151" s="52" t="s">
        <v>247</v>
      </c>
      <c r="AB1151" s="52" t="s">
        <v>247</v>
      </c>
      <c r="AC1151" s="52" t="s">
        <v>247</v>
      </c>
      <c r="AD1151" s="52" t="s">
        <v>1</v>
      </c>
      <c r="AE1151" s="52" t="s">
        <v>376</v>
      </c>
      <c r="AF1151" s="155" t="s">
        <v>247</v>
      </c>
      <c r="AG1151" s="155" t="s">
        <v>247</v>
      </c>
    </row>
    <row r="1152" spans="25:33">
      <c r="Y1152" s="47">
        <v>4188</v>
      </c>
      <c r="Z1152" s="52" t="s">
        <v>410</v>
      </c>
      <c r="AA1152" s="52" t="s">
        <v>247</v>
      </c>
      <c r="AB1152" s="52" t="s">
        <v>247</v>
      </c>
      <c r="AC1152" s="52" t="s">
        <v>247</v>
      </c>
      <c r="AD1152" s="52" t="s">
        <v>1</v>
      </c>
      <c r="AE1152" s="52" t="s">
        <v>376</v>
      </c>
      <c r="AF1152" s="155" t="s">
        <v>247</v>
      </c>
      <c r="AG1152" s="155" t="s">
        <v>247</v>
      </c>
    </row>
    <row r="1153" spans="25:33">
      <c r="Y1153" s="47">
        <v>4189</v>
      </c>
      <c r="Z1153" s="52" t="s">
        <v>410</v>
      </c>
      <c r="AA1153" s="52" t="s">
        <v>247</v>
      </c>
      <c r="AB1153" s="52" t="s">
        <v>247</v>
      </c>
      <c r="AC1153" s="52" t="s">
        <v>247</v>
      </c>
      <c r="AD1153" s="52" t="s">
        <v>1</v>
      </c>
      <c r="AE1153" s="52" t="s">
        <v>376</v>
      </c>
      <c r="AF1153" s="155" t="s">
        <v>247</v>
      </c>
      <c r="AG1153" s="155" t="s">
        <v>247</v>
      </c>
    </row>
    <row r="1154" spans="25:33">
      <c r="Y1154" s="47">
        <v>4190</v>
      </c>
      <c r="Z1154" s="52" t="s">
        <v>410</v>
      </c>
      <c r="AA1154" s="52" t="s">
        <v>247</v>
      </c>
      <c r="AB1154" s="52" t="s">
        <v>247</v>
      </c>
      <c r="AC1154" s="52" t="s">
        <v>247</v>
      </c>
      <c r="AD1154" s="52" t="s">
        <v>1</v>
      </c>
      <c r="AE1154" s="52" t="s">
        <v>376</v>
      </c>
      <c r="AF1154" s="155" t="s">
        <v>247</v>
      </c>
      <c r="AG1154" s="155" t="s">
        <v>247</v>
      </c>
    </row>
    <row r="1155" spans="25:33">
      <c r="Y1155" s="47">
        <v>4191</v>
      </c>
      <c r="Z1155" s="52" t="s">
        <v>410</v>
      </c>
      <c r="AA1155" s="52" t="s">
        <v>247</v>
      </c>
      <c r="AB1155" s="52" t="s">
        <v>247</v>
      </c>
      <c r="AC1155" s="52" t="s">
        <v>247</v>
      </c>
      <c r="AD1155" s="52" t="s">
        <v>1</v>
      </c>
      <c r="AE1155" s="52" t="s">
        <v>376</v>
      </c>
      <c r="AF1155" s="155" t="s">
        <v>247</v>
      </c>
      <c r="AG1155" s="155" t="s">
        <v>247</v>
      </c>
    </row>
    <row r="1156" spans="25:33">
      <c r="Y1156" s="47">
        <v>4192</v>
      </c>
      <c r="Z1156" s="52" t="s">
        <v>410</v>
      </c>
      <c r="AA1156" s="52" t="s">
        <v>247</v>
      </c>
      <c r="AB1156" s="52" t="s">
        <v>247</v>
      </c>
      <c r="AC1156" s="52" t="s">
        <v>247</v>
      </c>
      <c r="AD1156" s="52" t="s">
        <v>1</v>
      </c>
      <c r="AE1156" s="52" t="s">
        <v>376</v>
      </c>
      <c r="AF1156" s="155" t="s">
        <v>247</v>
      </c>
      <c r="AG1156" s="155" t="s">
        <v>247</v>
      </c>
    </row>
    <row r="1157" spans="25:33">
      <c r="Y1157" s="47">
        <v>4193</v>
      </c>
      <c r="Z1157" s="52" t="s">
        <v>410</v>
      </c>
      <c r="AA1157" s="52" t="s">
        <v>247</v>
      </c>
      <c r="AB1157" s="52" t="s">
        <v>247</v>
      </c>
      <c r="AC1157" s="52" t="s">
        <v>247</v>
      </c>
      <c r="AD1157" s="52" t="s">
        <v>1</v>
      </c>
      <c r="AE1157" s="52" t="s">
        <v>376</v>
      </c>
      <c r="AF1157" s="155" t="s">
        <v>247</v>
      </c>
      <c r="AG1157" s="155" t="s">
        <v>247</v>
      </c>
    </row>
    <row r="1158" spans="25:33">
      <c r="Y1158" s="47">
        <v>4194</v>
      </c>
      <c r="Z1158" s="52" t="s">
        <v>410</v>
      </c>
      <c r="AA1158" s="52" t="s">
        <v>247</v>
      </c>
      <c r="AB1158" s="52" t="s">
        <v>247</v>
      </c>
      <c r="AC1158" s="52" t="s">
        <v>247</v>
      </c>
      <c r="AD1158" s="52" t="s">
        <v>1</v>
      </c>
      <c r="AE1158" s="52" t="s">
        <v>376</v>
      </c>
      <c r="AF1158" s="155" t="s">
        <v>247</v>
      </c>
      <c r="AG1158" s="155" t="s">
        <v>247</v>
      </c>
    </row>
    <row r="1159" spans="25:33">
      <c r="Y1159" s="47">
        <v>4195</v>
      </c>
      <c r="Z1159" s="52" t="s">
        <v>410</v>
      </c>
      <c r="AA1159" s="52" t="s">
        <v>247</v>
      </c>
      <c r="AB1159" s="52" t="s">
        <v>247</v>
      </c>
      <c r="AC1159" s="52" t="s">
        <v>247</v>
      </c>
      <c r="AD1159" s="52" t="s">
        <v>1</v>
      </c>
      <c r="AE1159" s="52" t="s">
        <v>376</v>
      </c>
      <c r="AF1159" s="155" t="s">
        <v>247</v>
      </c>
      <c r="AG1159" s="155" t="s">
        <v>247</v>
      </c>
    </row>
    <row r="1160" spans="25:33">
      <c r="Y1160" s="47">
        <v>4196</v>
      </c>
      <c r="Z1160" s="52" t="s">
        <v>410</v>
      </c>
      <c r="AA1160" s="52" t="s">
        <v>247</v>
      </c>
      <c r="AB1160" s="52" t="s">
        <v>247</v>
      </c>
      <c r="AC1160" s="52" t="s">
        <v>247</v>
      </c>
      <c r="AD1160" s="52" t="s">
        <v>1</v>
      </c>
      <c r="AE1160" s="52" t="s">
        <v>376</v>
      </c>
      <c r="AF1160" s="155" t="s">
        <v>247</v>
      </c>
      <c r="AG1160" s="155" t="s">
        <v>247</v>
      </c>
    </row>
    <row r="1161" spans="25:33">
      <c r="Y1161" s="47">
        <v>4197</v>
      </c>
      <c r="Z1161" s="52" t="s">
        <v>410</v>
      </c>
      <c r="AA1161" s="52" t="s">
        <v>247</v>
      </c>
      <c r="AB1161" s="52" t="s">
        <v>247</v>
      </c>
      <c r="AC1161" s="52" t="s">
        <v>247</v>
      </c>
      <c r="AD1161" s="52" t="s">
        <v>1</v>
      </c>
      <c r="AE1161" s="52" t="s">
        <v>376</v>
      </c>
      <c r="AF1161" s="155" t="s">
        <v>247</v>
      </c>
      <c r="AG1161" s="155" t="s">
        <v>247</v>
      </c>
    </row>
    <row r="1162" spans="25:33">
      <c r="Y1162" s="47">
        <v>4198</v>
      </c>
      <c r="Z1162" s="52" t="s">
        <v>410</v>
      </c>
      <c r="AA1162" s="52" t="s">
        <v>247</v>
      </c>
      <c r="AB1162" s="52" t="s">
        <v>247</v>
      </c>
      <c r="AC1162" s="52" t="s">
        <v>247</v>
      </c>
      <c r="AD1162" s="52" t="s">
        <v>1</v>
      </c>
      <c r="AE1162" s="52" t="s">
        <v>376</v>
      </c>
      <c r="AF1162" s="155" t="s">
        <v>247</v>
      </c>
      <c r="AG1162" s="155" t="s">
        <v>247</v>
      </c>
    </row>
    <row r="1163" spans="25:33">
      <c r="Y1163" s="47">
        <v>4199</v>
      </c>
      <c r="Z1163" s="52" t="s">
        <v>410</v>
      </c>
      <c r="AA1163" s="52" t="s">
        <v>247</v>
      </c>
      <c r="AB1163" s="52" t="s">
        <v>247</v>
      </c>
      <c r="AC1163" s="52" t="s">
        <v>247</v>
      </c>
      <c r="AD1163" s="52" t="s">
        <v>1</v>
      </c>
      <c r="AE1163" s="52" t="s">
        <v>376</v>
      </c>
      <c r="AF1163" s="155" t="s">
        <v>247</v>
      </c>
      <c r="AG1163" s="155" t="s">
        <v>247</v>
      </c>
    </row>
    <row r="1164" spans="25:33">
      <c r="Y1164" s="47">
        <v>4200</v>
      </c>
      <c r="Z1164" s="52" t="s">
        <v>410</v>
      </c>
      <c r="AA1164" s="52" t="s">
        <v>247</v>
      </c>
      <c r="AB1164" s="52" t="s">
        <v>247</v>
      </c>
      <c r="AC1164" s="52" t="s">
        <v>247</v>
      </c>
      <c r="AD1164" s="52" t="s">
        <v>1</v>
      </c>
      <c r="AE1164" s="52" t="s">
        <v>376</v>
      </c>
      <c r="AF1164" s="155" t="s">
        <v>247</v>
      </c>
      <c r="AG1164" s="155" t="s">
        <v>247</v>
      </c>
    </row>
    <row r="1165" spans="25:33">
      <c r="Y1165" s="47">
        <v>4201</v>
      </c>
      <c r="Z1165" s="52" t="s">
        <v>410</v>
      </c>
      <c r="AA1165" s="52" t="s">
        <v>247</v>
      </c>
      <c r="AB1165" s="52" t="s">
        <v>247</v>
      </c>
      <c r="AC1165" s="52" t="s">
        <v>247</v>
      </c>
      <c r="AD1165" s="52" t="s">
        <v>1</v>
      </c>
      <c r="AE1165" s="52" t="s">
        <v>376</v>
      </c>
      <c r="AF1165" s="155" t="s">
        <v>247</v>
      </c>
      <c r="AG1165" s="155" t="s">
        <v>247</v>
      </c>
    </row>
    <row r="1166" spans="25:33">
      <c r="Y1166" s="47">
        <v>4202</v>
      </c>
      <c r="Z1166" s="52" t="s">
        <v>410</v>
      </c>
      <c r="AA1166" s="52" t="s">
        <v>247</v>
      </c>
      <c r="AB1166" s="52" t="s">
        <v>247</v>
      </c>
      <c r="AC1166" s="52" t="s">
        <v>247</v>
      </c>
      <c r="AD1166" s="52" t="s">
        <v>1</v>
      </c>
      <c r="AE1166" s="52" t="s">
        <v>376</v>
      </c>
      <c r="AF1166" s="155" t="s">
        <v>247</v>
      </c>
      <c r="AG1166" s="155" t="s">
        <v>247</v>
      </c>
    </row>
    <row r="1167" spans="25:33">
      <c r="Y1167" s="47">
        <v>4203</v>
      </c>
      <c r="Z1167" s="52" t="s">
        <v>410</v>
      </c>
      <c r="AA1167" s="52" t="s">
        <v>247</v>
      </c>
      <c r="AB1167" s="52" t="s">
        <v>247</v>
      </c>
      <c r="AC1167" s="52" t="s">
        <v>247</v>
      </c>
      <c r="AD1167" s="52" t="s">
        <v>1</v>
      </c>
      <c r="AE1167" s="52" t="s">
        <v>376</v>
      </c>
      <c r="AF1167" s="155" t="s">
        <v>247</v>
      </c>
      <c r="AG1167" s="155" t="s">
        <v>247</v>
      </c>
    </row>
    <row r="1168" spans="25:33">
      <c r="Y1168" s="47">
        <v>4204</v>
      </c>
      <c r="Z1168" s="52" t="s">
        <v>410</v>
      </c>
      <c r="AA1168" s="52" t="s">
        <v>247</v>
      </c>
      <c r="AB1168" s="52" t="s">
        <v>247</v>
      </c>
      <c r="AC1168" s="52" t="s">
        <v>247</v>
      </c>
      <c r="AD1168" s="52" t="s">
        <v>1</v>
      </c>
      <c r="AE1168" s="52" t="s">
        <v>376</v>
      </c>
      <c r="AF1168" s="155" t="s">
        <v>247</v>
      </c>
      <c r="AG1168" s="155" t="s">
        <v>247</v>
      </c>
    </row>
    <row r="1169" spans="25:33">
      <c r="Y1169" s="47">
        <v>4205</v>
      </c>
      <c r="Z1169" s="52" t="s">
        <v>410</v>
      </c>
      <c r="AA1169" s="52" t="s">
        <v>247</v>
      </c>
      <c r="AB1169" s="52" t="s">
        <v>247</v>
      </c>
      <c r="AC1169" s="52" t="s">
        <v>247</v>
      </c>
      <c r="AD1169" s="52" t="s">
        <v>1</v>
      </c>
      <c r="AE1169" s="52" t="s">
        <v>376</v>
      </c>
      <c r="AF1169" s="155" t="s">
        <v>247</v>
      </c>
      <c r="AG1169" s="155" t="s">
        <v>247</v>
      </c>
    </row>
    <row r="1170" spans="25:33">
      <c r="Y1170" s="47">
        <v>4206</v>
      </c>
      <c r="Z1170" s="52" t="s">
        <v>410</v>
      </c>
      <c r="AA1170" s="52" t="s">
        <v>247</v>
      </c>
      <c r="AB1170" s="52" t="s">
        <v>247</v>
      </c>
      <c r="AC1170" s="52" t="s">
        <v>247</v>
      </c>
      <c r="AD1170" s="52" t="s">
        <v>1</v>
      </c>
      <c r="AE1170" s="52" t="s">
        <v>376</v>
      </c>
      <c r="AF1170" s="155" t="s">
        <v>247</v>
      </c>
      <c r="AG1170" s="155" t="s">
        <v>247</v>
      </c>
    </row>
    <row r="1171" spans="25:33">
      <c r="Y1171" s="47">
        <v>4207</v>
      </c>
      <c r="Z1171" s="52" t="s">
        <v>410</v>
      </c>
      <c r="AA1171" s="52" t="s">
        <v>247</v>
      </c>
      <c r="AB1171" s="52" t="s">
        <v>247</v>
      </c>
      <c r="AC1171" s="52" t="s">
        <v>247</v>
      </c>
      <c r="AD1171" s="52" t="s">
        <v>1</v>
      </c>
      <c r="AE1171" s="52" t="s">
        <v>376</v>
      </c>
      <c r="AF1171" s="155" t="s">
        <v>247</v>
      </c>
      <c r="AG1171" s="155" t="s">
        <v>247</v>
      </c>
    </row>
    <row r="1172" spans="25:33">
      <c r="Y1172" s="47">
        <v>4208</v>
      </c>
      <c r="Z1172" s="52" t="s">
        <v>410</v>
      </c>
      <c r="AA1172" s="52" t="s">
        <v>247</v>
      </c>
      <c r="AB1172" s="52" t="s">
        <v>247</v>
      </c>
      <c r="AC1172" s="52" t="s">
        <v>247</v>
      </c>
      <c r="AD1172" s="52" t="s">
        <v>1</v>
      </c>
      <c r="AE1172" s="52" t="s">
        <v>376</v>
      </c>
      <c r="AF1172" s="155" t="s">
        <v>247</v>
      </c>
      <c r="AG1172" s="155" t="s">
        <v>247</v>
      </c>
    </row>
    <row r="1173" spans="25:33">
      <c r="Y1173" s="47">
        <v>4209</v>
      </c>
      <c r="Z1173" s="52" t="s">
        <v>410</v>
      </c>
      <c r="AA1173" s="52" t="s">
        <v>247</v>
      </c>
      <c r="AB1173" s="52" t="s">
        <v>247</v>
      </c>
      <c r="AC1173" s="52" t="s">
        <v>247</v>
      </c>
      <c r="AD1173" s="52" t="s">
        <v>1</v>
      </c>
      <c r="AE1173" s="52" t="s">
        <v>376</v>
      </c>
      <c r="AF1173" s="155" t="s">
        <v>247</v>
      </c>
      <c r="AG1173" s="155" t="s">
        <v>247</v>
      </c>
    </row>
    <row r="1174" spans="25:33">
      <c r="Y1174" s="47">
        <v>4210</v>
      </c>
      <c r="Z1174" s="52" t="s">
        <v>410</v>
      </c>
      <c r="AA1174" s="52" t="s">
        <v>247</v>
      </c>
      <c r="AB1174" s="52" t="s">
        <v>247</v>
      </c>
      <c r="AC1174" s="52" t="s">
        <v>247</v>
      </c>
      <c r="AD1174" s="52" t="s">
        <v>1</v>
      </c>
      <c r="AE1174" s="52" t="s">
        <v>376</v>
      </c>
      <c r="AF1174" s="155" t="s">
        <v>247</v>
      </c>
      <c r="AG1174" s="155" t="s">
        <v>247</v>
      </c>
    </row>
    <row r="1175" spans="25:33">
      <c r="Y1175" s="47">
        <v>4211</v>
      </c>
      <c r="Z1175" s="52" t="s">
        <v>410</v>
      </c>
      <c r="AA1175" s="52" t="s">
        <v>247</v>
      </c>
      <c r="AB1175" s="52" t="s">
        <v>247</v>
      </c>
      <c r="AC1175" s="52" t="s">
        <v>247</v>
      </c>
      <c r="AD1175" s="52" t="s">
        <v>1</v>
      </c>
      <c r="AE1175" s="52" t="s">
        <v>376</v>
      </c>
      <c r="AF1175" s="155" t="s">
        <v>247</v>
      </c>
      <c r="AG1175" s="155" t="s">
        <v>247</v>
      </c>
    </row>
    <row r="1176" spans="25:33">
      <c r="Y1176" s="47">
        <v>4212</v>
      </c>
      <c r="Z1176" s="52" t="s">
        <v>410</v>
      </c>
      <c r="AA1176" s="52" t="s">
        <v>247</v>
      </c>
      <c r="AB1176" s="52" t="s">
        <v>247</v>
      </c>
      <c r="AC1176" s="52" t="s">
        <v>247</v>
      </c>
      <c r="AD1176" s="52" t="s">
        <v>1</v>
      </c>
      <c r="AE1176" s="52" t="s">
        <v>376</v>
      </c>
      <c r="AF1176" s="155" t="s">
        <v>247</v>
      </c>
      <c r="AG1176" s="155" t="s">
        <v>247</v>
      </c>
    </row>
    <row r="1177" spans="25:33">
      <c r="Y1177" s="47">
        <v>4213</v>
      </c>
      <c r="Z1177" s="52" t="s">
        <v>410</v>
      </c>
      <c r="AA1177" s="52" t="s">
        <v>247</v>
      </c>
      <c r="AB1177" s="52" t="s">
        <v>247</v>
      </c>
      <c r="AC1177" s="52" t="s">
        <v>247</v>
      </c>
      <c r="AD1177" s="52" t="s">
        <v>1</v>
      </c>
      <c r="AE1177" s="52" t="s">
        <v>376</v>
      </c>
      <c r="AF1177" s="155" t="s">
        <v>247</v>
      </c>
      <c r="AG1177" s="155" t="s">
        <v>247</v>
      </c>
    </row>
    <row r="1178" spans="25:33">
      <c r="Y1178" s="47">
        <v>4214</v>
      </c>
      <c r="Z1178" s="52" t="s">
        <v>410</v>
      </c>
      <c r="AA1178" s="52" t="s">
        <v>247</v>
      </c>
      <c r="AB1178" s="52" t="s">
        <v>247</v>
      </c>
      <c r="AC1178" s="52" t="s">
        <v>247</v>
      </c>
      <c r="AD1178" s="52" t="s">
        <v>1</v>
      </c>
      <c r="AE1178" s="52" t="s">
        <v>376</v>
      </c>
      <c r="AF1178" s="155" t="s">
        <v>247</v>
      </c>
      <c r="AG1178" s="155" t="s">
        <v>247</v>
      </c>
    </row>
    <row r="1179" spans="25:33">
      <c r="Y1179" s="47">
        <v>4215</v>
      </c>
      <c r="Z1179" s="52" t="s">
        <v>410</v>
      </c>
      <c r="AA1179" s="52" t="s">
        <v>247</v>
      </c>
      <c r="AB1179" s="52" t="s">
        <v>247</v>
      </c>
      <c r="AC1179" s="52" t="s">
        <v>247</v>
      </c>
      <c r="AD1179" s="52" t="s">
        <v>1</v>
      </c>
      <c r="AE1179" s="52" t="s">
        <v>376</v>
      </c>
      <c r="AF1179" s="155" t="s">
        <v>247</v>
      </c>
      <c r="AG1179" s="155" t="s">
        <v>247</v>
      </c>
    </row>
    <row r="1180" spans="25:33">
      <c r="Y1180" s="47">
        <v>4216</v>
      </c>
      <c r="Z1180" s="52" t="s">
        <v>410</v>
      </c>
      <c r="AA1180" s="52" t="s">
        <v>247</v>
      </c>
      <c r="AB1180" s="52" t="s">
        <v>247</v>
      </c>
      <c r="AC1180" s="52" t="s">
        <v>247</v>
      </c>
      <c r="AD1180" s="52" t="s">
        <v>1</v>
      </c>
      <c r="AE1180" s="52" t="s">
        <v>376</v>
      </c>
      <c r="AF1180" s="155" t="s">
        <v>247</v>
      </c>
      <c r="AG1180" s="155" t="s">
        <v>247</v>
      </c>
    </row>
    <row r="1181" spans="25:33">
      <c r="Y1181" s="47">
        <v>4217</v>
      </c>
      <c r="Z1181" s="52" t="s">
        <v>410</v>
      </c>
      <c r="AA1181" s="52" t="s">
        <v>247</v>
      </c>
      <c r="AB1181" s="52" t="s">
        <v>247</v>
      </c>
      <c r="AC1181" s="52" t="s">
        <v>247</v>
      </c>
      <c r="AD1181" s="52" t="s">
        <v>1</v>
      </c>
      <c r="AE1181" s="52" t="s">
        <v>376</v>
      </c>
      <c r="AF1181" s="155" t="s">
        <v>247</v>
      </c>
      <c r="AG1181" s="155" t="s">
        <v>247</v>
      </c>
    </row>
    <row r="1182" spans="25:33">
      <c r="Y1182" s="47">
        <v>4218</v>
      </c>
      <c r="Z1182" s="52" t="s">
        <v>410</v>
      </c>
      <c r="AA1182" s="52" t="s">
        <v>247</v>
      </c>
      <c r="AB1182" s="52" t="s">
        <v>247</v>
      </c>
      <c r="AC1182" s="52" t="s">
        <v>247</v>
      </c>
      <c r="AD1182" s="52" t="s">
        <v>1</v>
      </c>
      <c r="AE1182" s="52" t="s">
        <v>376</v>
      </c>
      <c r="AF1182" s="155" t="s">
        <v>247</v>
      </c>
      <c r="AG1182" s="155" t="s">
        <v>247</v>
      </c>
    </row>
    <row r="1183" spans="25:33">
      <c r="Y1183" s="47">
        <v>4219</v>
      </c>
      <c r="Z1183" s="52" t="s">
        <v>410</v>
      </c>
      <c r="AA1183" s="52" t="s">
        <v>247</v>
      </c>
      <c r="AB1183" s="52" t="s">
        <v>247</v>
      </c>
      <c r="AC1183" s="52" t="s">
        <v>247</v>
      </c>
      <c r="AD1183" s="52" t="s">
        <v>1</v>
      </c>
      <c r="AE1183" s="52" t="s">
        <v>376</v>
      </c>
      <c r="AF1183" s="155" t="s">
        <v>247</v>
      </c>
      <c r="AG1183" s="155" t="s">
        <v>247</v>
      </c>
    </row>
    <row r="1184" spans="25:33">
      <c r="Y1184" s="47">
        <v>4220</v>
      </c>
      <c r="Z1184" s="52" t="s">
        <v>410</v>
      </c>
      <c r="AA1184" s="52" t="s">
        <v>247</v>
      </c>
      <c r="AB1184" s="52" t="s">
        <v>247</v>
      </c>
      <c r="AC1184" s="52" t="s">
        <v>247</v>
      </c>
      <c r="AD1184" s="52" t="s">
        <v>1</v>
      </c>
      <c r="AE1184" s="52" t="s">
        <v>376</v>
      </c>
      <c r="AF1184" s="155" t="s">
        <v>247</v>
      </c>
      <c r="AG1184" s="155" t="s">
        <v>247</v>
      </c>
    </row>
    <row r="1185" spans="25:33">
      <c r="Y1185" s="47">
        <v>4221</v>
      </c>
      <c r="Z1185" s="52" t="s">
        <v>410</v>
      </c>
      <c r="AA1185" s="52" t="s">
        <v>247</v>
      </c>
      <c r="AB1185" s="52" t="s">
        <v>247</v>
      </c>
      <c r="AC1185" s="52" t="s">
        <v>247</v>
      </c>
      <c r="AD1185" s="52" t="s">
        <v>1</v>
      </c>
      <c r="AE1185" s="52" t="s">
        <v>376</v>
      </c>
      <c r="AF1185" s="155" t="s">
        <v>247</v>
      </c>
      <c r="AG1185" s="155" t="s">
        <v>247</v>
      </c>
    </row>
    <row r="1186" spans="25:33">
      <c r="Y1186" s="47">
        <v>4222</v>
      </c>
      <c r="Z1186" s="52" t="s">
        <v>410</v>
      </c>
      <c r="AA1186" s="52" t="s">
        <v>247</v>
      </c>
      <c r="AB1186" s="52" t="s">
        <v>247</v>
      </c>
      <c r="AC1186" s="52" t="s">
        <v>247</v>
      </c>
      <c r="AD1186" s="52" t="s">
        <v>1</v>
      </c>
      <c r="AE1186" s="52" t="s">
        <v>376</v>
      </c>
      <c r="AF1186" s="155" t="s">
        <v>247</v>
      </c>
      <c r="AG1186" s="155" t="s">
        <v>247</v>
      </c>
    </row>
    <row r="1187" spans="25:33">
      <c r="Y1187" s="47">
        <v>4223</v>
      </c>
      <c r="Z1187" s="52" t="s">
        <v>410</v>
      </c>
      <c r="AA1187" s="52" t="s">
        <v>247</v>
      </c>
      <c r="AB1187" s="52" t="s">
        <v>247</v>
      </c>
      <c r="AC1187" s="52" t="s">
        <v>247</v>
      </c>
      <c r="AD1187" s="52" t="s">
        <v>1</v>
      </c>
      <c r="AE1187" s="52" t="s">
        <v>376</v>
      </c>
      <c r="AF1187" s="155" t="s">
        <v>247</v>
      </c>
      <c r="AG1187" s="155" t="s">
        <v>247</v>
      </c>
    </row>
    <row r="1188" spans="25:33">
      <c r="Y1188" s="47">
        <v>4224</v>
      </c>
      <c r="Z1188" s="52" t="s">
        <v>410</v>
      </c>
      <c r="AA1188" s="52" t="s">
        <v>247</v>
      </c>
      <c r="AB1188" s="52" t="s">
        <v>247</v>
      </c>
      <c r="AC1188" s="52" t="s">
        <v>247</v>
      </c>
      <c r="AD1188" s="52" t="s">
        <v>1</v>
      </c>
      <c r="AE1188" s="52" t="s">
        <v>376</v>
      </c>
      <c r="AF1188" s="155" t="s">
        <v>247</v>
      </c>
      <c r="AG1188" s="155" t="s">
        <v>247</v>
      </c>
    </row>
    <row r="1189" spans="25:33">
      <c r="Y1189" s="47">
        <v>4225</v>
      </c>
      <c r="Z1189" s="52" t="s">
        <v>410</v>
      </c>
      <c r="AA1189" s="52" t="s">
        <v>247</v>
      </c>
      <c r="AB1189" s="52" t="s">
        <v>247</v>
      </c>
      <c r="AC1189" s="52" t="s">
        <v>247</v>
      </c>
      <c r="AD1189" s="52" t="s">
        <v>1</v>
      </c>
      <c r="AE1189" s="52" t="s">
        <v>376</v>
      </c>
      <c r="AF1189" s="155" t="s">
        <v>247</v>
      </c>
      <c r="AG1189" s="155" t="s">
        <v>247</v>
      </c>
    </row>
    <row r="1190" spans="25:33">
      <c r="Y1190" s="47">
        <v>4226</v>
      </c>
      <c r="Z1190" s="52" t="s">
        <v>410</v>
      </c>
      <c r="AA1190" s="52" t="s">
        <v>247</v>
      </c>
      <c r="AB1190" s="52" t="s">
        <v>247</v>
      </c>
      <c r="AC1190" s="52" t="s">
        <v>247</v>
      </c>
      <c r="AD1190" s="52" t="s">
        <v>1</v>
      </c>
      <c r="AE1190" s="52" t="s">
        <v>376</v>
      </c>
      <c r="AF1190" s="155" t="s">
        <v>247</v>
      </c>
      <c r="AG1190" s="155" t="s">
        <v>247</v>
      </c>
    </row>
    <row r="1191" spans="25:33">
      <c r="Y1191" s="47">
        <v>4227</v>
      </c>
      <c r="Z1191" s="52" t="s">
        <v>410</v>
      </c>
      <c r="AA1191" s="52" t="s">
        <v>247</v>
      </c>
      <c r="AB1191" s="52" t="s">
        <v>247</v>
      </c>
      <c r="AC1191" s="52" t="s">
        <v>247</v>
      </c>
      <c r="AD1191" s="52" t="s">
        <v>1</v>
      </c>
      <c r="AE1191" s="52" t="s">
        <v>376</v>
      </c>
      <c r="AF1191" s="155" t="s">
        <v>247</v>
      </c>
      <c r="AG1191" s="155" t="s">
        <v>247</v>
      </c>
    </row>
    <row r="1192" spans="25:33">
      <c r="Y1192" s="47">
        <v>4228</v>
      </c>
      <c r="Z1192" s="52" t="s">
        <v>410</v>
      </c>
      <c r="AA1192" s="52" t="s">
        <v>247</v>
      </c>
      <c r="AB1192" s="52" t="s">
        <v>247</v>
      </c>
      <c r="AC1192" s="52" t="s">
        <v>247</v>
      </c>
      <c r="AD1192" s="52" t="s">
        <v>1</v>
      </c>
      <c r="AE1192" s="52" t="s">
        <v>376</v>
      </c>
      <c r="AF1192" s="155" t="s">
        <v>247</v>
      </c>
      <c r="AG1192" s="155" t="s">
        <v>247</v>
      </c>
    </row>
    <row r="1193" spans="25:33">
      <c r="Y1193" s="47">
        <v>4229</v>
      </c>
      <c r="Z1193" s="52" t="s">
        <v>410</v>
      </c>
      <c r="AA1193" s="52" t="s">
        <v>247</v>
      </c>
      <c r="AB1193" s="52" t="s">
        <v>247</v>
      </c>
      <c r="AC1193" s="52" t="s">
        <v>247</v>
      </c>
      <c r="AD1193" s="52" t="s">
        <v>1</v>
      </c>
      <c r="AE1193" s="52" t="s">
        <v>376</v>
      </c>
      <c r="AF1193" s="155" t="s">
        <v>247</v>
      </c>
      <c r="AG1193" s="155" t="s">
        <v>247</v>
      </c>
    </row>
    <row r="1194" spans="25:33">
      <c r="Y1194" s="47">
        <v>4230</v>
      </c>
      <c r="Z1194" s="52" t="s">
        <v>410</v>
      </c>
      <c r="AA1194" s="52" t="s">
        <v>247</v>
      </c>
      <c r="AB1194" s="52" t="s">
        <v>247</v>
      </c>
      <c r="AC1194" s="52" t="s">
        <v>247</v>
      </c>
      <c r="AD1194" s="52" t="s">
        <v>1</v>
      </c>
      <c r="AE1194" s="52" t="s">
        <v>376</v>
      </c>
      <c r="AF1194" s="155" t="s">
        <v>247</v>
      </c>
      <c r="AG1194" s="155" t="s">
        <v>247</v>
      </c>
    </row>
    <row r="1195" spans="25:33">
      <c r="Y1195" s="47">
        <v>4231</v>
      </c>
      <c r="Z1195" s="52" t="s">
        <v>410</v>
      </c>
      <c r="AA1195" s="52" t="s">
        <v>247</v>
      </c>
      <c r="AB1195" s="52" t="s">
        <v>247</v>
      </c>
      <c r="AC1195" s="52" t="s">
        <v>247</v>
      </c>
      <c r="AD1195" s="52" t="s">
        <v>1</v>
      </c>
      <c r="AE1195" s="52" t="s">
        <v>376</v>
      </c>
      <c r="AF1195" s="155" t="s">
        <v>247</v>
      </c>
      <c r="AG1195" s="155" t="s">
        <v>247</v>
      </c>
    </row>
    <row r="1196" spans="25:33">
      <c r="Y1196" s="47">
        <v>4232</v>
      </c>
      <c r="Z1196" s="52" t="s">
        <v>410</v>
      </c>
      <c r="AA1196" s="52" t="s">
        <v>247</v>
      </c>
      <c r="AB1196" s="52" t="s">
        <v>247</v>
      </c>
      <c r="AC1196" s="52" t="s">
        <v>247</v>
      </c>
      <c r="AD1196" s="52" t="s">
        <v>1</v>
      </c>
      <c r="AE1196" s="52" t="s">
        <v>376</v>
      </c>
      <c r="AF1196" s="155" t="s">
        <v>247</v>
      </c>
      <c r="AG1196" s="155" t="s">
        <v>247</v>
      </c>
    </row>
    <row r="1197" spans="25:33">
      <c r="Y1197" s="47">
        <v>4233</v>
      </c>
      <c r="Z1197" s="52" t="s">
        <v>410</v>
      </c>
      <c r="AA1197" s="52" t="s">
        <v>247</v>
      </c>
      <c r="AB1197" s="52" t="s">
        <v>247</v>
      </c>
      <c r="AC1197" s="52" t="s">
        <v>247</v>
      </c>
      <c r="AD1197" s="52" t="s">
        <v>1</v>
      </c>
      <c r="AE1197" s="52" t="s">
        <v>376</v>
      </c>
      <c r="AF1197" s="155" t="s">
        <v>247</v>
      </c>
      <c r="AG1197" s="155" t="s">
        <v>247</v>
      </c>
    </row>
    <row r="1198" spans="25:33">
      <c r="Y1198" s="47">
        <v>4234</v>
      </c>
      <c r="Z1198" s="52" t="s">
        <v>410</v>
      </c>
      <c r="AA1198" s="52" t="s">
        <v>247</v>
      </c>
      <c r="AB1198" s="52" t="s">
        <v>247</v>
      </c>
      <c r="AC1198" s="52" t="s">
        <v>247</v>
      </c>
      <c r="AD1198" s="52" t="s">
        <v>1</v>
      </c>
      <c r="AE1198" s="52" t="s">
        <v>376</v>
      </c>
      <c r="AF1198" s="155" t="s">
        <v>247</v>
      </c>
      <c r="AG1198" s="155" t="s">
        <v>247</v>
      </c>
    </row>
    <row r="1199" spans="25:33">
      <c r="Y1199" s="47">
        <v>4235</v>
      </c>
      <c r="Z1199" s="52" t="s">
        <v>410</v>
      </c>
      <c r="AA1199" s="52" t="s">
        <v>247</v>
      </c>
      <c r="AB1199" s="52" t="s">
        <v>247</v>
      </c>
      <c r="AC1199" s="52" t="s">
        <v>247</v>
      </c>
      <c r="AD1199" s="52" t="s">
        <v>1</v>
      </c>
      <c r="AE1199" s="52" t="s">
        <v>376</v>
      </c>
      <c r="AF1199" s="155" t="s">
        <v>247</v>
      </c>
      <c r="AG1199" s="155" t="s">
        <v>247</v>
      </c>
    </row>
    <row r="1200" spans="25:33">
      <c r="Y1200" s="47">
        <v>4236</v>
      </c>
      <c r="Z1200" s="52" t="s">
        <v>410</v>
      </c>
      <c r="AA1200" s="52" t="s">
        <v>247</v>
      </c>
      <c r="AB1200" s="52" t="s">
        <v>247</v>
      </c>
      <c r="AC1200" s="52" t="s">
        <v>247</v>
      </c>
      <c r="AD1200" s="52" t="s">
        <v>1</v>
      </c>
      <c r="AE1200" s="52" t="s">
        <v>376</v>
      </c>
      <c r="AF1200" s="155" t="s">
        <v>247</v>
      </c>
      <c r="AG1200" s="155" t="s">
        <v>247</v>
      </c>
    </row>
    <row r="1201" spans="25:33">
      <c r="Y1201" s="47">
        <v>4237</v>
      </c>
      <c r="Z1201" s="52" t="s">
        <v>410</v>
      </c>
      <c r="AA1201" s="52" t="s">
        <v>247</v>
      </c>
      <c r="AB1201" s="52" t="s">
        <v>247</v>
      </c>
      <c r="AC1201" s="52" t="s">
        <v>247</v>
      </c>
      <c r="AD1201" s="52" t="s">
        <v>1</v>
      </c>
      <c r="AE1201" s="52" t="s">
        <v>376</v>
      </c>
      <c r="AF1201" s="155" t="s">
        <v>247</v>
      </c>
      <c r="AG1201" s="155" t="s">
        <v>247</v>
      </c>
    </row>
    <row r="1202" spans="25:33">
      <c r="Y1202" s="47">
        <v>4238</v>
      </c>
      <c r="Z1202" s="52" t="s">
        <v>410</v>
      </c>
      <c r="AA1202" s="52" t="s">
        <v>247</v>
      </c>
      <c r="AB1202" s="52" t="s">
        <v>247</v>
      </c>
      <c r="AC1202" s="52" t="s">
        <v>247</v>
      </c>
      <c r="AD1202" s="52" t="s">
        <v>1</v>
      </c>
      <c r="AE1202" s="52" t="s">
        <v>376</v>
      </c>
      <c r="AF1202" s="155" t="s">
        <v>247</v>
      </c>
      <c r="AG1202" s="155" t="s">
        <v>247</v>
      </c>
    </row>
    <row r="1203" spans="25:33">
      <c r="Y1203" s="47">
        <v>4239</v>
      </c>
      <c r="Z1203" s="52" t="s">
        <v>410</v>
      </c>
      <c r="AA1203" s="52" t="s">
        <v>247</v>
      </c>
      <c r="AB1203" s="52" t="s">
        <v>247</v>
      </c>
      <c r="AC1203" s="52" t="s">
        <v>247</v>
      </c>
      <c r="AD1203" s="52" t="s">
        <v>1</v>
      </c>
      <c r="AE1203" s="52" t="s">
        <v>376</v>
      </c>
      <c r="AF1203" s="155" t="s">
        <v>247</v>
      </c>
      <c r="AG1203" s="155" t="s">
        <v>247</v>
      </c>
    </row>
    <row r="1204" spans="25:33">
      <c r="Y1204" s="47">
        <v>4240</v>
      </c>
      <c r="Z1204" s="52" t="s">
        <v>410</v>
      </c>
      <c r="AA1204" s="52" t="s">
        <v>247</v>
      </c>
      <c r="AB1204" s="52" t="s">
        <v>247</v>
      </c>
      <c r="AC1204" s="52" t="s">
        <v>247</v>
      </c>
      <c r="AD1204" s="52" t="s">
        <v>1</v>
      </c>
      <c r="AE1204" s="52" t="s">
        <v>376</v>
      </c>
      <c r="AF1204" s="155" t="s">
        <v>247</v>
      </c>
      <c r="AG1204" s="155" t="s">
        <v>247</v>
      </c>
    </row>
    <row r="1205" spans="25:33">
      <c r="Y1205" s="47">
        <v>4241</v>
      </c>
      <c r="Z1205" s="52" t="s">
        <v>410</v>
      </c>
      <c r="AA1205" s="52" t="s">
        <v>247</v>
      </c>
      <c r="AB1205" s="52" t="s">
        <v>247</v>
      </c>
      <c r="AC1205" s="52" t="s">
        <v>247</v>
      </c>
      <c r="AD1205" s="52" t="s">
        <v>1</v>
      </c>
      <c r="AE1205" s="52" t="s">
        <v>376</v>
      </c>
      <c r="AF1205" s="155" t="s">
        <v>247</v>
      </c>
      <c r="AG1205" s="155" t="s">
        <v>247</v>
      </c>
    </row>
    <row r="1206" spans="25:33">
      <c r="Y1206" s="47">
        <v>4242</v>
      </c>
      <c r="Z1206" s="52" t="s">
        <v>410</v>
      </c>
      <c r="AA1206" s="52" t="s">
        <v>247</v>
      </c>
      <c r="AB1206" s="52" t="s">
        <v>247</v>
      </c>
      <c r="AC1206" s="52" t="s">
        <v>247</v>
      </c>
      <c r="AD1206" s="52" t="s">
        <v>1</v>
      </c>
      <c r="AE1206" s="52" t="s">
        <v>376</v>
      </c>
      <c r="AF1206" s="155" t="s">
        <v>247</v>
      </c>
      <c r="AG1206" s="155" t="s">
        <v>247</v>
      </c>
    </row>
    <row r="1207" spans="25:33">
      <c r="Y1207" s="47">
        <v>4243</v>
      </c>
      <c r="Z1207" s="52" t="s">
        <v>410</v>
      </c>
      <c r="AA1207" s="52" t="s">
        <v>247</v>
      </c>
      <c r="AB1207" s="52" t="s">
        <v>247</v>
      </c>
      <c r="AC1207" s="52" t="s">
        <v>247</v>
      </c>
      <c r="AD1207" s="52" t="s">
        <v>1</v>
      </c>
      <c r="AE1207" s="52" t="s">
        <v>376</v>
      </c>
      <c r="AF1207" s="155" t="s">
        <v>247</v>
      </c>
      <c r="AG1207" s="155" t="s">
        <v>247</v>
      </c>
    </row>
    <row r="1208" spans="25:33">
      <c r="Y1208" s="47">
        <v>4244</v>
      </c>
      <c r="Z1208" s="52" t="s">
        <v>410</v>
      </c>
      <c r="AA1208" s="52" t="s">
        <v>247</v>
      </c>
      <c r="AB1208" s="52" t="s">
        <v>247</v>
      </c>
      <c r="AC1208" s="52" t="s">
        <v>247</v>
      </c>
      <c r="AD1208" s="52" t="s">
        <v>1</v>
      </c>
      <c r="AE1208" s="52" t="s">
        <v>376</v>
      </c>
      <c r="AF1208" s="155" t="s">
        <v>247</v>
      </c>
      <c r="AG1208" s="155" t="s">
        <v>247</v>
      </c>
    </row>
    <row r="1209" spans="25:33">
      <c r="Y1209" s="47">
        <v>4245</v>
      </c>
      <c r="Z1209" s="52" t="s">
        <v>410</v>
      </c>
      <c r="AA1209" s="52" t="s">
        <v>247</v>
      </c>
      <c r="AB1209" s="52" t="s">
        <v>247</v>
      </c>
      <c r="AC1209" s="52" t="s">
        <v>247</v>
      </c>
      <c r="AD1209" s="52" t="s">
        <v>1</v>
      </c>
      <c r="AE1209" s="52" t="s">
        <v>376</v>
      </c>
      <c r="AF1209" s="155" t="s">
        <v>247</v>
      </c>
      <c r="AG1209" s="155" t="s">
        <v>247</v>
      </c>
    </row>
    <row r="1210" spans="25:33">
      <c r="Y1210" s="47">
        <v>4246</v>
      </c>
      <c r="Z1210" s="52" t="s">
        <v>410</v>
      </c>
      <c r="AA1210" s="52" t="s">
        <v>247</v>
      </c>
      <c r="AB1210" s="52" t="s">
        <v>247</v>
      </c>
      <c r="AC1210" s="52" t="s">
        <v>247</v>
      </c>
      <c r="AD1210" s="52" t="s">
        <v>1</v>
      </c>
      <c r="AE1210" s="52" t="s">
        <v>376</v>
      </c>
      <c r="AF1210" s="155" t="s">
        <v>247</v>
      </c>
      <c r="AG1210" s="155" t="s">
        <v>247</v>
      </c>
    </row>
    <row r="1211" spans="25:33">
      <c r="Y1211" s="47">
        <v>4247</v>
      </c>
      <c r="Z1211" s="52" t="s">
        <v>410</v>
      </c>
      <c r="AA1211" s="52" t="s">
        <v>247</v>
      </c>
      <c r="AB1211" s="52" t="s">
        <v>247</v>
      </c>
      <c r="AC1211" s="52" t="s">
        <v>247</v>
      </c>
      <c r="AD1211" s="52" t="s">
        <v>1</v>
      </c>
      <c r="AE1211" s="52" t="s">
        <v>376</v>
      </c>
      <c r="AF1211" s="155" t="s">
        <v>247</v>
      </c>
      <c r="AG1211" s="155" t="s">
        <v>247</v>
      </c>
    </row>
    <row r="1212" spans="25:33">
      <c r="Y1212" s="47">
        <v>4248</v>
      </c>
      <c r="Z1212" s="52" t="s">
        <v>410</v>
      </c>
      <c r="AA1212" s="52" t="s">
        <v>247</v>
      </c>
      <c r="AB1212" s="52" t="s">
        <v>247</v>
      </c>
      <c r="AC1212" s="52" t="s">
        <v>247</v>
      </c>
      <c r="AD1212" s="52" t="s">
        <v>1</v>
      </c>
      <c r="AE1212" s="52" t="s">
        <v>376</v>
      </c>
      <c r="AF1212" s="155" t="s">
        <v>247</v>
      </c>
      <c r="AG1212" s="155" t="s">
        <v>247</v>
      </c>
    </row>
    <row r="1213" spans="25:33">
      <c r="Y1213" s="47">
        <v>4249</v>
      </c>
      <c r="Z1213" s="52" t="s">
        <v>410</v>
      </c>
      <c r="AA1213" s="52" t="s">
        <v>247</v>
      </c>
      <c r="AB1213" s="52" t="s">
        <v>247</v>
      </c>
      <c r="AC1213" s="52" t="s">
        <v>247</v>
      </c>
      <c r="AD1213" s="52" t="s">
        <v>1</v>
      </c>
      <c r="AE1213" s="52" t="s">
        <v>376</v>
      </c>
      <c r="AF1213" s="155" t="s">
        <v>247</v>
      </c>
      <c r="AG1213" s="155" t="s">
        <v>247</v>
      </c>
    </row>
    <row r="1214" spans="25:33">
      <c r="Y1214" s="47">
        <v>4250</v>
      </c>
      <c r="Z1214" s="52" t="s">
        <v>410</v>
      </c>
      <c r="AA1214" s="52" t="s">
        <v>247</v>
      </c>
      <c r="AB1214" s="52" t="s">
        <v>247</v>
      </c>
      <c r="AC1214" s="52" t="s">
        <v>247</v>
      </c>
      <c r="AD1214" s="52" t="s">
        <v>1</v>
      </c>
      <c r="AE1214" s="52" t="s">
        <v>376</v>
      </c>
      <c r="AF1214" s="155" t="s">
        <v>247</v>
      </c>
      <c r="AG1214" s="155" t="s">
        <v>247</v>
      </c>
    </row>
    <row r="1215" spans="25:33">
      <c r="Y1215" s="47">
        <v>4251</v>
      </c>
      <c r="Z1215" s="52" t="s">
        <v>410</v>
      </c>
      <c r="AA1215" s="52" t="s">
        <v>247</v>
      </c>
      <c r="AB1215" s="52" t="s">
        <v>247</v>
      </c>
      <c r="AC1215" s="52" t="s">
        <v>247</v>
      </c>
      <c r="AD1215" s="52" t="s">
        <v>1</v>
      </c>
      <c r="AE1215" s="52" t="s">
        <v>376</v>
      </c>
      <c r="AF1215" s="155" t="s">
        <v>247</v>
      </c>
      <c r="AG1215" s="155" t="s">
        <v>247</v>
      </c>
    </row>
    <row r="1216" spans="25:33">
      <c r="Y1216" s="47">
        <v>4252</v>
      </c>
      <c r="Z1216" s="52" t="s">
        <v>410</v>
      </c>
      <c r="AA1216" s="52" t="s">
        <v>247</v>
      </c>
      <c r="AB1216" s="52" t="s">
        <v>247</v>
      </c>
      <c r="AC1216" s="52" t="s">
        <v>247</v>
      </c>
      <c r="AD1216" s="52" t="s">
        <v>1</v>
      </c>
      <c r="AE1216" s="52" t="s">
        <v>376</v>
      </c>
      <c r="AF1216" s="155" t="s">
        <v>247</v>
      </c>
      <c r="AG1216" s="155" t="s">
        <v>247</v>
      </c>
    </row>
    <row r="1217" spans="25:33">
      <c r="Y1217" s="47">
        <v>4253</v>
      </c>
      <c r="Z1217" s="52" t="s">
        <v>410</v>
      </c>
      <c r="AA1217" s="52" t="s">
        <v>247</v>
      </c>
      <c r="AB1217" s="52" t="s">
        <v>247</v>
      </c>
      <c r="AC1217" s="52" t="s">
        <v>247</v>
      </c>
      <c r="AD1217" s="52" t="s">
        <v>1</v>
      </c>
      <c r="AE1217" s="52" t="s">
        <v>376</v>
      </c>
      <c r="AF1217" s="155" t="s">
        <v>247</v>
      </c>
      <c r="AG1217" s="155" t="s">
        <v>247</v>
      </c>
    </row>
    <row r="1218" spans="25:33">
      <c r="Y1218" s="47">
        <v>4254</v>
      </c>
      <c r="Z1218" s="52" t="s">
        <v>410</v>
      </c>
      <c r="AA1218" s="52" t="s">
        <v>247</v>
      </c>
      <c r="AB1218" s="52" t="s">
        <v>247</v>
      </c>
      <c r="AC1218" s="52" t="s">
        <v>247</v>
      </c>
      <c r="AD1218" s="52" t="s">
        <v>1</v>
      </c>
      <c r="AE1218" s="52" t="s">
        <v>376</v>
      </c>
      <c r="AF1218" s="155" t="s">
        <v>247</v>
      </c>
      <c r="AG1218" s="155" t="s">
        <v>247</v>
      </c>
    </row>
    <row r="1219" spans="25:33">
      <c r="Y1219" s="47">
        <v>4255</v>
      </c>
      <c r="Z1219" s="52" t="s">
        <v>410</v>
      </c>
      <c r="AA1219" s="52" t="s">
        <v>247</v>
      </c>
      <c r="AB1219" s="52" t="s">
        <v>247</v>
      </c>
      <c r="AC1219" s="52" t="s">
        <v>247</v>
      </c>
      <c r="AD1219" s="52" t="s">
        <v>1</v>
      </c>
      <c r="AE1219" s="52" t="s">
        <v>376</v>
      </c>
      <c r="AF1219" s="155" t="s">
        <v>247</v>
      </c>
      <c r="AG1219" s="155" t="s">
        <v>247</v>
      </c>
    </row>
    <row r="1220" spans="25:33">
      <c r="Y1220" s="47">
        <v>4256</v>
      </c>
      <c r="Z1220" s="52" t="s">
        <v>410</v>
      </c>
      <c r="AA1220" s="52" t="s">
        <v>247</v>
      </c>
      <c r="AB1220" s="52" t="s">
        <v>247</v>
      </c>
      <c r="AC1220" s="52" t="s">
        <v>247</v>
      </c>
      <c r="AD1220" s="52" t="s">
        <v>1</v>
      </c>
      <c r="AE1220" s="52" t="s">
        <v>376</v>
      </c>
      <c r="AF1220" s="155" t="s">
        <v>247</v>
      </c>
      <c r="AG1220" s="155" t="s">
        <v>247</v>
      </c>
    </row>
    <row r="1221" spans="25:33">
      <c r="Y1221" s="47">
        <v>4257</v>
      </c>
      <c r="Z1221" s="52" t="s">
        <v>410</v>
      </c>
      <c r="AA1221" s="52" t="s">
        <v>247</v>
      </c>
      <c r="AB1221" s="52" t="s">
        <v>247</v>
      </c>
      <c r="AC1221" s="52" t="s">
        <v>247</v>
      </c>
      <c r="AD1221" s="52" t="s">
        <v>1</v>
      </c>
      <c r="AE1221" s="52" t="s">
        <v>376</v>
      </c>
      <c r="AF1221" s="155" t="s">
        <v>247</v>
      </c>
      <c r="AG1221" s="155" t="s">
        <v>247</v>
      </c>
    </row>
    <row r="1222" spans="25:33">
      <c r="Y1222" s="47">
        <v>4258</v>
      </c>
      <c r="Z1222" s="52" t="s">
        <v>410</v>
      </c>
      <c r="AA1222" s="52" t="s">
        <v>247</v>
      </c>
      <c r="AB1222" s="52" t="s">
        <v>247</v>
      </c>
      <c r="AC1222" s="52" t="s">
        <v>247</v>
      </c>
      <c r="AD1222" s="52" t="s">
        <v>1</v>
      </c>
      <c r="AE1222" s="52" t="s">
        <v>376</v>
      </c>
      <c r="AF1222" s="155" t="s">
        <v>247</v>
      </c>
      <c r="AG1222" s="155" t="s">
        <v>247</v>
      </c>
    </row>
    <row r="1223" spans="25:33">
      <c r="Y1223" s="47">
        <v>4259</v>
      </c>
      <c r="Z1223" s="52" t="s">
        <v>410</v>
      </c>
      <c r="AA1223" s="52" t="s">
        <v>247</v>
      </c>
      <c r="AB1223" s="52" t="s">
        <v>247</v>
      </c>
      <c r="AC1223" s="52" t="s">
        <v>247</v>
      </c>
      <c r="AD1223" s="52" t="s">
        <v>1</v>
      </c>
      <c r="AE1223" s="52" t="s">
        <v>376</v>
      </c>
      <c r="AF1223" s="155" t="s">
        <v>247</v>
      </c>
      <c r="AG1223" s="155" t="s">
        <v>247</v>
      </c>
    </row>
    <row r="1224" spans="25:33">
      <c r="Y1224" s="47">
        <v>4260</v>
      </c>
      <c r="Z1224" s="52" t="s">
        <v>410</v>
      </c>
      <c r="AA1224" s="52" t="s">
        <v>247</v>
      </c>
      <c r="AB1224" s="52" t="s">
        <v>247</v>
      </c>
      <c r="AC1224" s="52" t="s">
        <v>247</v>
      </c>
      <c r="AD1224" s="52" t="s">
        <v>1</v>
      </c>
      <c r="AE1224" s="52" t="s">
        <v>376</v>
      </c>
      <c r="AF1224" s="155" t="s">
        <v>247</v>
      </c>
      <c r="AG1224" s="155" t="s">
        <v>247</v>
      </c>
    </row>
    <row r="1225" spans="25:33">
      <c r="Y1225" s="47">
        <v>4261</v>
      </c>
      <c r="Z1225" s="52" t="s">
        <v>410</v>
      </c>
      <c r="AA1225" s="52" t="s">
        <v>247</v>
      </c>
      <c r="AB1225" s="52" t="s">
        <v>247</v>
      </c>
      <c r="AC1225" s="52" t="s">
        <v>247</v>
      </c>
      <c r="AD1225" s="52" t="s">
        <v>1</v>
      </c>
      <c r="AE1225" s="52" t="s">
        <v>376</v>
      </c>
      <c r="AF1225" s="155" t="s">
        <v>247</v>
      </c>
      <c r="AG1225" s="155" t="s">
        <v>247</v>
      </c>
    </row>
    <row r="1226" spans="25:33">
      <c r="Y1226" s="47">
        <v>4262</v>
      </c>
      <c r="Z1226" s="52" t="s">
        <v>410</v>
      </c>
      <c r="AA1226" s="52" t="s">
        <v>247</v>
      </c>
      <c r="AB1226" s="52" t="s">
        <v>247</v>
      </c>
      <c r="AC1226" s="52" t="s">
        <v>247</v>
      </c>
      <c r="AD1226" s="52" t="s">
        <v>1</v>
      </c>
      <c r="AE1226" s="52" t="s">
        <v>376</v>
      </c>
      <c r="AF1226" s="155" t="s">
        <v>247</v>
      </c>
      <c r="AG1226" s="155" t="s">
        <v>247</v>
      </c>
    </row>
    <row r="1227" spans="25:33">
      <c r="Y1227" s="47">
        <v>4263</v>
      </c>
      <c r="Z1227" s="52" t="s">
        <v>410</v>
      </c>
      <c r="AA1227" s="52" t="s">
        <v>247</v>
      </c>
      <c r="AB1227" s="52" t="s">
        <v>247</v>
      </c>
      <c r="AC1227" s="52" t="s">
        <v>247</v>
      </c>
      <c r="AD1227" s="52" t="s">
        <v>1</v>
      </c>
      <c r="AE1227" s="52" t="s">
        <v>376</v>
      </c>
      <c r="AF1227" s="155" t="s">
        <v>247</v>
      </c>
      <c r="AG1227" s="155" t="s">
        <v>247</v>
      </c>
    </row>
    <row r="1228" spans="25:33">
      <c r="Y1228" s="47">
        <v>4264</v>
      </c>
      <c r="Z1228" s="52" t="s">
        <v>410</v>
      </c>
      <c r="AA1228" s="52" t="s">
        <v>247</v>
      </c>
      <c r="AB1228" s="52" t="s">
        <v>247</v>
      </c>
      <c r="AC1228" s="52" t="s">
        <v>247</v>
      </c>
      <c r="AD1228" s="52" t="s">
        <v>1</v>
      </c>
      <c r="AE1228" s="52" t="s">
        <v>376</v>
      </c>
      <c r="AF1228" s="155" t="s">
        <v>247</v>
      </c>
      <c r="AG1228" s="155" t="s">
        <v>247</v>
      </c>
    </row>
    <row r="1229" spans="25:33">
      <c r="Y1229" s="47">
        <v>4265</v>
      </c>
      <c r="Z1229" s="52" t="s">
        <v>410</v>
      </c>
      <c r="AA1229" s="52" t="s">
        <v>247</v>
      </c>
      <c r="AB1229" s="52" t="s">
        <v>247</v>
      </c>
      <c r="AC1229" s="52" t="s">
        <v>247</v>
      </c>
      <c r="AD1229" s="52" t="s">
        <v>1</v>
      </c>
      <c r="AE1229" s="52" t="s">
        <v>376</v>
      </c>
      <c r="AF1229" s="155" t="s">
        <v>247</v>
      </c>
      <c r="AG1229" s="155" t="s">
        <v>247</v>
      </c>
    </row>
    <row r="1230" spans="25:33">
      <c r="Y1230" s="47">
        <v>4266</v>
      </c>
      <c r="Z1230" s="52" t="s">
        <v>410</v>
      </c>
      <c r="AA1230" s="52" t="s">
        <v>247</v>
      </c>
      <c r="AB1230" s="52" t="s">
        <v>247</v>
      </c>
      <c r="AC1230" s="52" t="s">
        <v>247</v>
      </c>
      <c r="AD1230" s="52" t="s">
        <v>1</v>
      </c>
      <c r="AE1230" s="52" t="s">
        <v>376</v>
      </c>
      <c r="AF1230" s="155" t="s">
        <v>247</v>
      </c>
      <c r="AG1230" s="155" t="s">
        <v>247</v>
      </c>
    </row>
    <row r="1231" spans="25:33">
      <c r="Y1231" s="47">
        <v>4267</v>
      </c>
      <c r="Z1231" s="52" t="s">
        <v>410</v>
      </c>
      <c r="AA1231" s="52" t="s">
        <v>247</v>
      </c>
      <c r="AB1231" s="52" t="s">
        <v>247</v>
      </c>
      <c r="AC1231" s="52" t="s">
        <v>247</v>
      </c>
      <c r="AD1231" s="52" t="s">
        <v>1</v>
      </c>
      <c r="AE1231" s="52" t="s">
        <v>376</v>
      </c>
      <c r="AF1231" s="155" t="s">
        <v>247</v>
      </c>
      <c r="AG1231" s="155" t="s">
        <v>247</v>
      </c>
    </row>
    <row r="1232" spans="25:33">
      <c r="Y1232" s="47">
        <v>4268</v>
      </c>
      <c r="Z1232" s="52" t="s">
        <v>410</v>
      </c>
      <c r="AA1232" s="52" t="s">
        <v>247</v>
      </c>
      <c r="AB1232" s="52" t="s">
        <v>247</v>
      </c>
      <c r="AC1232" s="52" t="s">
        <v>247</v>
      </c>
      <c r="AD1232" s="52" t="s">
        <v>1</v>
      </c>
      <c r="AE1232" s="52" t="s">
        <v>376</v>
      </c>
      <c r="AF1232" s="155" t="s">
        <v>247</v>
      </c>
      <c r="AG1232" s="155" t="s">
        <v>247</v>
      </c>
    </row>
    <row r="1233" spans="25:33">
      <c r="Y1233" s="47">
        <v>4269</v>
      </c>
      <c r="Z1233" s="52" t="s">
        <v>410</v>
      </c>
      <c r="AA1233" s="52" t="s">
        <v>247</v>
      </c>
      <c r="AB1233" s="52" t="s">
        <v>247</v>
      </c>
      <c r="AC1233" s="52" t="s">
        <v>247</v>
      </c>
      <c r="AD1233" s="52" t="s">
        <v>1</v>
      </c>
      <c r="AE1233" s="52" t="s">
        <v>376</v>
      </c>
      <c r="AF1233" s="155" t="s">
        <v>247</v>
      </c>
      <c r="AG1233" s="155" t="s">
        <v>247</v>
      </c>
    </row>
    <row r="1234" spans="25:33">
      <c r="Y1234" s="47">
        <v>4270</v>
      </c>
      <c r="Z1234" s="52" t="s">
        <v>410</v>
      </c>
      <c r="AA1234" s="52" t="s">
        <v>247</v>
      </c>
      <c r="AB1234" s="52" t="s">
        <v>247</v>
      </c>
      <c r="AC1234" s="52" t="s">
        <v>247</v>
      </c>
      <c r="AD1234" s="52" t="s">
        <v>1</v>
      </c>
      <c r="AE1234" s="52" t="s">
        <v>376</v>
      </c>
      <c r="AF1234" s="155" t="s">
        <v>247</v>
      </c>
      <c r="AG1234" s="155" t="s">
        <v>247</v>
      </c>
    </row>
    <row r="1235" spans="25:33">
      <c r="Y1235" s="47">
        <v>4271</v>
      </c>
      <c r="Z1235" s="52" t="s">
        <v>410</v>
      </c>
      <c r="AA1235" s="52" t="s">
        <v>247</v>
      </c>
      <c r="AB1235" s="52" t="s">
        <v>247</v>
      </c>
      <c r="AC1235" s="52" t="s">
        <v>247</v>
      </c>
      <c r="AD1235" s="52" t="s">
        <v>1</v>
      </c>
      <c r="AE1235" s="52" t="s">
        <v>376</v>
      </c>
      <c r="AF1235" s="155" t="s">
        <v>247</v>
      </c>
      <c r="AG1235" s="155" t="s">
        <v>247</v>
      </c>
    </row>
    <row r="1236" spans="25:33">
      <c r="Y1236" s="47">
        <v>4272</v>
      </c>
      <c r="Z1236" s="52" t="s">
        <v>410</v>
      </c>
      <c r="AA1236" s="52" t="s">
        <v>247</v>
      </c>
      <c r="AB1236" s="52" t="s">
        <v>247</v>
      </c>
      <c r="AC1236" s="52" t="s">
        <v>247</v>
      </c>
      <c r="AD1236" s="52" t="s">
        <v>1</v>
      </c>
      <c r="AE1236" s="52" t="s">
        <v>376</v>
      </c>
      <c r="AF1236" s="155" t="s">
        <v>247</v>
      </c>
      <c r="AG1236" s="155" t="s">
        <v>247</v>
      </c>
    </row>
    <row r="1237" spans="25:33">
      <c r="Y1237" s="47">
        <v>4273</v>
      </c>
      <c r="Z1237" s="52" t="s">
        <v>410</v>
      </c>
      <c r="AA1237" s="52" t="s">
        <v>247</v>
      </c>
      <c r="AB1237" s="52" t="s">
        <v>247</v>
      </c>
      <c r="AC1237" s="52" t="s">
        <v>247</v>
      </c>
      <c r="AD1237" s="52" t="s">
        <v>1</v>
      </c>
      <c r="AE1237" s="52" t="s">
        <v>376</v>
      </c>
      <c r="AF1237" s="155" t="s">
        <v>247</v>
      </c>
      <c r="AG1237" s="155" t="s">
        <v>247</v>
      </c>
    </row>
    <row r="1238" spans="25:33">
      <c r="Y1238" s="47">
        <v>4274</v>
      </c>
      <c r="Z1238" s="52" t="s">
        <v>410</v>
      </c>
      <c r="AA1238" s="52" t="s">
        <v>247</v>
      </c>
      <c r="AB1238" s="52" t="s">
        <v>247</v>
      </c>
      <c r="AC1238" s="52" t="s">
        <v>247</v>
      </c>
      <c r="AD1238" s="52" t="s">
        <v>1</v>
      </c>
      <c r="AE1238" s="52" t="s">
        <v>376</v>
      </c>
      <c r="AF1238" s="155" t="s">
        <v>247</v>
      </c>
      <c r="AG1238" s="155" t="s">
        <v>247</v>
      </c>
    </row>
    <row r="1239" spans="25:33">
      <c r="Y1239" s="47">
        <v>4275</v>
      </c>
      <c r="Z1239" s="52" t="s">
        <v>410</v>
      </c>
      <c r="AA1239" s="52" t="s">
        <v>247</v>
      </c>
      <c r="AB1239" s="52" t="s">
        <v>247</v>
      </c>
      <c r="AC1239" s="52" t="s">
        <v>247</v>
      </c>
      <c r="AD1239" s="52" t="s">
        <v>1</v>
      </c>
      <c r="AE1239" s="52" t="s">
        <v>376</v>
      </c>
      <c r="AF1239" s="155" t="s">
        <v>247</v>
      </c>
      <c r="AG1239" s="155" t="s">
        <v>247</v>
      </c>
    </row>
    <row r="1240" spans="25:33">
      <c r="Y1240" s="47">
        <v>4276</v>
      </c>
      <c r="Z1240" s="52" t="s">
        <v>410</v>
      </c>
      <c r="AA1240" s="52" t="s">
        <v>247</v>
      </c>
      <c r="AB1240" s="52" t="s">
        <v>247</v>
      </c>
      <c r="AC1240" s="52" t="s">
        <v>247</v>
      </c>
      <c r="AD1240" s="52" t="s">
        <v>1</v>
      </c>
      <c r="AE1240" s="52" t="s">
        <v>376</v>
      </c>
      <c r="AF1240" s="155" t="s">
        <v>247</v>
      </c>
      <c r="AG1240" s="155" t="s">
        <v>247</v>
      </c>
    </row>
    <row r="1241" spans="25:33">
      <c r="Y1241" s="47">
        <v>4277</v>
      </c>
      <c r="Z1241" s="52" t="s">
        <v>410</v>
      </c>
      <c r="AA1241" s="52" t="s">
        <v>247</v>
      </c>
      <c r="AB1241" s="52" t="s">
        <v>247</v>
      </c>
      <c r="AC1241" s="52" t="s">
        <v>247</v>
      </c>
      <c r="AD1241" s="52" t="s">
        <v>1</v>
      </c>
      <c r="AE1241" s="52" t="s">
        <v>376</v>
      </c>
      <c r="AF1241" s="155" t="s">
        <v>247</v>
      </c>
      <c r="AG1241" s="155" t="s">
        <v>247</v>
      </c>
    </row>
    <row r="1242" spans="25:33">
      <c r="Y1242" s="47">
        <v>4278</v>
      </c>
      <c r="Z1242" s="52" t="s">
        <v>410</v>
      </c>
      <c r="AA1242" s="52" t="s">
        <v>247</v>
      </c>
      <c r="AB1242" s="52" t="s">
        <v>247</v>
      </c>
      <c r="AC1242" s="52" t="s">
        <v>247</v>
      </c>
      <c r="AD1242" s="52" t="s">
        <v>1</v>
      </c>
      <c r="AE1242" s="52" t="s">
        <v>376</v>
      </c>
      <c r="AF1242" s="155" t="s">
        <v>247</v>
      </c>
      <c r="AG1242" s="155" t="s">
        <v>247</v>
      </c>
    </row>
    <row r="1243" spans="25:33">
      <c r="Y1243" s="47">
        <v>4279</v>
      </c>
      <c r="Z1243" s="52" t="s">
        <v>410</v>
      </c>
      <c r="AA1243" s="52" t="s">
        <v>247</v>
      </c>
      <c r="AB1243" s="52" t="s">
        <v>247</v>
      </c>
      <c r="AC1243" s="52" t="s">
        <v>247</v>
      </c>
      <c r="AD1243" s="52" t="s">
        <v>1</v>
      </c>
      <c r="AE1243" s="52" t="s">
        <v>376</v>
      </c>
      <c r="AF1243" s="155" t="s">
        <v>247</v>
      </c>
      <c r="AG1243" s="155" t="s">
        <v>247</v>
      </c>
    </row>
    <row r="1244" spans="25:33">
      <c r="Y1244" s="47">
        <v>4280</v>
      </c>
      <c r="Z1244" s="52" t="s">
        <v>410</v>
      </c>
      <c r="AA1244" s="52" t="s">
        <v>247</v>
      </c>
      <c r="AB1244" s="52" t="s">
        <v>247</v>
      </c>
      <c r="AC1244" s="52" t="s">
        <v>247</v>
      </c>
      <c r="AD1244" s="52" t="s">
        <v>1</v>
      </c>
      <c r="AE1244" s="52" t="s">
        <v>376</v>
      </c>
      <c r="AF1244" s="155" t="s">
        <v>247</v>
      </c>
      <c r="AG1244" s="155" t="s">
        <v>247</v>
      </c>
    </row>
    <row r="1245" spans="25:33">
      <c r="Y1245" s="47">
        <v>4281</v>
      </c>
      <c r="Z1245" s="52" t="s">
        <v>410</v>
      </c>
      <c r="AA1245" s="52" t="s">
        <v>247</v>
      </c>
      <c r="AB1245" s="52" t="s">
        <v>247</v>
      </c>
      <c r="AC1245" s="52" t="s">
        <v>247</v>
      </c>
      <c r="AD1245" s="52" t="s">
        <v>1</v>
      </c>
      <c r="AE1245" s="52" t="s">
        <v>376</v>
      </c>
      <c r="AF1245" s="155" t="s">
        <v>247</v>
      </c>
      <c r="AG1245" s="155" t="s">
        <v>247</v>
      </c>
    </row>
    <row r="1246" spans="25:33">
      <c r="Y1246" s="47">
        <v>4282</v>
      </c>
      <c r="Z1246" s="52" t="s">
        <v>410</v>
      </c>
      <c r="AA1246" s="52" t="s">
        <v>247</v>
      </c>
      <c r="AB1246" s="52" t="s">
        <v>247</v>
      </c>
      <c r="AC1246" s="52" t="s">
        <v>247</v>
      </c>
      <c r="AD1246" s="52" t="s">
        <v>1</v>
      </c>
      <c r="AE1246" s="52" t="s">
        <v>376</v>
      </c>
      <c r="AF1246" s="155" t="s">
        <v>247</v>
      </c>
      <c r="AG1246" s="155" t="s">
        <v>247</v>
      </c>
    </row>
    <row r="1247" spans="25:33">
      <c r="Y1247" s="47">
        <v>4283</v>
      </c>
      <c r="Z1247" s="52" t="s">
        <v>410</v>
      </c>
      <c r="AA1247" s="52" t="s">
        <v>247</v>
      </c>
      <c r="AB1247" s="52" t="s">
        <v>247</v>
      </c>
      <c r="AC1247" s="52" t="s">
        <v>247</v>
      </c>
      <c r="AD1247" s="52" t="s">
        <v>1</v>
      </c>
      <c r="AE1247" s="52" t="s">
        <v>376</v>
      </c>
      <c r="AF1247" s="155" t="s">
        <v>247</v>
      </c>
      <c r="AG1247" s="155" t="s">
        <v>247</v>
      </c>
    </row>
    <row r="1248" spans="25:33">
      <c r="Y1248" s="47">
        <v>4284</v>
      </c>
      <c r="Z1248" s="52" t="s">
        <v>410</v>
      </c>
      <c r="AA1248" s="52" t="s">
        <v>247</v>
      </c>
      <c r="AB1248" s="52" t="s">
        <v>247</v>
      </c>
      <c r="AC1248" s="52" t="s">
        <v>247</v>
      </c>
      <c r="AD1248" s="52" t="s">
        <v>1</v>
      </c>
      <c r="AE1248" s="52" t="s">
        <v>376</v>
      </c>
      <c r="AF1248" s="155" t="s">
        <v>247</v>
      </c>
      <c r="AG1248" s="155" t="s">
        <v>247</v>
      </c>
    </row>
    <row r="1249" spans="25:33">
      <c r="Y1249" s="47">
        <v>4285</v>
      </c>
      <c r="Z1249" s="52" t="s">
        <v>410</v>
      </c>
      <c r="AA1249" s="52" t="s">
        <v>247</v>
      </c>
      <c r="AB1249" s="52" t="s">
        <v>247</v>
      </c>
      <c r="AC1249" s="52" t="s">
        <v>247</v>
      </c>
      <c r="AD1249" s="52" t="s">
        <v>1</v>
      </c>
      <c r="AE1249" s="52" t="s">
        <v>376</v>
      </c>
      <c r="AF1249" s="155" t="s">
        <v>247</v>
      </c>
      <c r="AG1249" s="155" t="s">
        <v>247</v>
      </c>
    </row>
    <row r="1250" spans="25:33">
      <c r="Y1250" s="47">
        <v>4286</v>
      </c>
      <c r="Z1250" s="52" t="s">
        <v>410</v>
      </c>
      <c r="AA1250" s="52" t="s">
        <v>247</v>
      </c>
      <c r="AB1250" s="52" t="s">
        <v>247</v>
      </c>
      <c r="AC1250" s="52" t="s">
        <v>247</v>
      </c>
      <c r="AD1250" s="52" t="s">
        <v>1</v>
      </c>
      <c r="AE1250" s="52" t="s">
        <v>376</v>
      </c>
      <c r="AF1250" s="155" t="s">
        <v>247</v>
      </c>
      <c r="AG1250" s="155" t="s">
        <v>247</v>
      </c>
    </row>
    <row r="1251" spans="25:33">
      <c r="Y1251" s="47">
        <v>4287</v>
      </c>
      <c r="Z1251" s="52" t="s">
        <v>410</v>
      </c>
      <c r="AA1251" s="52" t="s">
        <v>247</v>
      </c>
      <c r="AB1251" s="52" t="s">
        <v>247</v>
      </c>
      <c r="AC1251" s="52" t="s">
        <v>247</v>
      </c>
      <c r="AD1251" s="52" t="s">
        <v>1</v>
      </c>
      <c r="AE1251" s="52" t="s">
        <v>376</v>
      </c>
      <c r="AF1251" s="155" t="s">
        <v>247</v>
      </c>
      <c r="AG1251" s="155" t="s">
        <v>247</v>
      </c>
    </row>
    <row r="1252" spans="25:33">
      <c r="Y1252" s="47">
        <v>4288</v>
      </c>
      <c r="Z1252" s="52" t="s">
        <v>410</v>
      </c>
      <c r="AA1252" s="52" t="s">
        <v>247</v>
      </c>
      <c r="AB1252" s="52" t="s">
        <v>247</v>
      </c>
      <c r="AC1252" s="52" t="s">
        <v>247</v>
      </c>
      <c r="AD1252" s="52" t="s">
        <v>1</v>
      </c>
      <c r="AE1252" s="52" t="s">
        <v>376</v>
      </c>
      <c r="AF1252" s="155" t="s">
        <v>247</v>
      </c>
      <c r="AG1252" s="155" t="s">
        <v>247</v>
      </c>
    </row>
    <row r="1253" spans="25:33">
      <c r="Y1253" s="47">
        <v>4289</v>
      </c>
      <c r="Z1253" s="52" t="s">
        <v>410</v>
      </c>
      <c r="AA1253" s="52" t="s">
        <v>247</v>
      </c>
      <c r="AB1253" s="52" t="s">
        <v>247</v>
      </c>
      <c r="AC1253" s="52" t="s">
        <v>247</v>
      </c>
      <c r="AD1253" s="52" t="s">
        <v>1</v>
      </c>
      <c r="AE1253" s="52" t="s">
        <v>376</v>
      </c>
      <c r="AF1253" s="155" t="s">
        <v>247</v>
      </c>
      <c r="AG1253" s="155" t="s">
        <v>247</v>
      </c>
    </row>
    <row r="1254" spans="25:33">
      <c r="Y1254" s="47">
        <v>4290</v>
      </c>
      <c r="Z1254" s="52" t="s">
        <v>410</v>
      </c>
      <c r="AA1254" s="52" t="s">
        <v>247</v>
      </c>
      <c r="AB1254" s="52" t="s">
        <v>247</v>
      </c>
      <c r="AC1254" s="52" t="s">
        <v>247</v>
      </c>
      <c r="AD1254" s="52" t="s">
        <v>1</v>
      </c>
      <c r="AE1254" s="52" t="s">
        <v>376</v>
      </c>
      <c r="AF1254" s="155" t="s">
        <v>247</v>
      </c>
      <c r="AG1254" s="155" t="s">
        <v>247</v>
      </c>
    </row>
    <row r="1255" spans="25:33">
      <c r="Y1255" s="47">
        <v>4291</v>
      </c>
      <c r="Z1255" s="52" t="s">
        <v>410</v>
      </c>
      <c r="AA1255" s="52" t="s">
        <v>247</v>
      </c>
      <c r="AB1255" s="52" t="s">
        <v>247</v>
      </c>
      <c r="AC1255" s="52" t="s">
        <v>247</v>
      </c>
      <c r="AD1255" s="52" t="s">
        <v>1</v>
      </c>
      <c r="AE1255" s="52" t="s">
        <v>376</v>
      </c>
      <c r="AF1255" s="155" t="s">
        <v>247</v>
      </c>
      <c r="AG1255" s="155" t="s">
        <v>247</v>
      </c>
    </row>
    <row r="1256" spans="25:33">
      <c r="Y1256" s="47">
        <v>4292</v>
      </c>
      <c r="Z1256" s="52" t="s">
        <v>410</v>
      </c>
      <c r="AA1256" s="52" t="s">
        <v>247</v>
      </c>
      <c r="AB1256" s="52" t="s">
        <v>247</v>
      </c>
      <c r="AC1256" s="52" t="s">
        <v>247</v>
      </c>
      <c r="AD1256" s="52" t="s">
        <v>1</v>
      </c>
      <c r="AE1256" s="52" t="s">
        <v>376</v>
      </c>
      <c r="AF1256" s="155" t="s">
        <v>247</v>
      </c>
      <c r="AG1256" s="155" t="s">
        <v>247</v>
      </c>
    </row>
    <row r="1257" spans="25:33">
      <c r="Y1257" s="47">
        <v>4293</v>
      </c>
      <c r="Z1257" s="52" t="s">
        <v>410</v>
      </c>
      <c r="AA1257" s="52" t="s">
        <v>247</v>
      </c>
      <c r="AB1257" s="52" t="s">
        <v>247</v>
      </c>
      <c r="AC1257" s="52" t="s">
        <v>247</v>
      </c>
      <c r="AD1257" s="52" t="s">
        <v>1</v>
      </c>
      <c r="AE1257" s="52" t="s">
        <v>376</v>
      </c>
      <c r="AF1257" s="155" t="s">
        <v>247</v>
      </c>
      <c r="AG1257" s="155" t="s">
        <v>247</v>
      </c>
    </row>
    <row r="1258" spans="25:33">
      <c r="Y1258" s="47">
        <v>4294</v>
      </c>
      <c r="Z1258" s="52" t="s">
        <v>410</v>
      </c>
      <c r="AA1258" s="52" t="s">
        <v>247</v>
      </c>
      <c r="AB1258" s="52" t="s">
        <v>247</v>
      </c>
      <c r="AC1258" s="52" t="s">
        <v>247</v>
      </c>
      <c r="AD1258" s="52" t="s">
        <v>1</v>
      </c>
      <c r="AE1258" s="52" t="s">
        <v>376</v>
      </c>
      <c r="AF1258" s="155" t="s">
        <v>247</v>
      </c>
      <c r="AG1258" s="155" t="s">
        <v>247</v>
      </c>
    </row>
    <row r="1259" spans="25:33">
      <c r="Y1259" s="47">
        <v>4295</v>
      </c>
      <c r="Z1259" s="52" t="s">
        <v>410</v>
      </c>
      <c r="AA1259" s="52" t="s">
        <v>247</v>
      </c>
      <c r="AB1259" s="52" t="s">
        <v>247</v>
      </c>
      <c r="AC1259" s="52" t="s">
        <v>247</v>
      </c>
      <c r="AD1259" s="52" t="s">
        <v>1</v>
      </c>
      <c r="AE1259" s="52" t="s">
        <v>376</v>
      </c>
      <c r="AF1259" s="155" t="s">
        <v>247</v>
      </c>
      <c r="AG1259" s="155" t="s">
        <v>247</v>
      </c>
    </row>
    <row r="1260" spans="25:33">
      <c r="Y1260" s="47">
        <v>4296</v>
      </c>
      <c r="Z1260" s="52" t="s">
        <v>410</v>
      </c>
      <c r="AA1260" s="52" t="s">
        <v>247</v>
      </c>
      <c r="AB1260" s="52" t="s">
        <v>247</v>
      </c>
      <c r="AC1260" s="52" t="s">
        <v>247</v>
      </c>
      <c r="AD1260" s="52" t="s">
        <v>1</v>
      </c>
      <c r="AE1260" s="52" t="s">
        <v>376</v>
      </c>
      <c r="AF1260" s="155" t="s">
        <v>247</v>
      </c>
      <c r="AG1260" s="155" t="s">
        <v>247</v>
      </c>
    </row>
    <row r="1261" spans="25:33">
      <c r="Y1261" s="47">
        <v>4297</v>
      </c>
      <c r="Z1261" s="52" t="s">
        <v>410</v>
      </c>
      <c r="AA1261" s="52" t="s">
        <v>247</v>
      </c>
      <c r="AB1261" s="52" t="s">
        <v>247</v>
      </c>
      <c r="AC1261" s="52" t="s">
        <v>247</v>
      </c>
      <c r="AD1261" s="52" t="s">
        <v>1</v>
      </c>
      <c r="AE1261" s="52" t="s">
        <v>376</v>
      </c>
      <c r="AF1261" s="155" t="s">
        <v>247</v>
      </c>
      <c r="AG1261" s="155" t="s">
        <v>247</v>
      </c>
    </row>
    <row r="1262" spans="25:33">
      <c r="Y1262" s="47">
        <v>4298</v>
      </c>
      <c r="Z1262" s="52" t="s">
        <v>410</v>
      </c>
      <c r="AA1262" s="52" t="s">
        <v>247</v>
      </c>
      <c r="AB1262" s="52" t="s">
        <v>247</v>
      </c>
      <c r="AC1262" s="52" t="s">
        <v>247</v>
      </c>
      <c r="AD1262" s="52" t="s">
        <v>1</v>
      </c>
      <c r="AE1262" s="52" t="s">
        <v>376</v>
      </c>
      <c r="AF1262" s="155" t="s">
        <v>247</v>
      </c>
      <c r="AG1262" s="155" t="s">
        <v>247</v>
      </c>
    </row>
    <row r="1263" spans="25:33">
      <c r="Y1263" s="47">
        <v>4299</v>
      </c>
      <c r="Z1263" s="52" t="s">
        <v>410</v>
      </c>
      <c r="AA1263" s="52" t="s">
        <v>247</v>
      </c>
      <c r="AB1263" s="52" t="s">
        <v>247</v>
      </c>
      <c r="AC1263" s="52" t="s">
        <v>247</v>
      </c>
      <c r="AD1263" s="52" t="s">
        <v>1</v>
      </c>
      <c r="AE1263" s="52" t="s">
        <v>376</v>
      </c>
      <c r="AF1263" s="155" t="s">
        <v>247</v>
      </c>
      <c r="AG1263" s="155" t="s">
        <v>247</v>
      </c>
    </row>
    <row r="1264" spans="25:33">
      <c r="Y1264" s="47">
        <v>4300</v>
      </c>
      <c r="Z1264" s="52" t="s">
        <v>410</v>
      </c>
      <c r="AA1264" s="52" t="s">
        <v>247</v>
      </c>
      <c r="AB1264" s="52" t="s">
        <v>247</v>
      </c>
      <c r="AC1264" s="52" t="s">
        <v>247</v>
      </c>
      <c r="AD1264" s="52" t="s">
        <v>1</v>
      </c>
      <c r="AE1264" s="52" t="s">
        <v>376</v>
      </c>
      <c r="AF1264" s="155" t="s">
        <v>247</v>
      </c>
      <c r="AG1264" s="155" t="s">
        <v>247</v>
      </c>
    </row>
    <row r="1265" spans="25:33">
      <c r="Y1265" s="47">
        <v>4301</v>
      </c>
      <c r="Z1265" s="52" t="s">
        <v>410</v>
      </c>
      <c r="AA1265" s="52" t="s">
        <v>247</v>
      </c>
      <c r="AB1265" s="52" t="s">
        <v>247</v>
      </c>
      <c r="AC1265" s="52" t="s">
        <v>247</v>
      </c>
      <c r="AD1265" s="52" t="s">
        <v>1</v>
      </c>
      <c r="AE1265" s="52" t="s">
        <v>376</v>
      </c>
      <c r="AF1265" s="155" t="s">
        <v>247</v>
      </c>
      <c r="AG1265" s="155" t="s">
        <v>247</v>
      </c>
    </row>
    <row r="1266" spans="25:33">
      <c r="Y1266" s="47">
        <v>4302</v>
      </c>
      <c r="Z1266" s="52" t="s">
        <v>410</v>
      </c>
      <c r="AA1266" s="52" t="s">
        <v>247</v>
      </c>
      <c r="AB1266" s="52" t="s">
        <v>247</v>
      </c>
      <c r="AC1266" s="52" t="s">
        <v>247</v>
      </c>
      <c r="AD1266" s="52" t="s">
        <v>1</v>
      </c>
      <c r="AE1266" s="52" t="s">
        <v>376</v>
      </c>
      <c r="AF1266" s="155" t="s">
        <v>247</v>
      </c>
      <c r="AG1266" s="155" t="s">
        <v>247</v>
      </c>
    </row>
    <row r="1267" spans="25:33">
      <c r="Y1267" s="47">
        <v>4303</v>
      </c>
      <c r="Z1267" s="52" t="s">
        <v>410</v>
      </c>
      <c r="AA1267" s="52" t="s">
        <v>247</v>
      </c>
      <c r="AB1267" s="52" t="s">
        <v>247</v>
      </c>
      <c r="AC1267" s="52" t="s">
        <v>247</v>
      </c>
      <c r="AD1267" s="52" t="s">
        <v>1</v>
      </c>
      <c r="AE1267" s="52" t="s">
        <v>376</v>
      </c>
      <c r="AF1267" s="155" t="s">
        <v>247</v>
      </c>
      <c r="AG1267" s="155" t="s">
        <v>247</v>
      </c>
    </row>
    <row r="1268" spans="25:33">
      <c r="Y1268" s="47">
        <v>4304</v>
      </c>
      <c r="Z1268" s="52" t="s">
        <v>410</v>
      </c>
      <c r="AA1268" s="52" t="s">
        <v>247</v>
      </c>
      <c r="AB1268" s="52" t="s">
        <v>247</v>
      </c>
      <c r="AC1268" s="52" t="s">
        <v>247</v>
      </c>
      <c r="AD1268" s="52" t="s">
        <v>1</v>
      </c>
      <c r="AE1268" s="52" t="s">
        <v>376</v>
      </c>
      <c r="AF1268" s="155" t="s">
        <v>247</v>
      </c>
      <c r="AG1268" s="155" t="s">
        <v>247</v>
      </c>
    </row>
    <row r="1269" spans="25:33">
      <c r="Y1269" s="47">
        <v>4305</v>
      </c>
      <c r="Z1269" s="52" t="s">
        <v>410</v>
      </c>
      <c r="AA1269" s="52" t="s">
        <v>247</v>
      </c>
      <c r="AB1269" s="52" t="s">
        <v>247</v>
      </c>
      <c r="AC1269" s="52" t="s">
        <v>247</v>
      </c>
      <c r="AD1269" s="52" t="s">
        <v>1</v>
      </c>
      <c r="AE1269" s="52" t="s">
        <v>376</v>
      </c>
      <c r="AF1269" s="155" t="s">
        <v>247</v>
      </c>
      <c r="AG1269" s="155" t="s">
        <v>247</v>
      </c>
    </row>
    <row r="1270" spans="25:33">
      <c r="Y1270" s="47">
        <v>4306</v>
      </c>
      <c r="Z1270" s="52" t="s">
        <v>410</v>
      </c>
      <c r="AA1270" s="52" t="s">
        <v>247</v>
      </c>
      <c r="AB1270" s="52" t="s">
        <v>247</v>
      </c>
      <c r="AC1270" s="52" t="s">
        <v>247</v>
      </c>
      <c r="AD1270" s="52" t="s">
        <v>1</v>
      </c>
      <c r="AE1270" s="52" t="s">
        <v>376</v>
      </c>
      <c r="AF1270" s="155" t="s">
        <v>247</v>
      </c>
      <c r="AG1270" s="155" t="s">
        <v>247</v>
      </c>
    </row>
    <row r="1271" spans="25:33">
      <c r="Y1271" s="47">
        <v>4307</v>
      </c>
      <c r="Z1271" s="52" t="s">
        <v>410</v>
      </c>
      <c r="AA1271" s="52" t="s">
        <v>247</v>
      </c>
      <c r="AB1271" s="52" t="s">
        <v>247</v>
      </c>
      <c r="AC1271" s="52" t="s">
        <v>247</v>
      </c>
      <c r="AD1271" s="52" t="s">
        <v>1</v>
      </c>
      <c r="AE1271" s="52" t="s">
        <v>376</v>
      </c>
      <c r="AF1271" s="155" t="s">
        <v>247</v>
      </c>
      <c r="AG1271" s="155" t="s">
        <v>247</v>
      </c>
    </row>
    <row r="1272" spans="25:33">
      <c r="Y1272" s="47">
        <v>4308</v>
      </c>
      <c r="Z1272" s="52" t="s">
        <v>410</v>
      </c>
      <c r="AA1272" s="52" t="s">
        <v>247</v>
      </c>
      <c r="AB1272" s="52" t="s">
        <v>247</v>
      </c>
      <c r="AC1272" s="52" t="s">
        <v>247</v>
      </c>
      <c r="AD1272" s="52" t="s">
        <v>1</v>
      </c>
      <c r="AE1272" s="52" t="s">
        <v>376</v>
      </c>
      <c r="AF1272" s="155" t="s">
        <v>247</v>
      </c>
      <c r="AG1272" s="155" t="s">
        <v>247</v>
      </c>
    </row>
    <row r="1273" spans="25:33">
      <c r="Y1273" s="47">
        <v>4309</v>
      </c>
      <c r="Z1273" s="52" t="s">
        <v>410</v>
      </c>
      <c r="AA1273" s="52" t="s">
        <v>247</v>
      </c>
      <c r="AB1273" s="52" t="s">
        <v>247</v>
      </c>
      <c r="AC1273" s="52" t="s">
        <v>247</v>
      </c>
      <c r="AD1273" s="52" t="s">
        <v>1</v>
      </c>
      <c r="AE1273" s="52" t="s">
        <v>376</v>
      </c>
      <c r="AF1273" s="155" t="s">
        <v>247</v>
      </c>
      <c r="AG1273" s="155" t="s">
        <v>247</v>
      </c>
    </row>
    <row r="1274" spans="25:33">
      <c r="Y1274" s="47">
        <v>4310</v>
      </c>
      <c r="Z1274" s="52" t="s">
        <v>410</v>
      </c>
      <c r="AA1274" s="52" t="s">
        <v>247</v>
      </c>
      <c r="AB1274" s="52" t="s">
        <v>247</v>
      </c>
      <c r="AC1274" s="52" t="s">
        <v>247</v>
      </c>
      <c r="AD1274" s="52" t="s">
        <v>1</v>
      </c>
      <c r="AE1274" s="52" t="s">
        <v>376</v>
      </c>
      <c r="AF1274" s="155" t="s">
        <v>247</v>
      </c>
      <c r="AG1274" s="155" t="s">
        <v>247</v>
      </c>
    </row>
    <row r="1275" spans="25:33">
      <c r="Y1275" s="47">
        <v>4311</v>
      </c>
      <c r="Z1275" s="52" t="s">
        <v>410</v>
      </c>
      <c r="AA1275" s="52" t="s">
        <v>247</v>
      </c>
      <c r="AB1275" s="52" t="s">
        <v>247</v>
      </c>
      <c r="AC1275" s="52" t="s">
        <v>247</v>
      </c>
      <c r="AD1275" s="52" t="s">
        <v>1</v>
      </c>
      <c r="AE1275" s="52" t="s">
        <v>376</v>
      </c>
      <c r="AF1275" s="155" t="s">
        <v>247</v>
      </c>
      <c r="AG1275" s="155" t="s">
        <v>247</v>
      </c>
    </row>
    <row r="1276" spans="25:33">
      <c r="Y1276" s="47">
        <v>4312</v>
      </c>
      <c r="Z1276" s="52" t="s">
        <v>410</v>
      </c>
      <c r="AA1276" s="52" t="s">
        <v>247</v>
      </c>
      <c r="AB1276" s="52" t="s">
        <v>247</v>
      </c>
      <c r="AC1276" s="52" t="s">
        <v>247</v>
      </c>
      <c r="AD1276" s="52" t="s">
        <v>1</v>
      </c>
      <c r="AE1276" s="52" t="s">
        <v>376</v>
      </c>
      <c r="AF1276" s="155" t="s">
        <v>247</v>
      </c>
      <c r="AG1276" s="155" t="s">
        <v>247</v>
      </c>
    </row>
    <row r="1277" spans="25:33">
      <c r="Y1277" s="47">
        <v>4313</v>
      </c>
      <c r="Z1277" s="52" t="s">
        <v>410</v>
      </c>
      <c r="AA1277" s="52" t="s">
        <v>247</v>
      </c>
      <c r="AB1277" s="52" t="s">
        <v>247</v>
      </c>
      <c r="AC1277" s="52" t="s">
        <v>247</v>
      </c>
      <c r="AD1277" s="52" t="s">
        <v>1</v>
      </c>
      <c r="AE1277" s="52" t="s">
        <v>376</v>
      </c>
      <c r="AF1277" s="155" t="s">
        <v>247</v>
      </c>
      <c r="AG1277" s="155" t="s">
        <v>247</v>
      </c>
    </row>
    <row r="1278" spans="25:33">
      <c r="Y1278" s="47">
        <v>4314</v>
      </c>
      <c r="Z1278" s="52" t="s">
        <v>410</v>
      </c>
      <c r="AA1278" s="52" t="s">
        <v>247</v>
      </c>
      <c r="AB1278" s="52" t="s">
        <v>247</v>
      </c>
      <c r="AC1278" s="52" t="s">
        <v>247</v>
      </c>
      <c r="AD1278" s="52" t="s">
        <v>1</v>
      </c>
      <c r="AE1278" s="52" t="s">
        <v>376</v>
      </c>
      <c r="AF1278" s="155" t="s">
        <v>247</v>
      </c>
      <c r="AG1278" s="155" t="s">
        <v>247</v>
      </c>
    </row>
    <row r="1279" spans="25:33">
      <c r="Y1279" s="47">
        <v>4315</v>
      </c>
      <c r="Z1279" s="52" t="s">
        <v>410</v>
      </c>
      <c r="AA1279" s="52" t="s">
        <v>247</v>
      </c>
      <c r="AB1279" s="52" t="s">
        <v>247</v>
      </c>
      <c r="AC1279" s="52" t="s">
        <v>247</v>
      </c>
      <c r="AD1279" s="52" t="s">
        <v>1</v>
      </c>
      <c r="AE1279" s="52" t="s">
        <v>376</v>
      </c>
      <c r="AF1279" s="155" t="s">
        <v>247</v>
      </c>
      <c r="AG1279" s="155" t="s">
        <v>247</v>
      </c>
    </row>
    <row r="1280" spans="25:33">
      <c r="Y1280" s="47">
        <v>4316</v>
      </c>
      <c r="Z1280" s="52" t="s">
        <v>410</v>
      </c>
      <c r="AA1280" s="52" t="s">
        <v>247</v>
      </c>
      <c r="AB1280" s="52" t="s">
        <v>247</v>
      </c>
      <c r="AC1280" s="52" t="s">
        <v>247</v>
      </c>
      <c r="AD1280" s="52" t="s">
        <v>1</v>
      </c>
      <c r="AE1280" s="52" t="s">
        <v>376</v>
      </c>
      <c r="AF1280" s="155" t="s">
        <v>247</v>
      </c>
      <c r="AG1280" s="155" t="s">
        <v>247</v>
      </c>
    </row>
    <row r="1281" spans="25:33">
      <c r="Y1281" s="47">
        <v>4317</v>
      </c>
      <c r="Z1281" s="52" t="s">
        <v>410</v>
      </c>
      <c r="AA1281" s="52" t="s">
        <v>247</v>
      </c>
      <c r="AB1281" s="52" t="s">
        <v>247</v>
      </c>
      <c r="AC1281" s="52" t="s">
        <v>247</v>
      </c>
      <c r="AD1281" s="52" t="s">
        <v>1</v>
      </c>
      <c r="AE1281" s="52" t="s">
        <v>376</v>
      </c>
      <c r="AF1281" s="155" t="s">
        <v>247</v>
      </c>
      <c r="AG1281" s="155" t="s">
        <v>247</v>
      </c>
    </row>
    <row r="1282" spans="25:33">
      <c r="Y1282" s="47">
        <v>4318</v>
      </c>
      <c r="Z1282" s="52" t="s">
        <v>410</v>
      </c>
      <c r="AA1282" s="52" t="s">
        <v>247</v>
      </c>
      <c r="AB1282" s="52" t="s">
        <v>247</v>
      </c>
      <c r="AC1282" s="52" t="s">
        <v>247</v>
      </c>
      <c r="AD1282" s="52" t="s">
        <v>1</v>
      </c>
      <c r="AE1282" s="52" t="s">
        <v>376</v>
      </c>
      <c r="AF1282" s="155" t="s">
        <v>247</v>
      </c>
      <c r="AG1282" s="155" t="s">
        <v>247</v>
      </c>
    </row>
    <row r="1283" spans="25:33">
      <c r="Y1283" s="47">
        <v>4319</v>
      </c>
      <c r="Z1283" s="52" t="s">
        <v>410</v>
      </c>
      <c r="AA1283" s="52" t="s">
        <v>247</v>
      </c>
      <c r="AB1283" s="52" t="s">
        <v>247</v>
      </c>
      <c r="AC1283" s="52" t="s">
        <v>247</v>
      </c>
      <c r="AD1283" s="52" t="s">
        <v>1</v>
      </c>
      <c r="AE1283" s="52" t="s">
        <v>376</v>
      </c>
      <c r="AF1283" s="155" t="s">
        <v>247</v>
      </c>
      <c r="AG1283" s="155" t="s">
        <v>247</v>
      </c>
    </row>
    <row r="1284" spans="25:33">
      <c r="Y1284" s="47">
        <v>4320</v>
      </c>
      <c r="Z1284" s="52" t="s">
        <v>410</v>
      </c>
      <c r="AA1284" s="52" t="s">
        <v>247</v>
      </c>
      <c r="AB1284" s="52" t="s">
        <v>247</v>
      </c>
      <c r="AC1284" s="52" t="s">
        <v>247</v>
      </c>
      <c r="AD1284" s="52" t="s">
        <v>1</v>
      </c>
      <c r="AE1284" s="52" t="s">
        <v>376</v>
      </c>
      <c r="AF1284" s="155" t="s">
        <v>247</v>
      </c>
      <c r="AG1284" s="155" t="s">
        <v>247</v>
      </c>
    </row>
    <row r="1285" spans="25:33">
      <c r="Y1285" s="47">
        <v>4321</v>
      </c>
      <c r="Z1285" s="52" t="s">
        <v>410</v>
      </c>
      <c r="AA1285" s="52" t="s">
        <v>247</v>
      </c>
      <c r="AB1285" s="52" t="s">
        <v>247</v>
      </c>
      <c r="AC1285" s="52" t="s">
        <v>247</v>
      </c>
      <c r="AD1285" s="52" t="s">
        <v>1</v>
      </c>
      <c r="AE1285" s="52" t="s">
        <v>376</v>
      </c>
      <c r="AF1285" s="155" t="s">
        <v>247</v>
      </c>
      <c r="AG1285" s="155" t="s">
        <v>247</v>
      </c>
    </row>
    <row r="1286" spans="25:33">
      <c r="Y1286" s="47">
        <v>4322</v>
      </c>
      <c r="Z1286" s="52" t="s">
        <v>410</v>
      </c>
      <c r="AA1286" s="52" t="s">
        <v>247</v>
      </c>
      <c r="AB1286" s="52" t="s">
        <v>247</v>
      </c>
      <c r="AC1286" s="52" t="s">
        <v>247</v>
      </c>
      <c r="AD1286" s="52" t="s">
        <v>1</v>
      </c>
      <c r="AE1286" s="52" t="s">
        <v>376</v>
      </c>
      <c r="AF1286" s="155" t="s">
        <v>247</v>
      </c>
      <c r="AG1286" s="155" t="s">
        <v>247</v>
      </c>
    </row>
    <row r="1287" spans="25:33">
      <c r="Y1287" s="47">
        <v>4323</v>
      </c>
      <c r="Z1287" s="52" t="s">
        <v>410</v>
      </c>
      <c r="AA1287" s="52" t="s">
        <v>247</v>
      </c>
      <c r="AB1287" s="52" t="s">
        <v>247</v>
      </c>
      <c r="AC1287" s="52" t="s">
        <v>247</v>
      </c>
      <c r="AD1287" s="52" t="s">
        <v>1</v>
      </c>
      <c r="AE1287" s="52" t="s">
        <v>376</v>
      </c>
      <c r="AF1287" s="155" t="s">
        <v>247</v>
      </c>
      <c r="AG1287" s="155" t="s">
        <v>247</v>
      </c>
    </row>
    <row r="1288" spans="25:33">
      <c r="Y1288" s="47">
        <v>4324</v>
      </c>
      <c r="Z1288" s="52" t="s">
        <v>410</v>
      </c>
      <c r="AA1288" s="52" t="s">
        <v>247</v>
      </c>
      <c r="AB1288" s="52" t="s">
        <v>247</v>
      </c>
      <c r="AC1288" s="52" t="s">
        <v>247</v>
      </c>
      <c r="AD1288" s="52" t="s">
        <v>1</v>
      </c>
      <c r="AE1288" s="52" t="s">
        <v>376</v>
      </c>
      <c r="AF1288" s="155" t="s">
        <v>247</v>
      </c>
      <c r="AG1288" s="155" t="s">
        <v>247</v>
      </c>
    </row>
    <row r="1289" spans="25:33">
      <c r="Y1289" s="47">
        <v>4325</v>
      </c>
      <c r="Z1289" s="52" t="s">
        <v>410</v>
      </c>
      <c r="AA1289" s="52" t="s">
        <v>247</v>
      </c>
      <c r="AB1289" s="52" t="s">
        <v>247</v>
      </c>
      <c r="AC1289" s="52" t="s">
        <v>247</v>
      </c>
      <c r="AD1289" s="52" t="s">
        <v>1</v>
      </c>
      <c r="AE1289" s="52" t="s">
        <v>376</v>
      </c>
      <c r="AF1289" s="155" t="s">
        <v>247</v>
      </c>
      <c r="AG1289" s="155" t="s">
        <v>247</v>
      </c>
    </row>
    <row r="1290" spans="25:33">
      <c r="Y1290" s="47">
        <v>4326</v>
      </c>
      <c r="Z1290" s="52" t="s">
        <v>410</v>
      </c>
      <c r="AA1290" s="52" t="s">
        <v>247</v>
      </c>
      <c r="AB1290" s="52" t="s">
        <v>247</v>
      </c>
      <c r="AC1290" s="52" t="s">
        <v>247</v>
      </c>
      <c r="AD1290" s="52" t="s">
        <v>1</v>
      </c>
      <c r="AE1290" s="52" t="s">
        <v>376</v>
      </c>
      <c r="AF1290" s="155" t="s">
        <v>247</v>
      </c>
      <c r="AG1290" s="155" t="s">
        <v>247</v>
      </c>
    </row>
    <row r="1291" spans="25:33">
      <c r="Y1291" s="47">
        <v>4327</v>
      </c>
      <c r="Z1291" s="52" t="s">
        <v>410</v>
      </c>
      <c r="AA1291" s="52" t="s">
        <v>247</v>
      </c>
      <c r="AB1291" s="52" t="s">
        <v>247</v>
      </c>
      <c r="AC1291" s="52" t="s">
        <v>247</v>
      </c>
      <c r="AD1291" s="52" t="s">
        <v>1</v>
      </c>
      <c r="AE1291" s="52" t="s">
        <v>376</v>
      </c>
      <c r="AF1291" s="155" t="s">
        <v>247</v>
      </c>
      <c r="AG1291" s="155" t="s">
        <v>247</v>
      </c>
    </row>
    <row r="1292" spans="25:33">
      <c r="Y1292" s="47">
        <v>4328</v>
      </c>
      <c r="Z1292" s="52" t="s">
        <v>410</v>
      </c>
      <c r="AA1292" s="52" t="s">
        <v>247</v>
      </c>
      <c r="AB1292" s="52" t="s">
        <v>247</v>
      </c>
      <c r="AC1292" s="52" t="s">
        <v>247</v>
      </c>
      <c r="AD1292" s="52" t="s">
        <v>1</v>
      </c>
      <c r="AE1292" s="52" t="s">
        <v>376</v>
      </c>
      <c r="AF1292" s="155" t="s">
        <v>247</v>
      </c>
      <c r="AG1292" s="155" t="s">
        <v>247</v>
      </c>
    </row>
    <row r="1293" spans="25:33">
      <c r="Y1293" s="47">
        <v>4329</v>
      </c>
      <c r="Z1293" s="52" t="s">
        <v>410</v>
      </c>
      <c r="AA1293" s="52" t="s">
        <v>247</v>
      </c>
      <c r="AB1293" s="52" t="s">
        <v>247</v>
      </c>
      <c r="AC1293" s="52" t="s">
        <v>247</v>
      </c>
      <c r="AD1293" s="52" t="s">
        <v>1</v>
      </c>
      <c r="AE1293" s="52" t="s">
        <v>376</v>
      </c>
      <c r="AF1293" s="155" t="s">
        <v>247</v>
      </c>
      <c r="AG1293" s="155" t="s">
        <v>247</v>
      </c>
    </row>
    <row r="1294" spans="25:33">
      <c r="Y1294" s="47">
        <v>4330</v>
      </c>
      <c r="Z1294" s="52" t="s">
        <v>410</v>
      </c>
      <c r="AA1294" s="52" t="s">
        <v>247</v>
      </c>
      <c r="AB1294" s="52" t="s">
        <v>247</v>
      </c>
      <c r="AC1294" s="52" t="s">
        <v>247</v>
      </c>
      <c r="AD1294" s="52" t="s">
        <v>1</v>
      </c>
      <c r="AE1294" s="52" t="s">
        <v>376</v>
      </c>
      <c r="AF1294" s="155" t="s">
        <v>247</v>
      </c>
      <c r="AG1294" s="155" t="s">
        <v>247</v>
      </c>
    </row>
    <row r="1295" spans="25:33">
      <c r="Y1295" s="47">
        <v>4331</v>
      </c>
      <c r="Z1295" s="52" t="s">
        <v>410</v>
      </c>
      <c r="AA1295" s="52" t="s">
        <v>247</v>
      </c>
      <c r="AB1295" s="52" t="s">
        <v>247</v>
      </c>
      <c r="AC1295" s="52" t="s">
        <v>247</v>
      </c>
      <c r="AD1295" s="52" t="s">
        <v>1</v>
      </c>
      <c r="AE1295" s="52" t="s">
        <v>376</v>
      </c>
      <c r="AF1295" s="155" t="s">
        <v>247</v>
      </c>
      <c r="AG1295" s="155" t="s">
        <v>247</v>
      </c>
    </row>
    <row r="1296" spans="25:33">
      <c r="Y1296" s="47">
        <v>4332</v>
      </c>
      <c r="Z1296" s="52" t="s">
        <v>410</v>
      </c>
      <c r="AA1296" s="52" t="s">
        <v>247</v>
      </c>
      <c r="AB1296" s="52" t="s">
        <v>247</v>
      </c>
      <c r="AC1296" s="52" t="s">
        <v>247</v>
      </c>
      <c r="AD1296" s="52" t="s">
        <v>1</v>
      </c>
      <c r="AE1296" s="52" t="s">
        <v>376</v>
      </c>
      <c r="AF1296" s="155" t="s">
        <v>247</v>
      </c>
      <c r="AG1296" s="155" t="s">
        <v>247</v>
      </c>
    </row>
    <row r="1297" spans="25:33">
      <c r="Y1297" s="47">
        <v>4333</v>
      </c>
      <c r="Z1297" s="52" t="s">
        <v>410</v>
      </c>
      <c r="AA1297" s="52" t="s">
        <v>247</v>
      </c>
      <c r="AB1297" s="52" t="s">
        <v>247</v>
      </c>
      <c r="AC1297" s="52" t="s">
        <v>247</v>
      </c>
      <c r="AD1297" s="52" t="s">
        <v>1</v>
      </c>
      <c r="AE1297" s="52" t="s">
        <v>376</v>
      </c>
      <c r="AF1297" s="155" t="s">
        <v>247</v>
      </c>
      <c r="AG1297" s="155" t="s">
        <v>247</v>
      </c>
    </row>
    <row r="1298" spans="25:33">
      <c r="Y1298" s="47">
        <v>4334</v>
      </c>
      <c r="Z1298" s="52" t="s">
        <v>410</v>
      </c>
      <c r="AA1298" s="52" t="s">
        <v>247</v>
      </c>
      <c r="AB1298" s="52" t="s">
        <v>247</v>
      </c>
      <c r="AC1298" s="52" t="s">
        <v>247</v>
      </c>
      <c r="AD1298" s="52" t="s">
        <v>1</v>
      </c>
      <c r="AE1298" s="52" t="s">
        <v>376</v>
      </c>
      <c r="AF1298" s="155" t="s">
        <v>247</v>
      </c>
      <c r="AG1298" s="155" t="s">
        <v>247</v>
      </c>
    </row>
    <row r="1299" spans="25:33">
      <c r="Y1299" s="47">
        <v>4335</v>
      </c>
      <c r="Z1299" s="52" t="s">
        <v>410</v>
      </c>
      <c r="AA1299" s="52" t="s">
        <v>247</v>
      </c>
      <c r="AB1299" s="52" t="s">
        <v>247</v>
      </c>
      <c r="AC1299" s="52" t="s">
        <v>247</v>
      </c>
      <c r="AD1299" s="52" t="s">
        <v>1</v>
      </c>
      <c r="AE1299" s="52" t="s">
        <v>376</v>
      </c>
      <c r="AF1299" s="155" t="s">
        <v>247</v>
      </c>
      <c r="AG1299" s="155" t="s">
        <v>247</v>
      </c>
    </row>
    <row r="1300" spans="25:33">
      <c r="Y1300" s="47">
        <v>4336</v>
      </c>
      <c r="Z1300" s="52" t="s">
        <v>410</v>
      </c>
      <c r="AA1300" s="52" t="s">
        <v>247</v>
      </c>
      <c r="AB1300" s="52" t="s">
        <v>247</v>
      </c>
      <c r="AC1300" s="52" t="s">
        <v>247</v>
      </c>
      <c r="AD1300" s="52" t="s">
        <v>1</v>
      </c>
      <c r="AE1300" s="52" t="s">
        <v>376</v>
      </c>
      <c r="AF1300" s="155" t="s">
        <v>247</v>
      </c>
      <c r="AG1300" s="155" t="s">
        <v>247</v>
      </c>
    </row>
    <row r="1301" spans="25:33">
      <c r="Y1301" s="47">
        <v>4337</v>
      </c>
      <c r="Z1301" s="52" t="s">
        <v>410</v>
      </c>
      <c r="AA1301" s="52" t="s">
        <v>247</v>
      </c>
      <c r="AB1301" s="52" t="s">
        <v>247</v>
      </c>
      <c r="AC1301" s="52" t="s">
        <v>247</v>
      </c>
      <c r="AD1301" s="52" t="s">
        <v>1</v>
      </c>
      <c r="AE1301" s="52" t="s">
        <v>376</v>
      </c>
      <c r="AF1301" s="155" t="s">
        <v>247</v>
      </c>
      <c r="AG1301" s="155" t="s">
        <v>247</v>
      </c>
    </row>
    <row r="1302" spans="25:33">
      <c r="Y1302" s="47">
        <v>4338</v>
      </c>
      <c r="Z1302" s="52" t="s">
        <v>410</v>
      </c>
      <c r="AA1302" s="52" t="s">
        <v>247</v>
      </c>
      <c r="AB1302" s="52" t="s">
        <v>247</v>
      </c>
      <c r="AC1302" s="52" t="s">
        <v>247</v>
      </c>
      <c r="AD1302" s="52" t="s">
        <v>1</v>
      </c>
      <c r="AE1302" s="52" t="s">
        <v>376</v>
      </c>
      <c r="AF1302" s="155" t="s">
        <v>247</v>
      </c>
      <c r="AG1302" s="155" t="s">
        <v>247</v>
      </c>
    </row>
    <row r="1303" spans="25:33">
      <c r="Y1303" s="47">
        <v>4339</v>
      </c>
      <c r="Z1303" s="52" t="s">
        <v>410</v>
      </c>
      <c r="AA1303" s="52" t="s">
        <v>247</v>
      </c>
      <c r="AB1303" s="52" t="s">
        <v>247</v>
      </c>
      <c r="AC1303" s="52" t="s">
        <v>247</v>
      </c>
      <c r="AD1303" s="52" t="s">
        <v>1</v>
      </c>
      <c r="AE1303" s="52" t="s">
        <v>376</v>
      </c>
      <c r="AF1303" s="155" t="s">
        <v>247</v>
      </c>
      <c r="AG1303" s="155" t="s">
        <v>247</v>
      </c>
    </row>
    <row r="1304" spans="25:33">
      <c r="Y1304" s="47">
        <v>4340</v>
      </c>
      <c r="Z1304" s="52" t="s">
        <v>410</v>
      </c>
      <c r="AA1304" s="52" t="s">
        <v>247</v>
      </c>
      <c r="AB1304" s="52" t="s">
        <v>247</v>
      </c>
      <c r="AC1304" s="52" t="s">
        <v>247</v>
      </c>
      <c r="AD1304" s="52" t="s">
        <v>1</v>
      </c>
      <c r="AE1304" s="52" t="s">
        <v>376</v>
      </c>
      <c r="AF1304" s="155" t="s">
        <v>247</v>
      </c>
      <c r="AG1304" s="155" t="s">
        <v>247</v>
      </c>
    </row>
    <row r="1305" spans="25:33">
      <c r="Y1305" s="47">
        <v>4341</v>
      </c>
      <c r="Z1305" s="52" t="s">
        <v>410</v>
      </c>
      <c r="AA1305" s="52" t="s">
        <v>247</v>
      </c>
      <c r="AB1305" s="52" t="s">
        <v>247</v>
      </c>
      <c r="AC1305" s="52" t="s">
        <v>247</v>
      </c>
      <c r="AD1305" s="52" t="s">
        <v>1</v>
      </c>
      <c r="AE1305" s="52" t="s">
        <v>376</v>
      </c>
      <c r="AF1305" s="155" t="s">
        <v>247</v>
      </c>
      <c r="AG1305" s="155" t="s">
        <v>247</v>
      </c>
    </row>
    <row r="1306" spans="25:33">
      <c r="Y1306" s="47">
        <v>4342</v>
      </c>
      <c r="Z1306" s="52" t="s">
        <v>410</v>
      </c>
      <c r="AA1306" s="52" t="s">
        <v>247</v>
      </c>
      <c r="AB1306" s="52" t="s">
        <v>247</v>
      </c>
      <c r="AC1306" s="52" t="s">
        <v>247</v>
      </c>
      <c r="AD1306" s="52" t="s">
        <v>1</v>
      </c>
      <c r="AE1306" s="52" t="s">
        <v>376</v>
      </c>
      <c r="AF1306" s="155" t="s">
        <v>247</v>
      </c>
      <c r="AG1306" s="155" t="s">
        <v>247</v>
      </c>
    </row>
    <row r="1307" spans="25:33">
      <c r="Y1307" s="47">
        <v>4343</v>
      </c>
      <c r="Z1307" s="52" t="s">
        <v>410</v>
      </c>
      <c r="AA1307" s="52" t="s">
        <v>247</v>
      </c>
      <c r="AB1307" s="52" t="s">
        <v>247</v>
      </c>
      <c r="AC1307" s="52" t="s">
        <v>247</v>
      </c>
      <c r="AD1307" s="52" t="s">
        <v>1</v>
      </c>
      <c r="AE1307" s="52" t="s">
        <v>376</v>
      </c>
      <c r="AF1307" s="155" t="s">
        <v>247</v>
      </c>
      <c r="AG1307" s="155" t="s">
        <v>247</v>
      </c>
    </row>
    <row r="1308" spans="25:33">
      <c r="Y1308" s="47">
        <v>4344</v>
      </c>
      <c r="Z1308" s="52" t="s">
        <v>410</v>
      </c>
      <c r="AA1308" s="52" t="s">
        <v>247</v>
      </c>
      <c r="AB1308" s="52" t="s">
        <v>247</v>
      </c>
      <c r="AC1308" s="52" t="s">
        <v>247</v>
      </c>
      <c r="AD1308" s="52" t="s">
        <v>1</v>
      </c>
      <c r="AE1308" s="52" t="s">
        <v>376</v>
      </c>
      <c r="AF1308" s="155" t="s">
        <v>247</v>
      </c>
      <c r="AG1308" s="155" t="s">
        <v>247</v>
      </c>
    </row>
    <row r="1309" spans="25:33">
      <c r="Y1309" s="47">
        <v>4345</v>
      </c>
      <c r="Z1309" s="52" t="s">
        <v>410</v>
      </c>
      <c r="AA1309" s="52" t="s">
        <v>247</v>
      </c>
      <c r="AB1309" s="52" t="s">
        <v>247</v>
      </c>
      <c r="AC1309" s="52" t="s">
        <v>247</v>
      </c>
      <c r="AD1309" s="52" t="s">
        <v>1</v>
      </c>
      <c r="AE1309" s="52" t="s">
        <v>376</v>
      </c>
      <c r="AF1309" s="155" t="s">
        <v>247</v>
      </c>
      <c r="AG1309" s="155" t="s">
        <v>247</v>
      </c>
    </row>
    <row r="1310" spans="25:33">
      <c r="Y1310" s="47">
        <v>4346</v>
      </c>
      <c r="Z1310" s="52" t="s">
        <v>410</v>
      </c>
      <c r="AA1310" s="52" t="s">
        <v>247</v>
      </c>
      <c r="AB1310" s="52" t="s">
        <v>247</v>
      </c>
      <c r="AC1310" s="52" t="s">
        <v>247</v>
      </c>
      <c r="AD1310" s="52" t="s">
        <v>1</v>
      </c>
      <c r="AE1310" s="52" t="s">
        <v>376</v>
      </c>
      <c r="AF1310" s="155" t="s">
        <v>247</v>
      </c>
      <c r="AG1310" s="155" t="s">
        <v>247</v>
      </c>
    </row>
    <row r="1311" spans="25:33">
      <c r="Y1311" s="47">
        <v>4347</v>
      </c>
      <c r="Z1311" s="52" t="s">
        <v>410</v>
      </c>
      <c r="AA1311" s="52" t="s">
        <v>247</v>
      </c>
      <c r="AB1311" s="52" t="s">
        <v>247</v>
      </c>
      <c r="AC1311" s="52" t="s">
        <v>247</v>
      </c>
      <c r="AD1311" s="52" t="s">
        <v>1</v>
      </c>
      <c r="AE1311" s="52" t="s">
        <v>376</v>
      </c>
      <c r="AF1311" s="155" t="s">
        <v>247</v>
      </c>
      <c r="AG1311" s="155" t="s">
        <v>247</v>
      </c>
    </row>
    <row r="1312" spans="25:33">
      <c r="Y1312" s="47">
        <v>4348</v>
      </c>
      <c r="Z1312" s="52" t="s">
        <v>410</v>
      </c>
      <c r="AA1312" s="52" t="s">
        <v>247</v>
      </c>
      <c r="AB1312" s="52" t="s">
        <v>247</v>
      </c>
      <c r="AC1312" s="52" t="s">
        <v>247</v>
      </c>
      <c r="AD1312" s="52" t="s">
        <v>1</v>
      </c>
      <c r="AE1312" s="52" t="s">
        <v>376</v>
      </c>
      <c r="AF1312" s="155" t="s">
        <v>247</v>
      </c>
      <c r="AG1312" s="155" t="s">
        <v>247</v>
      </c>
    </row>
    <row r="1313" spans="25:33">
      <c r="Y1313" s="47">
        <v>4349</v>
      </c>
      <c r="Z1313" s="52" t="s">
        <v>410</v>
      </c>
      <c r="AA1313" s="52" t="s">
        <v>247</v>
      </c>
      <c r="AB1313" s="52" t="s">
        <v>247</v>
      </c>
      <c r="AC1313" s="52" t="s">
        <v>247</v>
      </c>
      <c r="AD1313" s="52" t="s">
        <v>1</v>
      </c>
      <c r="AE1313" s="52" t="s">
        <v>376</v>
      </c>
      <c r="AF1313" s="155" t="s">
        <v>247</v>
      </c>
      <c r="AG1313" s="155" t="s">
        <v>247</v>
      </c>
    </row>
    <row r="1314" spans="25:33">
      <c r="Y1314" s="47">
        <v>4350</v>
      </c>
      <c r="Z1314" s="52" t="s">
        <v>410</v>
      </c>
      <c r="AA1314" s="52" t="s">
        <v>247</v>
      </c>
      <c r="AB1314" s="52" t="s">
        <v>247</v>
      </c>
      <c r="AC1314" s="52" t="s">
        <v>247</v>
      </c>
      <c r="AD1314" s="52" t="s">
        <v>1</v>
      </c>
      <c r="AE1314" s="52" t="s">
        <v>376</v>
      </c>
      <c r="AF1314" s="155" t="s">
        <v>247</v>
      </c>
      <c r="AG1314" s="155" t="s">
        <v>247</v>
      </c>
    </row>
    <row r="1315" spans="25:33">
      <c r="Y1315" s="47">
        <v>4351</v>
      </c>
      <c r="Z1315" s="52" t="s">
        <v>410</v>
      </c>
      <c r="AA1315" s="52" t="s">
        <v>247</v>
      </c>
      <c r="AB1315" s="52" t="s">
        <v>247</v>
      </c>
      <c r="AC1315" s="52" t="s">
        <v>247</v>
      </c>
      <c r="AD1315" s="52" t="s">
        <v>1</v>
      </c>
      <c r="AE1315" s="52" t="s">
        <v>376</v>
      </c>
      <c r="AF1315" s="155" t="s">
        <v>247</v>
      </c>
      <c r="AG1315" s="155" t="s">
        <v>247</v>
      </c>
    </row>
    <row r="1316" spans="25:33">
      <c r="Y1316" s="47">
        <v>4352</v>
      </c>
      <c r="Z1316" s="52" t="s">
        <v>410</v>
      </c>
      <c r="AA1316" s="52" t="s">
        <v>247</v>
      </c>
      <c r="AB1316" s="52" t="s">
        <v>247</v>
      </c>
      <c r="AC1316" s="52" t="s">
        <v>247</v>
      </c>
      <c r="AD1316" s="52" t="s">
        <v>1</v>
      </c>
      <c r="AE1316" s="52" t="s">
        <v>376</v>
      </c>
      <c r="AF1316" s="155" t="s">
        <v>247</v>
      </c>
      <c r="AG1316" s="155" t="s">
        <v>247</v>
      </c>
    </row>
    <row r="1317" spans="25:33">
      <c r="Y1317" s="47">
        <v>4353</v>
      </c>
      <c r="Z1317" s="52" t="s">
        <v>410</v>
      </c>
      <c r="AA1317" s="52" t="s">
        <v>247</v>
      </c>
      <c r="AB1317" s="52" t="s">
        <v>247</v>
      </c>
      <c r="AC1317" s="52" t="s">
        <v>247</v>
      </c>
      <c r="AD1317" s="52" t="s">
        <v>1</v>
      </c>
      <c r="AE1317" s="52" t="s">
        <v>376</v>
      </c>
      <c r="AF1317" s="155" t="s">
        <v>247</v>
      </c>
      <c r="AG1317" s="155" t="s">
        <v>247</v>
      </c>
    </row>
    <row r="1318" spans="25:33">
      <c r="Y1318" s="47">
        <v>4354</v>
      </c>
      <c r="Z1318" s="52" t="s">
        <v>410</v>
      </c>
      <c r="AA1318" s="52" t="s">
        <v>247</v>
      </c>
      <c r="AB1318" s="52" t="s">
        <v>247</v>
      </c>
      <c r="AC1318" s="52" t="s">
        <v>247</v>
      </c>
      <c r="AD1318" s="52" t="s">
        <v>1</v>
      </c>
      <c r="AE1318" s="52" t="s">
        <v>376</v>
      </c>
      <c r="AF1318" s="155" t="s">
        <v>247</v>
      </c>
      <c r="AG1318" s="155" t="s">
        <v>247</v>
      </c>
    </row>
    <row r="1319" spans="25:33">
      <c r="Y1319" s="47">
        <v>4355</v>
      </c>
      <c r="Z1319" s="52" t="s">
        <v>410</v>
      </c>
      <c r="AA1319" s="52" t="s">
        <v>247</v>
      </c>
      <c r="AB1319" s="52" t="s">
        <v>247</v>
      </c>
      <c r="AC1319" s="52" t="s">
        <v>247</v>
      </c>
      <c r="AD1319" s="52" t="s">
        <v>1</v>
      </c>
      <c r="AE1319" s="52" t="s">
        <v>376</v>
      </c>
      <c r="AF1319" s="155" t="s">
        <v>247</v>
      </c>
      <c r="AG1319" s="155" t="s">
        <v>247</v>
      </c>
    </row>
    <row r="1320" spans="25:33">
      <c r="Y1320" s="47">
        <v>4356</v>
      </c>
      <c r="Z1320" s="52" t="s">
        <v>410</v>
      </c>
      <c r="AA1320" s="52" t="s">
        <v>247</v>
      </c>
      <c r="AB1320" s="52" t="s">
        <v>247</v>
      </c>
      <c r="AC1320" s="52" t="s">
        <v>247</v>
      </c>
      <c r="AD1320" s="52" t="s">
        <v>1</v>
      </c>
      <c r="AE1320" s="52" t="s">
        <v>376</v>
      </c>
      <c r="AF1320" s="155" t="s">
        <v>247</v>
      </c>
      <c r="AG1320" s="155" t="s">
        <v>247</v>
      </c>
    </row>
    <row r="1321" spans="25:33">
      <c r="Y1321" s="47">
        <v>4357</v>
      </c>
      <c r="Z1321" s="52" t="s">
        <v>410</v>
      </c>
      <c r="AA1321" s="52" t="s">
        <v>247</v>
      </c>
      <c r="AB1321" s="52" t="s">
        <v>247</v>
      </c>
      <c r="AC1321" s="52" t="s">
        <v>247</v>
      </c>
      <c r="AD1321" s="52" t="s">
        <v>1</v>
      </c>
      <c r="AE1321" s="52" t="s">
        <v>376</v>
      </c>
      <c r="AF1321" s="155" t="s">
        <v>247</v>
      </c>
      <c r="AG1321" s="155" t="s">
        <v>247</v>
      </c>
    </row>
    <row r="1322" spans="25:33">
      <c r="Y1322" s="47">
        <v>4358</v>
      </c>
      <c r="Z1322" s="52" t="s">
        <v>410</v>
      </c>
      <c r="AA1322" s="52" t="s">
        <v>247</v>
      </c>
      <c r="AB1322" s="52" t="s">
        <v>247</v>
      </c>
      <c r="AC1322" s="52" t="s">
        <v>247</v>
      </c>
      <c r="AD1322" s="52" t="s">
        <v>1</v>
      </c>
      <c r="AE1322" s="52" t="s">
        <v>376</v>
      </c>
      <c r="AF1322" s="155" t="s">
        <v>247</v>
      </c>
      <c r="AG1322" s="155" t="s">
        <v>247</v>
      </c>
    </row>
    <row r="1323" spans="25:33">
      <c r="Y1323" s="47">
        <v>4359</v>
      </c>
      <c r="Z1323" s="52" t="s">
        <v>410</v>
      </c>
      <c r="AA1323" s="52" t="s">
        <v>247</v>
      </c>
      <c r="AB1323" s="52" t="s">
        <v>247</v>
      </c>
      <c r="AC1323" s="52" t="s">
        <v>247</v>
      </c>
      <c r="AD1323" s="52" t="s">
        <v>1</v>
      </c>
      <c r="AE1323" s="52" t="s">
        <v>376</v>
      </c>
      <c r="AF1323" s="155" t="s">
        <v>247</v>
      </c>
      <c r="AG1323" s="155" t="s">
        <v>247</v>
      </c>
    </row>
    <row r="1324" spans="25:33">
      <c r="Y1324" s="47">
        <v>4360</v>
      </c>
      <c r="Z1324" s="52" t="s">
        <v>410</v>
      </c>
      <c r="AA1324" s="52" t="s">
        <v>247</v>
      </c>
      <c r="AB1324" s="52" t="s">
        <v>247</v>
      </c>
      <c r="AC1324" s="52" t="s">
        <v>247</v>
      </c>
      <c r="AD1324" s="52" t="s">
        <v>1</v>
      </c>
      <c r="AE1324" s="52" t="s">
        <v>376</v>
      </c>
      <c r="AF1324" s="155" t="s">
        <v>247</v>
      </c>
      <c r="AG1324" s="155" t="s">
        <v>247</v>
      </c>
    </row>
    <row r="1325" spans="25:33">
      <c r="Y1325" s="47">
        <v>4361</v>
      </c>
      <c r="Z1325" s="52" t="s">
        <v>410</v>
      </c>
      <c r="AA1325" s="52" t="s">
        <v>247</v>
      </c>
      <c r="AB1325" s="52" t="s">
        <v>247</v>
      </c>
      <c r="AC1325" s="52" t="s">
        <v>247</v>
      </c>
      <c r="AD1325" s="52" t="s">
        <v>1</v>
      </c>
      <c r="AE1325" s="52" t="s">
        <v>376</v>
      </c>
      <c r="AF1325" s="155" t="s">
        <v>247</v>
      </c>
      <c r="AG1325" s="155" t="s">
        <v>247</v>
      </c>
    </row>
    <row r="1326" spans="25:33">
      <c r="Y1326" s="47">
        <v>4362</v>
      </c>
      <c r="Z1326" s="52" t="s">
        <v>410</v>
      </c>
      <c r="AA1326" s="52" t="s">
        <v>247</v>
      </c>
      <c r="AB1326" s="52" t="s">
        <v>247</v>
      </c>
      <c r="AC1326" s="52" t="s">
        <v>247</v>
      </c>
      <c r="AD1326" s="52" t="s">
        <v>1</v>
      </c>
      <c r="AE1326" s="52" t="s">
        <v>376</v>
      </c>
      <c r="AF1326" s="155" t="s">
        <v>247</v>
      </c>
      <c r="AG1326" s="155" t="s">
        <v>247</v>
      </c>
    </row>
    <row r="1327" spans="25:33">
      <c r="Y1327" s="47">
        <v>4363</v>
      </c>
      <c r="Z1327" s="52" t="s">
        <v>410</v>
      </c>
      <c r="AA1327" s="52" t="s">
        <v>247</v>
      </c>
      <c r="AB1327" s="52" t="s">
        <v>247</v>
      </c>
      <c r="AC1327" s="52" t="s">
        <v>247</v>
      </c>
      <c r="AD1327" s="52" t="s">
        <v>1</v>
      </c>
      <c r="AE1327" s="52" t="s">
        <v>376</v>
      </c>
      <c r="AF1327" s="155" t="s">
        <v>247</v>
      </c>
      <c r="AG1327" s="155" t="s">
        <v>247</v>
      </c>
    </row>
    <row r="1328" spans="25:33">
      <c r="Y1328" s="47">
        <v>4364</v>
      </c>
      <c r="Z1328" s="52" t="s">
        <v>410</v>
      </c>
      <c r="AA1328" s="52" t="s">
        <v>247</v>
      </c>
      <c r="AB1328" s="52" t="s">
        <v>247</v>
      </c>
      <c r="AC1328" s="52" t="s">
        <v>247</v>
      </c>
      <c r="AD1328" s="52" t="s">
        <v>1</v>
      </c>
      <c r="AE1328" s="52" t="s">
        <v>376</v>
      </c>
      <c r="AF1328" s="155" t="s">
        <v>247</v>
      </c>
      <c r="AG1328" s="155" t="s">
        <v>247</v>
      </c>
    </row>
    <row r="1329" spans="25:33">
      <c r="Y1329" s="47">
        <v>4365</v>
      </c>
      <c r="Z1329" s="52" t="s">
        <v>410</v>
      </c>
      <c r="AA1329" s="52" t="s">
        <v>247</v>
      </c>
      <c r="AB1329" s="52" t="s">
        <v>247</v>
      </c>
      <c r="AC1329" s="52" t="s">
        <v>247</v>
      </c>
      <c r="AD1329" s="52" t="s">
        <v>1</v>
      </c>
      <c r="AE1329" s="52" t="s">
        <v>376</v>
      </c>
      <c r="AF1329" s="155" t="s">
        <v>247</v>
      </c>
      <c r="AG1329" s="155" t="s">
        <v>247</v>
      </c>
    </row>
    <row r="1330" spans="25:33">
      <c r="Y1330" s="47">
        <v>4366</v>
      </c>
      <c r="Z1330" s="52" t="s">
        <v>410</v>
      </c>
      <c r="AA1330" s="52" t="s">
        <v>247</v>
      </c>
      <c r="AB1330" s="52" t="s">
        <v>247</v>
      </c>
      <c r="AC1330" s="52" t="s">
        <v>247</v>
      </c>
      <c r="AD1330" s="52" t="s">
        <v>1</v>
      </c>
      <c r="AE1330" s="52" t="s">
        <v>376</v>
      </c>
      <c r="AF1330" s="155" t="s">
        <v>247</v>
      </c>
      <c r="AG1330" s="155" t="s">
        <v>247</v>
      </c>
    </row>
    <row r="1331" spans="25:33">
      <c r="Y1331" s="47">
        <v>4367</v>
      </c>
      <c r="Z1331" s="52" t="s">
        <v>410</v>
      </c>
      <c r="AA1331" s="52" t="s">
        <v>247</v>
      </c>
      <c r="AB1331" s="52" t="s">
        <v>247</v>
      </c>
      <c r="AC1331" s="52" t="s">
        <v>247</v>
      </c>
      <c r="AD1331" s="52" t="s">
        <v>1</v>
      </c>
      <c r="AE1331" s="52" t="s">
        <v>376</v>
      </c>
      <c r="AF1331" s="155" t="s">
        <v>247</v>
      </c>
      <c r="AG1331" s="155" t="s">
        <v>247</v>
      </c>
    </row>
    <row r="1332" spans="25:33">
      <c r="Y1332" s="47">
        <v>4368</v>
      </c>
      <c r="Z1332" s="52" t="s">
        <v>410</v>
      </c>
      <c r="AA1332" s="52" t="s">
        <v>247</v>
      </c>
      <c r="AB1332" s="52" t="s">
        <v>247</v>
      </c>
      <c r="AC1332" s="52" t="s">
        <v>247</v>
      </c>
      <c r="AD1332" s="52" t="s">
        <v>1</v>
      </c>
      <c r="AE1332" s="52" t="s">
        <v>376</v>
      </c>
      <c r="AF1332" s="155" t="s">
        <v>247</v>
      </c>
      <c r="AG1332" s="155" t="s">
        <v>247</v>
      </c>
    </row>
    <row r="1333" spans="25:33">
      <c r="Y1333" s="47">
        <v>4369</v>
      </c>
      <c r="Z1333" s="52" t="s">
        <v>410</v>
      </c>
      <c r="AA1333" s="52" t="s">
        <v>247</v>
      </c>
      <c r="AB1333" s="52" t="s">
        <v>247</v>
      </c>
      <c r="AC1333" s="52" t="s">
        <v>247</v>
      </c>
      <c r="AD1333" s="52" t="s">
        <v>1</v>
      </c>
      <c r="AE1333" s="52" t="s">
        <v>376</v>
      </c>
      <c r="AF1333" s="155" t="s">
        <v>247</v>
      </c>
      <c r="AG1333" s="155" t="s">
        <v>247</v>
      </c>
    </row>
    <row r="1334" spans="25:33">
      <c r="Y1334" s="47">
        <v>4370</v>
      </c>
      <c r="Z1334" s="52" t="s">
        <v>410</v>
      </c>
      <c r="AA1334" s="52" t="s">
        <v>247</v>
      </c>
      <c r="AB1334" s="52" t="s">
        <v>247</v>
      </c>
      <c r="AC1334" s="52" t="s">
        <v>247</v>
      </c>
      <c r="AD1334" s="52" t="s">
        <v>1</v>
      </c>
      <c r="AE1334" s="52" t="s">
        <v>376</v>
      </c>
      <c r="AF1334" s="155" t="s">
        <v>247</v>
      </c>
      <c r="AG1334" s="155" t="s">
        <v>247</v>
      </c>
    </row>
    <row r="1335" spans="25:33">
      <c r="Y1335" s="47">
        <v>4371</v>
      </c>
      <c r="Z1335" s="52" t="s">
        <v>410</v>
      </c>
      <c r="AA1335" s="52" t="s">
        <v>247</v>
      </c>
      <c r="AB1335" s="52" t="s">
        <v>247</v>
      </c>
      <c r="AC1335" s="52" t="s">
        <v>247</v>
      </c>
      <c r="AD1335" s="52" t="s">
        <v>1</v>
      </c>
      <c r="AE1335" s="52" t="s">
        <v>376</v>
      </c>
      <c r="AF1335" s="155" t="s">
        <v>247</v>
      </c>
      <c r="AG1335" s="155" t="s">
        <v>247</v>
      </c>
    </row>
    <row r="1336" spans="25:33">
      <c r="Y1336" s="47">
        <v>4372</v>
      </c>
      <c r="Z1336" s="52" t="s">
        <v>410</v>
      </c>
      <c r="AA1336" s="52" t="s">
        <v>247</v>
      </c>
      <c r="AB1336" s="52" t="s">
        <v>247</v>
      </c>
      <c r="AC1336" s="52" t="s">
        <v>247</v>
      </c>
      <c r="AD1336" s="52" t="s">
        <v>1</v>
      </c>
      <c r="AE1336" s="52" t="s">
        <v>376</v>
      </c>
      <c r="AF1336" s="155" t="s">
        <v>247</v>
      </c>
      <c r="AG1336" s="155" t="s">
        <v>247</v>
      </c>
    </row>
    <row r="1337" spans="25:33">
      <c r="Y1337" s="47">
        <v>4373</v>
      </c>
      <c r="Z1337" s="52" t="s">
        <v>410</v>
      </c>
      <c r="AA1337" s="52" t="s">
        <v>247</v>
      </c>
      <c r="AB1337" s="52" t="s">
        <v>247</v>
      </c>
      <c r="AC1337" s="52" t="s">
        <v>247</v>
      </c>
      <c r="AD1337" s="52" t="s">
        <v>1</v>
      </c>
      <c r="AE1337" s="52" t="s">
        <v>376</v>
      </c>
      <c r="AF1337" s="155" t="s">
        <v>247</v>
      </c>
      <c r="AG1337" s="155" t="s">
        <v>247</v>
      </c>
    </row>
    <row r="1338" spans="25:33">
      <c r="Y1338" s="47">
        <v>4374</v>
      </c>
      <c r="Z1338" s="52" t="s">
        <v>410</v>
      </c>
      <c r="AA1338" s="52" t="s">
        <v>247</v>
      </c>
      <c r="AB1338" s="52" t="s">
        <v>247</v>
      </c>
      <c r="AC1338" s="52" t="s">
        <v>247</v>
      </c>
      <c r="AD1338" s="52" t="s">
        <v>1</v>
      </c>
      <c r="AE1338" s="52" t="s">
        <v>376</v>
      </c>
      <c r="AF1338" s="155" t="s">
        <v>247</v>
      </c>
      <c r="AG1338" s="155" t="s">
        <v>247</v>
      </c>
    </row>
    <row r="1339" spans="25:33">
      <c r="Y1339" s="47">
        <v>4375</v>
      </c>
      <c r="Z1339" s="52" t="s">
        <v>410</v>
      </c>
      <c r="AA1339" s="52">
        <v>6</v>
      </c>
      <c r="AB1339" s="52">
        <v>3</v>
      </c>
      <c r="AC1339" s="52" t="s">
        <v>247</v>
      </c>
      <c r="AD1339" s="52" t="s">
        <v>2</v>
      </c>
      <c r="AE1339" s="52" t="s">
        <v>376</v>
      </c>
      <c r="AF1339" s="155" t="s">
        <v>247</v>
      </c>
      <c r="AG1339" s="155" t="s">
        <v>247</v>
      </c>
    </row>
    <row r="1340" spans="25:33">
      <c r="Y1340" s="47">
        <v>4376</v>
      </c>
      <c r="Z1340" s="52" t="s">
        <v>410</v>
      </c>
      <c r="AA1340" s="52" t="s">
        <v>247</v>
      </c>
      <c r="AB1340" s="52" t="s">
        <v>247</v>
      </c>
      <c r="AC1340" s="52" t="s">
        <v>247</v>
      </c>
      <c r="AD1340" s="52" t="s">
        <v>1</v>
      </c>
      <c r="AE1340" s="52" t="s">
        <v>376</v>
      </c>
      <c r="AF1340" s="155" t="s">
        <v>247</v>
      </c>
      <c r="AG1340" s="155" t="s">
        <v>247</v>
      </c>
    </row>
    <row r="1341" spans="25:33">
      <c r="Y1341" s="47">
        <v>4377</v>
      </c>
      <c r="Z1341" s="52" t="s">
        <v>410</v>
      </c>
      <c r="AA1341" s="52">
        <v>6</v>
      </c>
      <c r="AB1341" s="52">
        <v>3</v>
      </c>
      <c r="AC1341" s="52" t="s">
        <v>247</v>
      </c>
      <c r="AD1341" s="52" t="s">
        <v>2</v>
      </c>
      <c r="AE1341" s="52" t="s">
        <v>376</v>
      </c>
      <c r="AF1341" s="155" t="s">
        <v>247</v>
      </c>
      <c r="AG1341" s="155" t="s">
        <v>247</v>
      </c>
    </row>
    <row r="1342" spans="25:33">
      <c r="Y1342" s="47">
        <v>4378</v>
      </c>
      <c r="Z1342" s="52" t="s">
        <v>410</v>
      </c>
      <c r="AA1342" s="52" t="s">
        <v>247</v>
      </c>
      <c r="AB1342" s="52" t="s">
        <v>247</v>
      </c>
      <c r="AC1342" s="52" t="s">
        <v>247</v>
      </c>
      <c r="AD1342" s="52" t="s">
        <v>1</v>
      </c>
      <c r="AE1342" s="52" t="s">
        <v>376</v>
      </c>
      <c r="AF1342" s="155" t="s">
        <v>247</v>
      </c>
      <c r="AG1342" s="155" t="s">
        <v>247</v>
      </c>
    </row>
    <row r="1343" spans="25:33">
      <c r="Y1343" s="47">
        <v>4379</v>
      </c>
      <c r="Z1343" s="52" t="s">
        <v>410</v>
      </c>
      <c r="AA1343" s="52" t="s">
        <v>247</v>
      </c>
      <c r="AB1343" s="52" t="s">
        <v>247</v>
      </c>
      <c r="AC1343" s="52" t="s">
        <v>247</v>
      </c>
      <c r="AD1343" s="52" t="s">
        <v>1</v>
      </c>
      <c r="AE1343" s="52" t="s">
        <v>376</v>
      </c>
      <c r="AF1343" s="155" t="s">
        <v>247</v>
      </c>
      <c r="AG1343" s="155" t="s">
        <v>247</v>
      </c>
    </row>
    <row r="1344" spans="25:33">
      <c r="Y1344" s="47">
        <v>4380</v>
      </c>
      <c r="Z1344" s="52" t="s">
        <v>410</v>
      </c>
      <c r="AA1344" s="52">
        <v>6</v>
      </c>
      <c r="AB1344" s="52">
        <v>3</v>
      </c>
      <c r="AC1344" s="52" t="s">
        <v>247</v>
      </c>
      <c r="AD1344" s="52" t="s">
        <v>2</v>
      </c>
      <c r="AE1344" s="52" t="s">
        <v>376</v>
      </c>
      <c r="AF1344" s="155" t="s">
        <v>247</v>
      </c>
      <c r="AG1344" s="155" t="s">
        <v>247</v>
      </c>
    </row>
    <row r="1345" spans="25:33">
      <c r="Y1345" s="47">
        <v>4381</v>
      </c>
      <c r="Z1345" s="52" t="s">
        <v>410</v>
      </c>
      <c r="AA1345" s="52" t="s">
        <v>247</v>
      </c>
      <c r="AB1345" s="52" t="s">
        <v>247</v>
      </c>
      <c r="AC1345" s="52" t="s">
        <v>247</v>
      </c>
      <c r="AD1345" s="52" t="s">
        <v>1</v>
      </c>
      <c r="AE1345" s="52" t="s">
        <v>376</v>
      </c>
      <c r="AF1345" s="155" t="s">
        <v>247</v>
      </c>
      <c r="AG1345" s="155" t="s">
        <v>247</v>
      </c>
    </row>
    <row r="1346" spans="25:33">
      <c r="Y1346" s="47">
        <v>4382</v>
      </c>
      <c r="Z1346" s="52" t="s">
        <v>410</v>
      </c>
      <c r="AA1346" s="52" t="s">
        <v>247</v>
      </c>
      <c r="AB1346" s="52" t="s">
        <v>247</v>
      </c>
      <c r="AC1346" s="52" t="s">
        <v>247</v>
      </c>
      <c r="AD1346" s="52" t="s">
        <v>1</v>
      </c>
      <c r="AE1346" s="52" t="s">
        <v>376</v>
      </c>
      <c r="AF1346" s="155" t="s">
        <v>247</v>
      </c>
      <c r="AG1346" s="155" t="s">
        <v>247</v>
      </c>
    </row>
    <row r="1347" spans="25:33">
      <c r="Y1347" s="47">
        <v>4383</v>
      </c>
      <c r="Z1347" s="52" t="s">
        <v>410</v>
      </c>
      <c r="AA1347" s="52">
        <v>6</v>
      </c>
      <c r="AB1347" s="52">
        <v>3</v>
      </c>
      <c r="AC1347" s="52" t="s">
        <v>247</v>
      </c>
      <c r="AD1347" s="52" t="s">
        <v>2</v>
      </c>
      <c r="AE1347" s="52" t="s">
        <v>376</v>
      </c>
      <c r="AF1347" s="155" t="s">
        <v>247</v>
      </c>
      <c r="AG1347" s="155" t="s">
        <v>247</v>
      </c>
    </row>
    <row r="1348" spans="25:33">
      <c r="Y1348" s="47">
        <v>4384</v>
      </c>
      <c r="Z1348" s="52" t="s">
        <v>410</v>
      </c>
      <c r="AA1348" s="52" t="s">
        <v>247</v>
      </c>
      <c r="AB1348" s="52" t="s">
        <v>247</v>
      </c>
      <c r="AC1348" s="52" t="s">
        <v>247</v>
      </c>
      <c r="AD1348" s="52" t="s">
        <v>1</v>
      </c>
      <c r="AE1348" s="52" t="s">
        <v>376</v>
      </c>
      <c r="AF1348" s="155" t="s">
        <v>247</v>
      </c>
      <c r="AG1348" s="155" t="s">
        <v>247</v>
      </c>
    </row>
    <row r="1349" spans="25:33">
      <c r="Y1349" s="47">
        <v>4385</v>
      </c>
      <c r="Z1349" s="52" t="s">
        <v>410</v>
      </c>
      <c r="AA1349" s="52">
        <v>4</v>
      </c>
      <c r="AB1349" s="52">
        <v>3</v>
      </c>
      <c r="AC1349" s="52" t="s">
        <v>247</v>
      </c>
      <c r="AD1349" s="52" t="s">
        <v>2</v>
      </c>
      <c r="AE1349" s="52" t="s">
        <v>376</v>
      </c>
      <c r="AF1349" s="155" t="s">
        <v>247</v>
      </c>
      <c r="AG1349" s="155" t="s">
        <v>247</v>
      </c>
    </row>
    <row r="1350" spans="25:33">
      <c r="Y1350" s="47">
        <v>4386</v>
      </c>
      <c r="Z1350" s="52" t="s">
        <v>410</v>
      </c>
      <c r="AA1350" s="52" t="s">
        <v>247</v>
      </c>
      <c r="AB1350" s="52" t="s">
        <v>247</v>
      </c>
      <c r="AC1350" s="52" t="s">
        <v>247</v>
      </c>
      <c r="AD1350" s="52" t="s">
        <v>1</v>
      </c>
      <c r="AE1350" s="52" t="s">
        <v>376</v>
      </c>
      <c r="AF1350" s="155" t="s">
        <v>247</v>
      </c>
      <c r="AG1350" s="155" t="s">
        <v>247</v>
      </c>
    </row>
    <row r="1351" spans="25:33">
      <c r="Y1351" s="47">
        <v>4387</v>
      </c>
      <c r="Z1351" s="52" t="s">
        <v>410</v>
      </c>
      <c r="AA1351" s="52" t="s">
        <v>247</v>
      </c>
      <c r="AB1351" s="52" t="s">
        <v>247</v>
      </c>
      <c r="AC1351" s="52" t="s">
        <v>247</v>
      </c>
      <c r="AD1351" s="52" t="s">
        <v>1</v>
      </c>
      <c r="AE1351" s="52" t="s">
        <v>376</v>
      </c>
      <c r="AF1351" s="155" t="s">
        <v>247</v>
      </c>
      <c r="AG1351" s="155" t="s">
        <v>247</v>
      </c>
    </row>
    <row r="1352" spans="25:33">
      <c r="Y1352" s="47">
        <v>4388</v>
      </c>
      <c r="Z1352" s="52" t="s">
        <v>410</v>
      </c>
      <c r="AA1352" s="52" t="s">
        <v>247</v>
      </c>
      <c r="AB1352" s="52" t="s">
        <v>247</v>
      </c>
      <c r="AC1352" s="52" t="s">
        <v>247</v>
      </c>
      <c r="AD1352" s="52" t="s">
        <v>1</v>
      </c>
      <c r="AE1352" s="52" t="s">
        <v>376</v>
      </c>
      <c r="AF1352" s="155" t="s">
        <v>247</v>
      </c>
      <c r="AG1352" s="155" t="s">
        <v>247</v>
      </c>
    </row>
    <row r="1353" spans="25:33">
      <c r="Y1353" s="47">
        <v>4389</v>
      </c>
      <c r="Z1353" s="52" t="s">
        <v>410</v>
      </c>
      <c r="AA1353" s="52" t="s">
        <v>247</v>
      </c>
      <c r="AB1353" s="52" t="s">
        <v>247</v>
      </c>
      <c r="AC1353" s="52" t="s">
        <v>247</v>
      </c>
      <c r="AD1353" s="52" t="s">
        <v>1</v>
      </c>
      <c r="AE1353" s="52" t="s">
        <v>376</v>
      </c>
      <c r="AF1353" s="155" t="s">
        <v>247</v>
      </c>
      <c r="AG1353" s="155" t="s">
        <v>247</v>
      </c>
    </row>
    <row r="1354" spans="25:33">
      <c r="Y1354" s="47">
        <v>4390</v>
      </c>
      <c r="Z1354" s="52" t="s">
        <v>410</v>
      </c>
      <c r="AA1354" s="52" t="s">
        <v>247</v>
      </c>
      <c r="AB1354" s="52" t="s">
        <v>247</v>
      </c>
      <c r="AC1354" s="52" t="s">
        <v>247</v>
      </c>
      <c r="AD1354" s="52" t="s">
        <v>1</v>
      </c>
      <c r="AE1354" s="52" t="s">
        <v>376</v>
      </c>
      <c r="AF1354" s="155" t="s">
        <v>247</v>
      </c>
      <c r="AG1354" s="155" t="s">
        <v>247</v>
      </c>
    </row>
    <row r="1355" spans="25:33">
      <c r="Y1355" s="47">
        <v>4391</v>
      </c>
      <c r="Z1355" s="52" t="s">
        <v>410</v>
      </c>
      <c r="AA1355" s="52" t="s">
        <v>247</v>
      </c>
      <c r="AB1355" s="52" t="s">
        <v>247</v>
      </c>
      <c r="AC1355" s="52" t="s">
        <v>247</v>
      </c>
      <c r="AD1355" s="52" t="s">
        <v>1</v>
      </c>
      <c r="AE1355" s="52" t="s">
        <v>376</v>
      </c>
      <c r="AF1355" s="155" t="s">
        <v>247</v>
      </c>
      <c r="AG1355" s="155" t="s">
        <v>247</v>
      </c>
    </row>
    <row r="1356" spans="25:33">
      <c r="Y1356" s="47">
        <v>4392</v>
      </c>
      <c r="Z1356" s="52" t="s">
        <v>410</v>
      </c>
      <c r="AA1356" s="52" t="s">
        <v>247</v>
      </c>
      <c r="AB1356" s="52" t="s">
        <v>247</v>
      </c>
      <c r="AC1356" s="52" t="s">
        <v>247</v>
      </c>
      <c r="AD1356" s="52" t="s">
        <v>1</v>
      </c>
      <c r="AE1356" s="52" t="s">
        <v>376</v>
      </c>
      <c r="AF1356" s="155" t="s">
        <v>247</v>
      </c>
      <c r="AG1356" s="155" t="s">
        <v>247</v>
      </c>
    </row>
    <row r="1357" spans="25:33">
      <c r="Y1357" s="47">
        <v>4393</v>
      </c>
      <c r="Z1357" s="52" t="s">
        <v>410</v>
      </c>
      <c r="AA1357" s="52" t="s">
        <v>247</v>
      </c>
      <c r="AB1357" s="52" t="s">
        <v>247</v>
      </c>
      <c r="AC1357" s="52" t="s">
        <v>247</v>
      </c>
      <c r="AD1357" s="52" t="s">
        <v>1</v>
      </c>
      <c r="AE1357" s="52" t="s">
        <v>376</v>
      </c>
      <c r="AF1357" s="155" t="s">
        <v>247</v>
      </c>
      <c r="AG1357" s="155" t="s">
        <v>247</v>
      </c>
    </row>
    <row r="1358" spans="25:33">
      <c r="Y1358" s="47">
        <v>4394</v>
      </c>
      <c r="Z1358" s="52" t="s">
        <v>410</v>
      </c>
      <c r="AA1358" s="52" t="s">
        <v>247</v>
      </c>
      <c r="AB1358" s="52" t="s">
        <v>247</v>
      </c>
      <c r="AC1358" s="52" t="s">
        <v>247</v>
      </c>
      <c r="AD1358" s="52" t="s">
        <v>1</v>
      </c>
      <c r="AE1358" s="52" t="s">
        <v>376</v>
      </c>
      <c r="AF1358" s="155" t="s">
        <v>247</v>
      </c>
      <c r="AG1358" s="155" t="s">
        <v>247</v>
      </c>
    </row>
    <row r="1359" spans="25:33">
      <c r="Y1359" s="47">
        <v>4395</v>
      </c>
      <c r="Z1359" s="52" t="s">
        <v>410</v>
      </c>
      <c r="AA1359" s="52" t="s">
        <v>247</v>
      </c>
      <c r="AB1359" s="52" t="s">
        <v>247</v>
      </c>
      <c r="AC1359" s="52" t="s">
        <v>247</v>
      </c>
      <c r="AD1359" s="52" t="s">
        <v>1</v>
      </c>
      <c r="AE1359" s="52" t="s">
        <v>376</v>
      </c>
      <c r="AF1359" s="155" t="s">
        <v>247</v>
      </c>
      <c r="AG1359" s="155" t="s">
        <v>247</v>
      </c>
    </row>
    <row r="1360" spans="25:33">
      <c r="Y1360" s="47">
        <v>4396</v>
      </c>
      <c r="Z1360" s="52" t="s">
        <v>410</v>
      </c>
      <c r="AA1360" s="52" t="s">
        <v>247</v>
      </c>
      <c r="AB1360" s="52" t="s">
        <v>247</v>
      </c>
      <c r="AC1360" s="52" t="s">
        <v>247</v>
      </c>
      <c r="AD1360" s="52" t="s">
        <v>1</v>
      </c>
      <c r="AE1360" s="52" t="s">
        <v>376</v>
      </c>
      <c r="AF1360" s="155" t="s">
        <v>247</v>
      </c>
      <c r="AG1360" s="155" t="s">
        <v>247</v>
      </c>
    </row>
    <row r="1361" spans="25:33">
      <c r="Y1361" s="47">
        <v>4397</v>
      </c>
      <c r="Z1361" s="52" t="s">
        <v>410</v>
      </c>
      <c r="AA1361" s="52" t="s">
        <v>247</v>
      </c>
      <c r="AB1361" s="52" t="s">
        <v>247</v>
      </c>
      <c r="AC1361" s="52" t="s">
        <v>247</v>
      </c>
      <c r="AD1361" s="52" t="s">
        <v>1</v>
      </c>
      <c r="AE1361" s="52" t="s">
        <v>376</v>
      </c>
      <c r="AF1361" s="155" t="s">
        <v>247</v>
      </c>
      <c r="AG1361" s="155" t="s">
        <v>247</v>
      </c>
    </row>
    <row r="1362" spans="25:33">
      <c r="Y1362" s="47">
        <v>4398</v>
      </c>
      <c r="Z1362" s="52" t="s">
        <v>410</v>
      </c>
      <c r="AA1362" s="52" t="s">
        <v>247</v>
      </c>
      <c r="AB1362" s="52" t="s">
        <v>247</v>
      </c>
      <c r="AC1362" s="52" t="s">
        <v>247</v>
      </c>
      <c r="AD1362" s="52" t="s">
        <v>1</v>
      </c>
      <c r="AE1362" s="52" t="s">
        <v>376</v>
      </c>
      <c r="AF1362" s="155" t="s">
        <v>247</v>
      </c>
      <c r="AG1362" s="155" t="s">
        <v>247</v>
      </c>
    </row>
    <row r="1363" spans="25:33">
      <c r="Y1363" s="47">
        <v>4399</v>
      </c>
      <c r="Z1363" s="52" t="s">
        <v>410</v>
      </c>
      <c r="AA1363" s="52" t="s">
        <v>247</v>
      </c>
      <c r="AB1363" s="52" t="s">
        <v>247</v>
      </c>
      <c r="AC1363" s="52" t="s">
        <v>247</v>
      </c>
      <c r="AD1363" s="52" t="s">
        <v>1</v>
      </c>
      <c r="AE1363" s="52" t="s">
        <v>376</v>
      </c>
      <c r="AF1363" s="155" t="s">
        <v>247</v>
      </c>
      <c r="AG1363" s="155" t="s">
        <v>247</v>
      </c>
    </row>
    <row r="1364" spans="25:33">
      <c r="Y1364" s="47">
        <v>4400</v>
      </c>
      <c r="Z1364" s="52" t="s">
        <v>410</v>
      </c>
      <c r="AA1364" s="52" t="s">
        <v>247</v>
      </c>
      <c r="AB1364" s="52" t="s">
        <v>247</v>
      </c>
      <c r="AC1364" s="52" t="s">
        <v>247</v>
      </c>
      <c r="AD1364" s="52" t="s">
        <v>1</v>
      </c>
      <c r="AE1364" s="52" t="s">
        <v>376</v>
      </c>
      <c r="AF1364" s="155" t="s">
        <v>247</v>
      </c>
      <c r="AG1364" s="155" t="s">
        <v>247</v>
      </c>
    </row>
    <row r="1365" spans="25:33">
      <c r="Y1365" s="47">
        <v>4401</v>
      </c>
      <c r="Z1365" s="52" t="s">
        <v>410</v>
      </c>
      <c r="AA1365" s="52" t="s">
        <v>247</v>
      </c>
      <c r="AB1365" s="52" t="s">
        <v>247</v>
      </c>
      <c r="AC1365" s="52" t="s">
        <v>247</v>
      </c>
      <c r="AD1365" s="52" t="s">
        <v>1</v>
      </c>
      <c r="AE1365" s="52" t="s">
        <v>376</v>
      </c>
      <c r="AF1365" s="155" t="s">
        <v>247</v>
      </c>
      <c r="AG1365" s="155" t="s">
        <v>247</v>
      </c>
    </row>
    <row r="1366" spans="25:33">
      <c r="Y1366" s="47">
        <v>4402</v>
      </c>
      <c r="Z1366" s="52" t="s">
        <v>410</v>
      </c>
      <c r="AA1366" s="52" t="s">
        <v>247</v>
      </c>
      <c r="AB1366" s="52" t="s">
        <v>247</v>
      </c>
      <c r="AC1366" s="52" t="s">
        <v>247</v>
      </c>
      <c r="AD1366" s="52" t="s">
        <v>1</v>
      </c>
      <c r="AE1366" s="52" t="s">
        <v>376</v>
      </c>
      <c r="AF1366" s="155" t="s">
        <v>247</v>
      </c>
      <c r="AG1366" s="155" t="s">
        <v>247</v>
      </c>
    </row>
    <row r="1367" spans="25:33">
      <c r="Y1367" s="47">
        <v>4403</v>
      </c>
      <c r="Z1367" s="52" t="s">
        <v>410</v>
      </c>
      <c r="AA1367" s="52" t="s">
        <v>247</v>
      </c>
      <c r="AB1367" s="52" t="s">
        <v>247</v>
      </c>
      <c r="AC1367" s="52" t="s">
        <v>247</v>
      </c>
      <c r="AD1367" s="52" t="s">
        <v>1</v>
      </c>
      <c r="AE1367" s="52" t="s">
        <v>376</v>
      </c>
      <c r="AF1367" s="155" t="s">
        <v>247</v>
      </c>
      <c r="AG1367" s="155" t="s">
        <v>247</v>
      </c>
    </row>
    <row r="1368" spans="25:33">
      <c r="Y1368" s="47">
        <v>4404</v>
      </c>
      <c r="Z1368" s="52" t="s">
        <v>410</v>
      </c>
      <c r="AA1368" s="52" t="s">
        <v>247</v>
      </c>
      <c r="AB1368" s="52" t="s">
        <v>247</v>
      </c>
      <c r="AC1368" s="52" t="s">
        <v>247</v>
      </c>
      <c r="AD1368" s="52" t="s">
        <v>1</v>
      </c>
      <c r="AE1368" s="52" t="s">
        <v>376</v>
      </c>
      <c r="AF1368" s="155" t="s">
        <v>247</v>
      </c>
      <c r="AG1368" s="155" t="s">
        <v>247</v>
      </c>
    </row>
    <row r="1369" spans="25:33">
      <c r="Y1369" s="47">
        <v>4405</v>
      </c>
      <c r="Z1369" s="52" t="s">
        <v>410</v>
      </c>
      <c r="AA1369" s="52" t="s">
        <v>247</v>
      </c>
      <c r="AB1369" s="52" t="s">
        <v>247</v>
      </c>
      <c r="AC1369" s="52" t="s">
        <v>247</v>
      </c>
      <c r="AD1369" s="52" t="s">
        <v>1</v>
      </c>
      <c r="AE1369" s="52" t="s">
        <v>376</v>
      </c>
      <c r="AF1369" s="155" t="s">
        <v>247</v>
      </c>
      <c r="AG1369" s="155" t="s">
        <v>247</v>
      </c>
    </row>
    <row r="1370" spans="25:33">
      <c r="Y1370" s="47">
        <v>4406</v>
      </c>
      <c r="Z1370" s="52" t="s">
        <v>410</v>
      </c>
      <c r="AA1370" s="52" t="s">
        <v>247</v>
      </c>
      <c r="AB1370" s="52" t="s">
        <v>247</v>
      </c>
      <c r="AC1370" s="52" t="s">
        <v>247</v>
      </c>
      <c r="AD1370" s="52" t="s">
        <v>1</v>
      </c>
      <c r="AE1370" s="52" t="s">
        <v>376</v>
      </c>
      <c r="AF1370" s="155" t="s">
        <v>247</v>
      </c>
      <c r="AG1370" s="155" t="s">
        <v>247</v>
      </c>
    </row>
    <row r="1371" spans="25:33">
      <c r="Y1371" s="47">
        <v>4407</v>
      </c>
      <c r="Z1371" s="52" t="s">
        <v>410</v>
      </c>
      <c r="AA1371" s="52" t="s">
        <v>247</v>
      </c>
      <c r="AB1371" s="52" t="s">
        <v>247</v>
      </c>
      <c r="AC1371" s="52" t="s">
        <v>247</v>
      </c>
      <c r="AD1371" s="52" t="s">
        <v>1</v>
      </c>
      <c r="AE1371" s="52" t="s">
        <v>376</v>
      </c>
      <c r="AF1371" s="155" t="s">
        <v>247</v>
      </c>
      <c r="AG1371" s="155" t="s">
        <v>247</v>
      </c>
    </row>
    <row r="1372" spans="25:33">
      <c r="Y1372" s="47">
        <v>4408</v>
      </c>
      <c r="Z1372" s="52" t="s">
        <v>410</v>
      </c>
      <c r="AA1372" s="52" t="s">
        <v>247</v>
      </c>
      <c r="AB1372" s="52" t="s">
        <v>247</v>
      </c>
      <c r="AC1372" s="52" t="s">
        <v>247</v>
      </c>
      <c r="AD1372" s="52" t="s">
        <v>1</v>
      </c>
      <c r="AE1372" s="52" t="s">
        <v>376</v>
      </c>
      <c r="AF1372" s="155" t="s">
        <v>247</v>
      </c>
      <c r="AG1372" s="155" t="s">
        <v>247</v>
      </c>
    </row>
    <row r="1373" spans="25:33">
      <c r="Y1373" s="47">
        <v>4409</v>
      </c>
      <c r="Z1373" s="52" t="s">
        <v>410</v>
      </c>
      <c r="AA1373" s="52" t="s">
        <v>247</v>
      </c>
      <c r="AB1373" s="52" t="s">
        <v>247</v>
      </c>
      <c r="AC1373" s="52" t="s">
        <v>247</v>
      </c>
      <c r="AD1373" s="52" t="s">
        <v>1</v>
      </c>
      <c r="AE1373" s="52" t="s">
        <v>376</v>
      </c>
      <c r="AF1373" s="155" t="s">
        <v>247</v>
      </c>
      <c r="AG1373" s="155" t="s">
        <v>247</v>
      </c>
    </row>
    <row r="1374" spans="25:33">
      <c r="Y1374" s="47">
        <v>4410</v>
      </c>
      <c r="Z1374" s="52" t="s">
        <v>410</v>
      </c>
      <c r="AA1374" s="52" t="s">
        <v>247</v>
      </c>
      <c r="AB1374" s="52" t="s">
        <v>247</v>
      </c>
      <c r="AC1374" s="52" t="s">
        <v>247</v>
      </c>
      <c r="AD1374" s="52" t="s">
        <v>1</v>
      </c>
      <c r="AE1374" s="52" t="s">
        <v>376</v>
      </c>
      <c r="AF1374" s="155" t="s">
        <v>247</v>
      </c>
      <c r="AG1374" s="155" t="s">
        <v>247</v>
      </c>
    </row>
    <row r="1375" spans="25:33">
      <c r="Y1375" s="47">
        <v>4411</v>
      </c>
      <c r="Z1375" s="52" t="s">
        <v>410</v>
      </c>
      <c r="AA1375" s="52" t="s">
        <v>247</v>
      </c>
      <c r="AB1375" s="52" t="s">
        <v>247</v>
      </c>
      <c r="AC1375" s="52" t="s">
        <v>247</v>
      </c>
      <c r="AD1375" s="52" t="s">
        <v>1</v>
      </c>
      <c r="AE1375" s="52" t="s">
        <v>376</v>
      </c>
      <c r="AF1375" s="155" t="s">
        <v>247</v>
      </c>
      <c r="AG1375" s="155" t="s">
        <v>247</v>
      </c>
    </row>
    <row r="1376" spans="25:33">
      <c r="Y1376" s="47">
        <v>4412</v>
      </c>
      <c r="Z1376" s="52" t="s">
        <v>410</v>
      </c>
      <c r="AA1376" s="52" t="s">
        <v>247</v>
      </c>
      <c r="AB1376" s="52" t="s">
        <v>247</v>
      </c>
      <c r="AC1376" s="52" t="s">
        <v>247</v>
      </c>
      <c r="AD1376" s="52" t="s">
        <v>1</v>
      </c>
      <c r="AE1376" s="52" t="s">
        <v>376</v>
      </c>
      <c r="AF1376" s="155" t="s">
        <v>247</v>
      </c>
      <c r="AG1376" s="155" t="s">
        <v>247</v>
      </c>
    </row>
    <row r="1377" spans="25:33">
      <c r="Y1377" s="47">
        <v>4413</v>
      </c>
      <c r="Z1377" s="52" t="s">
        <v>410</v>
      </c>
      <c r="AA1377" s="52" t="s">
        <v>247</v>
      </c>
      <c r="AB1377" s="52" t="s">
        <v>247</v>
      </c>
      <c r="AC1377" s="52" t="s">
        <v>247</v>
      </c>
      <c r="AD1377" s="52" t="s">
        <v>1</v>
      </c>
      <c r="AE1377" s="52" t="s">
        <v>376</v>
      </c>
      <c r="AF1377" s="155" t="s">
        <v>247</v>
      </c>
      <c r="AG1377" s="155" t="s">
        <v>247</v>
      </c>
    </row>
    <row r="1378" spans="25:33">
      <c r="Y1378" s="47">
        <v>4414</v>
      </c>
      <c r="Z1378" s="52" t="s">
        <v>410</v>
      </c>
      <c r="AA1378" s="52" t="s">
        <v>247</v>
      </c>
      <c r="AB1378" s="52" t="s">
        <v>247</v>
      </c>
      <c r="AC1378" s="52" t="s">
        <v>247</v>
      </c>
      <c r="AD1378" s="52" t="s">
        <v>1</v>
      </c>
      <c r="AE1378" s="52" t="s">
        <v>376</v>
      </c>
      <c r="AF1378" s="155" t="s">
        <v>247</v>
      </c>
      <c r="AG1378" s="155" t="s">
        <v>247</v>
      </c>
    </row>
    <row r="1379" spans="25:33">
      <c r="Y1379" s="47">
        <v>4415</v>
      </c>
      <c r="Z1379" s="52" t="s">
        <v>410</v>
      </c>
      <c r="AA1379" s="52" t="s">
        <v>247</v>
      </c>
      <c r="AB1379" s="52" t="s">
        <v>247</v>
      </c>
      <c r="AC1379" s="52" t="s">
        <v>247</v>
      </c>
      <c r="AD1379" s="52" t="s">
        <v>1</v>
      </c>
      <c r="AE1379" s="52" t="s">
        <v>376</v>
      </c>
      <c r="AF1379" s="155" t="s">
        <v>247</v>
      </c>
      <c r="AG1379" s="155" t="s">
        <v>247</v>
      </c>
    </row>
    <row r="1380" spans="25:33">
      <c r="Y1380" s="47">
        <v>4416</v>
      </c>
      <c r="Z1380" s="52" t="s">
        <v>410</v>
      </c>
      <c r="AA1380" s="52" t="s">
        <v>247</v>
      </c>
      <c r="AB1380" s="52" t="s">
        <v>247</v>
      </c>
      <c r="AC1380" s="52" t="s">
        <v>247</v>
      </c>
      <c r="AD1380" s="52" t="s">
        <v>1</v>
      </c>
      <c r="AE1380" s="52" t="s">
        <v>376</v>
      </c>
      <c r="AF1380" s="155" t="s">
        <v>247</v>
      </c>
      <c r="AG1380" s="155" t="s">
        <v>247</v>
      </c>
    </row>
    <row r="1381" spans="25:33">
      <c r="Y1381" s="47">
        <v>4417</v>
      </c>
      <c r="Z1381" s="52" t="s">
        <v>410</v>
      </c>
      <c r="AA1381" s="52" t="s">
        <v>247</v>
      </c>
      <c r="AB1381" s="52" t="s">
        <v>247</v>
      </c>
      <c r="AC1381" s="52" t="s">
        <v>247</v>
      </c>
      <c r="AD1381" s="52" t="s">
        <v>1</v>
      </c>
      <c r="AE1381" s="52" t="s">
        <v>376</v>
      </c>
      <c r="AF1381" s="155" t="s">
        <v>247</v>
      </c>
      <c r="AG1381" s="155" t="s">
        <v>247</v>
      </c>
    </row>
    <row r="1382" spans="25:33">
      <c r="Y1382" s="47">
        <v>4418</v>
      </c>
      <c r="Z1382" s="52" t="s">
        <v>410</v>
      </c>
      <c r="AA1382" s="52" t="s">
        <v>247</v>
      </c>
      <c r="AB1382" s="52" t="s">
        <v>247</v>
      </c>
      <c r="AC1382" s="52" t="s">
        <v>247</v>
      </c>
      <c r="AD1382" s="52" t="s">
        <v>1</v>
      </c>
      <c r="AE1382" s="52" t="s">
        <v>376</v>
      </c>
      <c r="AF1382" s="155" t="s">
        <v>247</v>
      </c>
      <c r="AG1382" s="155" t="s">
        <v>247</v>
      </c>
    </row>
    <row r="1383" spans="25:33">
      <c r="Y1383" s="47">
        <v>4419</v>
      </c>
      <c r="Z1383" s="52" t="s">
        <v>410</v>
      </c>
      <c r="AA1383" s="52" t="s">
        <v>247</v>
      </c>
      <c r="AB1383" s="52" t="s">
        <v>247</v>
      </c>
      <c r="AC1383" s="52" t="s">
        <v>247</v>
      </c>
      <c r="AD1383" s="52" t="s">
        <v>1</v>
      </c>
      <c r="AE1383" s="52" t="s">
        <v>376</v>
      </c>
      <c r="AF1383" s="155" t="s">
        <v>247</v>
      </c>
      <c r="AG1383" s="155" t="s">
        <v>247</v>
      </c>
    </row>
    <row r="1384" spans="25:33">
      <c r="Y1384" s="47">
        <v>4420</v>
      </c>
      <c r="Z1384" s="52" t="s">
        <v>408</v>
      </c>
      <c r="AA1384" s="52" t="s">
        <v>247</v>
      </c>
      <c r="AB1384" s="52" t="s">
        <v>247</v>
      </c>
      <c r="AC1384" s="52" t="s">
        <v>247</v>
      </c>
      <c r="AD1384" s="52" t="s">
        <v>1</v>
      </c>
      <c r="AE1384" s="52" t="s">
        <v>376</v>
      </c>
      <c r="AF1384" s="155" t="s">
        <v>247</v>
      </c>
      <c r="AG1384" s="155" t="s">
        <v>247</v>
      </c>
    </row>
    <row r="1385" spans="25:33">
      <c r="Y1385" s="47">
        <v>4421</v>
      </c>
      <c r="Z1385" s="52" t="s">
        <v>410</v>
      </c>
      <c r="AA1385" s="52" t="s">
        <v>247</v>
      </c>
      <c r="AB1385" s="52" t="s">
        <v>247</v>
      </c>
      <c r="AC1385" s="52" t="s">
        <v>247</v>
      </c>
      <c r="AD1385" s="52" t="s">
        <v>1</v>
      </c>
      <c r="AE1385" s="52" t="s">
        <v>376</v>
      </c>
      <c r="AF1385" s="155" t="s">
        <v>247</v>
      </c>
      <c r="AG1385" s="155" t="s">
        <v>247</v>
      </c>
    </row>
    <row r="1386" spans="25:33">
      <c r="Y1386" s="47">
        <v>4422</v>
      </c>
      <c r="Z1386" s="52" t="s">
        <v>410</v>
      </c>
      <c r="AA1386" s="52" t="s">
        <v>247</v>
      </c>
      <c r="AB1386" s="52" t="s">
        <v>247</v>
      </c>
      <c r="AC1386" s="52" t="s">
        <v>247</v>
      </c>
      <c r="AD1386" s="52" t="s">
        <v>1</v>
      </c>
      <c r="AE1386" s="52" t="s">
        <v>376</v>
      </c>
      <c r="AF1386" s="155" t="s">
        <v>247</v>
      </c>
      <c r="AG1386" s="155" t="s">
        <v>247</v>
      </c>
    </row>
    <row r="1387" spans="25:33">
      <c r="Y1387" s="47">
        <v>4423</v>
      </c>
      <c r="Z1387" s="52" t="s">
        <v>410</v>
      </c>
      <c r="AA1387" s="52" t="s">
        <v>247</v>
      </c>
      <c r="AB1387" s="52" t="s">
        <v>247</v>
      </c>
      <c r="AC1387" s="52" t="s">
        <v>247</v>
      </c>
      <c r="AD1387" s="52" t="s">
        <v>1</v>
      </c>
      <c r="AE1387" s="52" t="s">
        <v>376</v>
      </c>
      <c r="AF1387" s="155" t="s">
        <v>247</v>
      </c>
      <c r="AG1387" s="155" t="s">
        <v>247</v>
      </c>
    </row>
    <row r="1388" spans="25:33">
      <c r="Y1388" s="47">
        <v>4424</v>
      </c>
      <c r="Z1388" s="52" t="s">
        <v>410</v>
      </c>
      <c r="AA1388" s="52" t="s">
        <v>247</v>
      </c>
      <c r="AB1388" s="52" t="s">
        <v>247</v>
      </c>
      <c r="AC1388" s="52" t="s">
        <v>247</v>
      </c>
      <c r="AD1388" s="52" t="s">
        <v>1</v>
      </c>
      <c r="AE1388" s="52" t="s">
        <v>376</v>
      </c>
      <c r="AF1388" s="155" t="s">
        <v>247</v>
      </c>
      <c r="AG1388" s="155" t="s">
        <v>247</v>
      </c>
    </row>
    <row r="1389" spans="25:33">
      <c r="Y1389" s="47">
        <v>4425</v>
      </c>
      <c r="Z1389" s="52" t="s">
        <v>410</v>
      </c>
      <c r="AA1389" s="52" t="s">
        <v>247</v>
      </c>
      <c r="AB1389" s="52" t="s">
        <v>247</v>
      </c>
      <c r="AC1389" s="52" t="s">
        <v>247</v>
      </c>
      <c r="AD1389" s="52" t="s">
        <v>1</v>
      </c>
      <c r="AE1389" s="52" t="s">
        <v>376</v>
      </c>
      <c r="AF1389" s="155" t="s">
        <v>247</v>
      </c>
      <c r="AG1389" s="155" t="s">
        <v>247</v>
      </c>
    </row>
    <row r="1390" spans="25:33">
      <c r="Y1390" s="47">
        <v>4426</v>
      </c>
      <c r="Z1390" s="52" t="s">
        <v>410</v>
      </c>
      <c r="AA1390" s="52" t="s">
        <v>247</v>
      </c>
      <c r="AB1390" s="52" t="s">
        <v>247</v>
      </c>
      <c r="AC1390" s="52" t="s">
        <v>247</v>
      </c>
      <c r="AD1390" s="52" t="s">
        <v>1</v>
      </c>
      <c r="AE1390" s="52" t="s">
        <v>376</v>
      </c>
      <c r="AF1390" s="155" t="s">
        <v>247</v>
      </c>
      <c r="AG1390" s="155" t="s">
        <v>247</v>
      </c>
    </row>
    <row r="1391" spans="25:33">
      <c r="Y1391" s="47">
        <v>4427</v>
      </c>
      <c r="Z1391" s="52" t="s">
        <v>410</v>
      </c>
      <c r="AA1391" s="52" t="s">
        <v>247</v>
      </c>
      <c r="AB1391" s="52" t="s">
        <v>247</v>
      </c>
      <c r="AC1391" s="52" t="s">
        <v>247</v>
      </c>
      <c r="AD1391" s="52" t="s">
        <v>1</v>
      </c>
      <c r="AE1391" s="52" t="s">
        <v>376</v>
      </c>
      <c r="AF1391" s="155" t="s">
        <v>247</v>
      </c>
      <c r="AG1391" s="155" t="s">
        <v>247</v>
      </c>
    </row>
    <row r="1392" spans="25:33">
      <c r="Y1392" s="47">
        <v>4428</v>
      </c>
      <c r="Z1392" s="52" t="s">
        <v>410</v>
      </c>
      <c r="AA1392" s="52" t="s">
        <v>247</v>
      </c>
      <c r="AB1392" s="52" t="s">
        <v>247</v>
      </c>
      <c r="AC1392" s="52" t="s">
        <v>247</v>
      </c>
      <c r="AD1392" s="52" t="s">
        <v>1</v>
      </c>
      <c r="AE1392" s="52" t="s">
        <v>376</v>
      </c>
      <c r="AF1392" s="155" t="s">
        <v>247</v>
      </c>
      <c r="AG1392" s="155" t="s">
        <v>247</v>
      </c>
    </row>
    <row r="1393" spans="25:33">
      <c r="Y1393" s="47">
        <v>4454</v>
      </c>
      <c r="Z1393" s="52" t="s">
        <v>408</v>
      </c>
      <c r="AA1393" s="52" t="s">
        <v>247</v>
      </c>
      <c r="AB1393" s="52" t="s">
        <v>247</v>
      </c>
      <c r="AC1393" s="52" t="s">
        <v>247</v>
      </c>
      <c r="AD1393" s="52" t="s">
        <v>1</v>
      </c>
      <c r="AE1393" s="52" t="s">
        <v>376</v>
      </c>
      <c r="AF1393" s="155" t="s">
        <v>247</v>
      </c>
      <c r="AG1393" s="155" t="s">
        <v>247</v>
      </c>
    </row>
    <row r="1394" spans="25:33">
      <c r="Y1394" s="47">
        <v>4455</v>
      </c>
      <c r="Z1394" s="52" t="s">
        <v>410</v>
      </c>
      <c r="AA1394" s="52" t="s">
        <v>247</v>
      </c>
      <c r="AB1394" s="52" t="s">
        <v>247</v>
      </c>
      <c r="AC1394" s="52" t="s">
        <v>247</v>
      </c>
      <c r="AD1394" s="52" t="s">
        <v>1</v>
      </c>
      <c r="AE1394" s="52" t="s">
        <v>376</v>
      </c>
      <c r="AF1394" s="155" t="s">
        <v>247</v>
      </c>
      <c r="AG1394" s="155" t="s">
        <v>247</v>
      </c>
    </row>
    <row r="1395" spans="25:33">
      <c r="Y1395" s="47">
        <v>4456</v>
      </c>
      <c r="Z1395" s="52" t="s">
        <v>410</v>
      </c>
      <c r="AA1395" s="52" t="s">
        <v>247</v>
      </c>
      <c r="AB1395" s="52" t="s">
        <v>247</v>
      </c>
      <c r="AC1395" s="52" t="s">
        <v>247</v>
      </c>
      <c r="AD1395" s="52" t="s">
        <v>1</v>
      </c>
      <c r="AE1395" s="52" t="s">
        <v>376</v>
      </c>
      <c r="AF1395" s="155" t="s">
        <v>247</v>
      </c>
      <c r="AG1395" s="155" t="s">
        <v>247</v>
      </c>
    </row>
    <row r="1396" spans="25:33">
      <c r="Y1396" s="47">
        <v>4457</v>
      </c>
      <c r="Z1396" s="52" t="s">
        <v>410</v>
      </c>
      <c r="AA1396" s="52" t="s">
        <v>247</v>
      </c>
      <c r="AB1396" s="52" t="s">
        <v>247</v>
      </c>
      <c r="AC1396" s="52" t="s">
        <v>247</v>
      </c>
      <c r="AD1396" s="52" t="s">
        <v>1</v>
      </c>
      <c r="AE1396" s="52" t="s">
        <v>376</v>
      </c>
      <c r="AF1396" s="155" t="s">
        <v>247</v>
      </c>
      <c r="AG1396" s="155" t="s">
        <v>247</v>
      </c>
    </row>
    <row r="1397" spans="25:33">
      <c r="Y1397" s="47">
        <v>4458</v>
      </c>
      <c r="Z1397" s="52" t="s">
        <v>410</v>
      </c>
      <c r="AA1397" s="52" t="s">
        <v>247</v>
      </c>
      <c r="AB1397" s="52" t="s">
        <v>247</v>
      </c>
      <c r="AC1397" s="52" t="s">
        <v>247</v>
      </c>
      <c r="AD1397" s="52" t="s">
        <v>1</v>
      </c>
      <c r="AE1397" s="52" t="s">
        <v>376</v>
      </c>
      <c r="AF1397" s="155" t="s">
        <v>247</v>
      </c>
      <c r="AG1397" s="155" t="s">
        <v>247</v>
      </c>
    </row>
    <row r="1398" spans="25:33">
      <c r="Y1398" s="47">
        <v>4459</v>
      </c>
      <c r="Z1398" s="52" t="s">
        <v>410</v>
      </c>
      <c r="AA1398" s="52" t="s">
        <v>247</v>
      </c>
      <c r="AB1398" s="52" t="s">
        <v>247</v>
      </c>
      <c r="AC1398" s="52" t="s">
        <v>247</v>
      </c>
      <c r="AD1398" s="52" t="s">
        <v>1</v>
      </c>
      <c r="AE1398" s="52" t="s">
        <v>376</v>
      </c>
      <c r="AF1398" s="155" t="s">
        <v>247</v>
      </c>
      <c r="AG1398" s="155" t="s">
        <v>247</v>
      </c>
    </row>
    <row r="1399" spans="25:33">
      <c r="Y1399" s="47">
        <v>4460</v>
      </c>
      <c r="Z1399" s="52" t="s">
        <v>410</v>
      </c>
      <c r="AA1399" s="52" t="s">
        <v>247</v>
      </c>
      <c r="AB1399" s="52" t="s">
        <v>247</v>
      </c>
      <c r="AC1399" s="52" t="s">
        <v>247</v>
      </c>
      <c r="AD1399" s="52" t="s">
        <v>1</v>
      </c>
      <c r="AE1399" s="52" t="s">
        <v>376</v>
      </c>
      <c r="AF1399" s="155" t="s">
        <v>247</v>
      </c>
      <c r="AG1399" s="155" t="s">
        <v>247</v>
      </c>
    </row>
    <row r="1400" spans="25:33">
      <c r="Y1400" s="47">
        <v>4461</v>
      </c>
      <c r="Z1400" s="52" t="s">
        <v>410</v>
      </c>
      <c r="AA1400" s="52" t="s">
        <v>247</v>
      </c>
      <c r="AB1400" s="52" t="s">
        <v>247</v>
      </c>
      <c r="AC1400" s="52" t="s">
        <v>247</v>
      </c>
      <c r="AD1400" s="52" t="s">
        <v>1</v>
      </c>
      <c r="AE1400" s="52" t="s">
        <v>376</v>
      </c>
      <c r="AF1400" s="155" t="s">
        <v>247</v>
      </c>
      <c r="AG1400" s="155" t="s">
        <v>247</v>
      </c>
    </row>
    <row r="1401" spans="25:33">
      <c r="Y1401" s="47">
        <v>4462</v>
      </c>
      <c r="Z1401" s="52" t="s">
        <v>410</v>
      </c>
      <c r="AA1401" s="52" t="s">
        <v>247</v>
      </c>
      <c r="AB1401" s="52" t="s">
        <v>247</v>
      </c>
      <c r="AC1401" s="52" t="s">
        <v>247</v>
      </c>
      <c r="AD1401" s="52" t="s">
        <v>1</v>
      </c>
      <c r="AE1401" s="52" t="s">
        <v>376</v>
      </c>
      <c r="AF1401" s="155" t="s">
        <v>247</v>
      </c>
      <c r="AG1401" s="155" t="s">
        <v>247</v>
      </c>
    </row>
    <row r="1402" spans="25:33">
      <c r="Y1402" s="47">
        <v>4463</v>
      </c>
      <c r="Z1402" s="52" t="s">
        <v>410</v>
      </c>
      <c r="AA1402" s="52" t="s">
        <v>247</v>
      </c>
      <c r="AB1402" s="52" t="s">
        <v>247</v>
      </c>
      <c r="AC1402" s="52" t="s">
        <v>247</v>
      </c>
      <c r="AD1402" s="52" t="s">
        <v>1</v>
      </c>
      <c r="AE1402" s="52" t="s">
        <v>376</v>
      </c>
      <c r="AF1402" s="155" t="s">
        <v>247</v>
      </c>
      <c r="AG1402" s="155" t="s">
        <v>247</v>
      </c>
    </row>
    <row r="1403" spans="25:33">
      <c r="Y1403" s="47">
        <v>4464</v>
      </c>
      <c r="Z1403" s="52" t="s">
        <v>410</v>
      </c>
      <c r="AA1403" s="52" t="s">
        <v>247</v>
      </c>
      <c r="AB1403" s="52" t="s">
        <v>247</v>
      </c>
      <c r="AC1403" s="52" t="s">
        <v>247</v>
      </c>
      <c r="AD1403" s="52" t="s">
        <v>1</v>
      </c>
      <c r="AE1403" s="52" t="s">
        <v>376</v>
      </c>
      <c r="AF1403" s="155" t="s">
        <v>247</v>
      </c>
      <c r="AG1403" s="155" t="s">
        <v>247</v>
      </c>
    </row>
    <row r="1404" spans="25:33">
      <c r="Y1404" s="47">
        <v>4465</v>
      </c>
      <c r="Z1404" s="52" t="s">
        <v>410</v>
      </c>
      <c r="AA1404" s="52" t="s">
        <v>247</v>
      </c>
      <c r="AB1404" s="52" t="s">
        <v>247</v>
      </c>
      <c r="AC1404" s="52" t="s">
        <v>247</v>
      </c>
      <c r="AD1404" s="52" t="s">
        <v>1</v>
      </c>
      <c r="AE1404" s="52" t="s">
        <v>376</v>
      </c>
      <c r="AF1404" s="155" t="s">
        <v>247</v>
      </c>
      <c r="AG1404" s="155" t="s">
        <v>247</v>
      </c>
    </row>
    <row r="1405" spans="25:33">
      <c r="Y1405" s="47">
        <v>4467</v>
      </c>
      <c r="Z1405" s="52" t="s">
        <v>408</v>
      </c>
      <c r="AA1405" s="52" t="s">
        <v>247</v>
      </c>
      <c r="AB1405" s="52" t="s">
        <v>247</v>
      </c>
      <c r="AC1405" s="52" t="s">
        <v>247</v>
      </c>
      <c r="AD1405" s="52" t="s">
        <v>1</v>
      </c>
      <c r="AE1405" s="52" t="s">
        <v>376</v>
      </c>
      <c r="AF1405" s="155" t="s">
        <v>247</v>
      </c>
      <c r="AG1405" s="155" t="s">
        <v>247</v>
      </c>
    </row>
    <row r="1406" spans="25:33">
      <c r="Y1406" s="47">
        <v>4468</v>
      </c>
      <c r="Z1406" s="52" t="s">
        <v>408</v>
      </c>
      <c r="AA1406" s="52" t="s">
        <v>247</v>
      </c>
      <c r="AB1406" s="52" t="s">
        <v>247</v>
      </c>
      <c r="AC1406" s="52" t="s">
        <v>247</v>
      </c>
      <c r="AD1406" s="52" t="s">
        <v>1</v>
      </c>
      <c r="AE1406" s="52" t="s">
        <v>376</v>
      </c>
      <c r="AF1406" s="155" t="s">
        <v>247</v>
      </c>
      <c r="AG1406" s="155" t="s">
        <v>247</v>
      </c>
    </row>
    <row r="1407" spans="25:33">
      <c r="Y1407" s="47">
        <v>4470</v>
      </c>
      <c r="Z1407" s="52" t="s">
        <v>409</v>
      </c>
      <c r="AA1407" s="52" t="s">
        <v>247</v>
      </c>
      <c r="AB1407" s="52" t="s">
        <v>247</v>
      </c>
      <c r="AC1407" s="52" t="s">
        <v>247</v>
      </c>
      <c r="AD1407" s="52" t="s">
        <v>1</v>
      </c>
      <c r="AE1407" s="52" t="s">
        <v>376</v>
      </c>
      <c r="AF1407" s="155" t="s">
        <v>247</v>
      </c>
      <c r="AG1407" s="155" t="s">
        <v>247</v>
      </c>
    </row>
    <row r="1408" spans="25:33">
      <c r="Y1408" s="47">
        <v>4471</v>
      </c>
      <c r="Z1408" s="52" t="s">
        <v>409</v>
      </c>
      <c r="AA1408" s="52" t="s">
        <v>247</v>
      </c>
      <c r="AB1408" s="52" t="s">
        <v>247</v>
      </c>
      <c r="AC1408" s="52" t="s">
        <v>247</v>
      </c>
      <c r="AD1408" s="52" t="s">
        <v>1</v>
      </c>
      <c r="AE1408" s="52" t="s">
        <v>376</v>
      </c>
      <c r="AF1408" s="155" t="s">
        <v>247</v>
      </c>
      <c r="AG1408" s="155" t="s">
        <v>247</v>
      </c>
    </row>
    <row r="1409" spans="25:33">
      <c r="Y1409" s="47">
        <v>4472</v>
      </c>
      <c r="Z1409" s="52" t="s">
        <v>409</v>
      </c>
      <c r="AA1409" s="52" t="s">
        <v>247</v>
      </c>
      <c r="AB1409" s="52" t="s">
        <v>247</v>
      </c>
      <c r="AC1409" s="52" t="s">
        <v>247</v>
      </c>
      <c r="AD1409" s="52" t="s">
        <v>1</v>
      </c>
      <c r="AE1409" s="52" t="s">
        <v>376</v>
      </c>
      <c r="AF1409" s="155" t="s">
        <v>247</v>
      </c>
      <c r="AG1409" s="155" t="s">
        <v>247</v>
      </c>
    </row>
    <row r="1410" spans="25:33">
      <c r="Y1410" s="47">
        <v>4473</v>
      </c>
      <c r="Z1410" s="52" t="s">
        <v>409</v>
      </c>
      <c r="AA1410" s="52" t="s">
        <v>247</v>
      </c>
      <c r="AB1410" s="52" t="s">
        <v>247</v>
      </c>
      <c r="AC1410" s="52" t="s">
        <v>247</v>
      </c>
      <c r="AD1410" s="52" t="s">
        <v>1</v>
      </c>
      <c r="AE1410" s="52" t="s">
        <v>376</v>
      </c>
      <c r="AF1410" s="155" t="s">
        <v>247</v>
      </c>
      <c r="AG1410" s="155" t="s">
        <v>247</v>
      </c>
    </row>
    <row r="1411" spans="25:33">
      <c r="Y1411" s="47">
        <v>4474</v>
      </c>
      <c r="Z1411" s="52" t="s">
        <v>409</v>
      </c>
      <c r="AA1411" s="52" t="s">
        <v>247</v>
      </c>
      <c r="AB1411" s="52" t="s">
        <v>247</v>
      </c>
      <c r="AC1411" s="52" t="s">
        <v>247</v>
      </c>
      <c r="AD1411" s="52" t="s">
        <v>1</v>
      </c>
      <c r="AE1411" s="52" t="s">
        <v>376</v>
      </c>
      <c r="AF1411" s="155" t="s">
        <v>247</v>
      </c>
      <c r="AG1411" s="155" t="s">
        <v>247</v>
      </c>
    </row>
    <row r="1412" spans="25:33">
      <c r="Y1412" s="47">
        <v>4477</v>
      </c>
      <c r="Z1412" s="52" t="s">
        <v>408</v>
      </c>
      <c r="AA1412" s="52" t="s">
        <v>247</v>
      </c>
      <c r="AB1412" s="52" t="s">
        <v>247</v>
      </c>
      <c r="AC1412" s="52" t="s">
        <v>247</v>
      </c>
      <c r="AD1412" s="52" t="s">
        <v>1</v>
      </c>
      <c r="AE1412" s="52" t="s">
        <v>376</v>
      </c>
      <c r="AF1412" s="155" t="s">
        <v>247</v>
      </c>
      <c r="AG1412" s="155" t="s">
        <v>247</v>
      </c>
    </row>
    <row r="1413" spans="25:33">
      <c r="Y1413" s="47">
        <v>4478</v>
      </c>
      <c r="Z1413" s="52" t="s">
        <v>409</v>
      </c>
      <c r="AA1413" s="52" t="s">
        <v>247</v>
      </c>
      <c r="AB1413" s="52" t="s">
        <v>247</v>
      </c>
      <c r="AC1413" s="52" t="s">
        <v>247</v>
      </c>
      <c r="AD1413" s="52" t="s">
        <v>1</v>
      </c>
      <c r="AE1413" s="52" t="s">
        <v>376</v>
      </c>
      <c r="AF1413" s="155" t="s">
        <v>247</v>
      </c>
      <c r="AG1413" s="155" t="s">
        <v>247</v>
      </c>
    </row>
    <row r="1414" spans="25:33">
      <c r="Y1414" s="47">
        <v>4479</v>
      </c>
      <c r="Z1414" s="52" t="s">
        <v>409</v>
      </c>
      <c r="AA1414" s="52" t="s">
        <v>247</v>
      </c>
      <c r="AB1414" s="52" t="s">
        <v>247</v>
      </c>
      <c r="AC1414" s="52" t="s">
        <v>247</v>
      </c>
      <c r="AD1414" s="52" t="s">
        <v>1</v>
      </c>
      <c r="AE1414" s="52" t="s">
        <v>376</v>
      </c>
      <c r="AF1414" s="155" t="s">
        <v>247</v>
      </c>
      <c r="AG1414" s="155" t="s">
        <v>247</v>
      </c>
    </row>
    <row r="1415" spans="25:33">
      <c r="Y1415" s="47">
        <v>4480</v>
      </c>
      <c r="Z1415" s="52" t="s">
        <v>409</v>
      </c>
      <c r="AA1415" s="52" t="s">
        <v>247</v>
      </c>
      <c r="AB1415" s="52" t="s">
        <v>247</v>
      </c>
      <c r="AC1415" s="52" t="s">
        <v>247</v>
      </c>
      <c r="AD1415" s="52" t="s">
        <v>1</v>
      </c>
      <c r="AE1415" s="52" t="s">
        <v>376</v>
      </c>
      <c r="AF1415" s="155" t="s">
        <v>247</v>
      </c>
      <c r="AG1415" s="155" t="s">
        <v>247</v>
      </c>
    </row>
    <row r="1416" spans="25:33">
      <c r="Y1416" s="47">
        <v>4481</v>
      </c>
      <c r="Z1416" s="52" t="s">
        <v>409</v>
      </c>
      <c r="AA1416" s="52" t="s">
        <v>247</v>
      </c>
      <c r="AB1416" s="52" t="s">
        <v>247</v>
      </c>
      <c r="AC1416" s="52" t="s">
        <v>247</v>
      </c>
      <c r="AD1416" s="52" t="s">
        <v>1</v>
      </c>
      <c r="AE1416" s="52" t="s">
        <v>376</v>
      </c>
      <c r="AF1416" s="155" t="s">
        <v>247</v>
      </c>
      <c r="AG1416" s="155" t="s">
        <v>247</v>
      </c>
    </row>
    <row r="1417" spans="25:33">
      <c r="Y1417" s="47">
        <v>4482</v>
      </c>
      <c r="Z1417" s="52" t="s">
        <v>409</v>
      </c>
      <c r="AA1417" s="52" t="s">
        <v>247</v>
      </c>
      <c r="AB1417" s="52" t="s">
        <v>247</v>
      </c>
      <c r="AC1417" s="52" t="s">
        <v>247</v>
      </c>
      <c r="AD1417" s="52" t="s">
        <v>1</v>
      </c>
      <c r="AE1417" s="52" t="s">
        <v>376</v>
      </c>
      <c r="AF1417" s="155" t="s">
        <v>247</v>
      </c>
      <c r="AG1417" s="155" t="s">
        <v>247</v>
      </c>
    </row>
    <row r="1418" spans="25:33">
      <c r="Y1418" s="47">
        <v>4486</v>
      </c>
      <c r="Z1418" s="52" t="s">
        <v>410</v>
      </c>
      <c r="AA1418" s="52" t="s">
        <v>247</v>
      </c>
      <c r="AB1418" s="52" t="s">
        <v>247</v>
      </c>
      <c r="AC1418" s="52" t="s">
        <v>247</v>
      </c>
      <c r="AD1418" s="52" t="s">
        <v>1</v>
      </c>
      <c r="AE1418" s="52" t="s">
        <v>376</v>
      </c>
      <c r="AF1418" s="155" t="s">
        <v>247</v>
      </c>
      <c r="AG1418" s="155" t="s">
        <v>247</v>
      </c>
    </row>
    <row r="1419" spans="25:33">
      <c r="Y1419" s="47">
        <v>4487</v>
      </c>
      <c r="Z1419" s="52" t="s">
        <v>410</v>
      </c>
      <c r="AA1419" s="52" t="s">
        <v>247</v>
      </c>
      <c r="AB1419" s="52" t="s">
        <v>247</v>
      </c>
      <c r="AC1419" s="52" t="s">
        <v>247</v>
      </c>
      <c r="AD1419" s="52" t="s">
        <v>1</v>
      </c>
      <c r="AE1419" s="52" t="s">
        <v>376</v>
      </c>
      <c r="AF1419" s="155" t="s">
        <v>247</v>
      </c>
      <c r="AG1419" s="155" t="s">
        <v>247</v>
      </c>
    </row>
    <row r="1420" spans="25:33">
      <c r="Y1420" s="47">
        <v>4488</v>
      </c>
      <c r="Z1420" s="52" t="s">
        <v>410</v>
      </c>
      <c r="AA1420" s="52" t="s">
        <v>247</v>
      </c>
      <c r="AB1420" s="52" t="s">
        <v>247</v>
      </c>
      <c r="AC1420" s="52" t="s">
        <v>247</v>
      </c>
      <c r="AD1420" s="52" t="s">
        <v>1</v>
      </c>
      <c r="AE1420" s="52" t="s">
        <v>376</v>
      </c>
      <c r="AF1420" s="155" t="s">
        <v>247</v>
      </c>
      <c r="AG1420" s="155" t="s">
        <v>247</v>
      </c>
    </row>
    <row r="1421" spans="25:33">
      <c r="Y1421" s="47">
        <v>4489</v>
      </c>
      <c r="Z1421" s="52" t="s">
        <v>409</v>
      </c>
      <c r="AA1421" s="52" t="s">
        <v>247</v>
      </c>
      <c r="AB1421" s="52" t="s">
        <v>247</v>
      </c>
      <c r="AC1421" s="52" t="s">
        <v>247</v>
      </c>
      <c r="AD1421" s="52" t="s">
        <v>1</v>
      </c>
      <c r="AE1421" s="52" t="s">
        <v>376</v>
      </c>
      <c r="AF1421" s="155" t="s">
        <v>247</v>
      </c>
      <c r="AG1421" s="155" t="s">
        <v>247</v>
      </c>
    </row>
    <row r="1422" spans="25:33">
      <c r="Y1422" s="47">
        <v>4490</v>
      </c>
      <c r="Z1422" s="52" t="s">
        <v>409</v>
      </c>
      <c r="AA1422" s="52" t="s">
        <v>247</v>
      </c>
      <c r="AB1422" s="52" t="s">
        <v>247</v>
      </c>
      <c r="AC1422" s="52" t="s">
        <v>247</v>
      </c>
      <c r="AD1422" s="52" t="s">
        <v>1</v>
      </c>
      <c r="AE1422" s="52" t="s">
        <v>376</v>
      </c>
      <c r="AF1422" s="155" t="s">
        <v>247</v>
      </c>
      <c r="AG1422" s="155" t="s">
        <v>247</v>
      </c>
    </row>
    <row r="1423" spans="25:33">
      <c r="Y1423" s="47">
        <v>4491</v>
      </c>
      <c r="Z1423" s="52" t="s">
        <v>409</v>
      </c>
      <c r="AA1423" s="52" t="s">
        <v>247</v>
      </c>
      <c r="AB1423" s="52" t="s">
        <v>247</v>
      </c>
      <c r="AC1423" s="52" t="s">
        <v>247</v>
      </c>
      <c r="AD1423" s="52" t="s">
        <v>1</v>
      </c>
      <c r="AE1423" s="52" t="s">
        <v>376</v>
      </c>
      <c r="AF1423" s="155" t="s">
        <v>247</v>
      </c>
      <c r="AG1423" s="155" t="s">
        <v>247</v>
      </c>
    </row>
    <row r="1424" spans="25:33">
      <c r="Y1424" s="47">
        <v>4492</v>
      </c>
      <c r="Z1424" s="52" t="s">
        <v>409</v>
      </c>
      <c r="AA1424" s="52" t="s">
        <v>247</v>
      </c>
      <c r="AB1424" s="52" t="s">
        <v>247</v>
      </c>
      <c r="AC1424" s="52" t="s">
        <v>247</v>
      </c>
      <c r="AD1424" s="52" t="s">
        <v>1</v>
      </c>
      <c r="AE1424" s="52" t="s">
        <v>376</v>
      </c>
      <c r="AF1424" s="155" t="s">
        <v>247</v>
      </c>
      <c r="AG1424" s="155" t="s">
        <v>247</v>
      </c>
    </row>
    <row r="1425" spans="25:33">
      <c r="Y1425" s="47">
        <v>4493</v>
      </c>
      <c r="Z1425" s="52" t="s">
        <v>409</v>
      </c>
      <c r="AA1425" s="52" t="s">
        <v>247</v>
      </c>
      <c r="AB1425" s="52" t="s">
        <v>247</v>
      </c>
      <c r="AC1425" s="52" t="s">
        <v>247</v>
      </c>
      <c r="AD1425" s="52" t="s">
        <v>1</v>
      </c>
      <c r="AE1425" s="52" t="s">
        <v>376</v>
      </c>
      <c r="AF1425" s="155" t="s">
        <v>247</v>
      </c>
      <c r="AG1425" s="155" t="s">
        <v>247</v>
      </c>
    </row>
    <row r="1426" spans="25:33">
      <c r="Y1426" s="47">
        <v>4494</v>
      </c>
      <c r="Z1426" s="52" t="s">
        <v>410</v>
      </c>
      <c r="AA1426" s="52" t="s">
        <v>247</v>
      </c>
      <c r="AB1426" s="52" t="s">
        <v>247</v>
      </c>
      <c r="AC1426" s="52" t="s">
        <v>247</v>
      </c>
      <c r="AD1426" s="52" t="s">
        <v>1</v>
      </c>
      <c r="AE1426" s="52" t="s">
        <v>376</v>
      </c>
      <c r="AF1426" s="155" t="s">
        <v>247</v>
      </c>
      <c r="AG1426" s="155" t="s">
        <v>247</v>
      </c>
    </row>
    <row r="1427" spans="25:33">
      <c r="Y1427" s="47">
        <v>4495</v>
      </c>
      <c r="Z1427" s="52" t="s">
        <v>410</v>
      </c>
      <c r="AA1427" s="52" t="s">
        <v>247</v>
      </c>
      <c r="AB1427" s="52" t="s">
        <v>247</v>
      </c>
      <c r="AC1427" s="52" t="s">
        <v>247</v>
      </c>
      <c r="AD1427" s="52" t="s">
        <v>1</v>
      </c>
      <c r="AE1427" s="52" t="s">
        <v>376</v>
      </c>
      <c r="AF1427" s="155" t="s">
        <v>247</v>
      </c>
      <c r="AG1427" s="155" t="s">
        <v>247</v>
      </c>
    </row>
    <row r="1428" spans="25:33">
      <c r="Y1428" s="47">
        <v>4496</v>
      </c>
      <c r="Z1428" s="52" t="s">
        <v>410</v>
      </c>
      <c r="AA1428" s="52" t="s">
        <v>247</v>
      </c>
      <c r="AB1428" s="52" t="s">
        <v>247</v>
      </c>
      <c r="AC1428" s="52" t="s">
        <v>247</v>
      </c>
      <c r="AD1428" s="52" t="s">
        <v>1</v>
      </c>
      <c r="AE1428" s="52" t="s">
        <v>376</v>
      </c>
      <c r="AF1428" s="155" t="s">
        <v>247</v>
      </c>
      <c r="AG1428" s="155" t="s">
        <v>247</v>
      </c>
    </row>
    <row r="1429" spans="25:33">
      <c r="Y1429" s="47">
        <v>4497</v>
      </c>
      <c r="Z1429" s="52" t="s">
        <v>410</v>
      </c>
      <c r="AA1429" s="52" t="s">
        <v>247</v>
      </c>
      <c r="AB1429" s="52" t="s">
        <v>247</v>
      </c>
      <c r="AC1429" s="52" t="s">
        <v>247</v>
      </c>
      <c r="AD1429" s="52" t="s">
        <v>1</v>
      </c>
      <c r="AE1429" s="52" t="s">
        <v>376</v>
      </c>
      <c r="AF1429" s="155" t="s">
        <v>247</v>
      </c>
      <c r="AG1429" s="155" t="s">
        <v>247</v>
      </c>
    </row>
    <row r="1430" spans="25:33">
      <c r="Y1430" s="47">
        <v>4498</v>
      </c>
      <c r="Z1430" s="52" t="s">
        <v>410</v>
      </c>
      <c r="AA1430" s="52" t="s">
        <v>247</v>
      </c>
      <c r="AB1430" s="52" t="s">
        <v>247</v>
      </c>
      <c r="AC1430" s="52" t="s">
        <v>247</v>
      </c>
      <c r="AD1430" s="52" t="s">
        <v>1</v>
      </c>
      <c r="AE1430" s="52" t="s">
        <v>376</v>
      </c>
      <c r="AF1430" s="155" t="s">
        <v>247</v>
      </c>
      <c r="AG1430" s="155" t="s">
        <v>247</v>
      </c>
    </row>
    <row r="1431" spans="25:33">
      <c r="Y1431" s="47">
        <v>4499</v>
      </c>
      <c r="Z1431" s="52" t="s">
        <v>410</v>
      </c>
      <c r="AA1431" s="52" t="s">
        <v>247</v>
      </c>
      <c r="AB1431" s="52" t="s">
        <v>247</v>
      </c>
      <c r="AC1431" s="52" t="s">
        <v>247</v>
      </c>
      <c r="AD1431" s="52" t="s">
        <v>1</v>
      </c>
      <c r="AE1431" s="52" t="s">
        <v>376</v>
      </c>
      <c r="AF1431" s="155" t="s">
        <v>247</v>
      </c>
      <c r="AG1431" s="155" t="s">
        <v>247</v>
      </c>
    </row>
    <row r="1432" spans="25:33">
      <c r="Y1432" s="47">
        <v>4500</v>
      </c>
      <c r="Z1432" s="52" t="s">
        <v>410</v>
      </c>
      <c r="AA1432" s="52" t="s">
        <v>247</v>
      </c>
      <c r="AB1432" s="52" t="s">
        <v>247</v>
      </c>
      <c r="AC1432" s="52" t="s">
        <v>247</v>
      </c>
      <c r="AD1432" s="52" t="s">
        <v>1</v>
      </c>
      <c r="AE1432" s="52" t="s">
        <v>376</v>
      </c>
      <c r="AF1432" s="155" t="s">
        <v>247</v>
      </c>
      <c r="AG1432" s="155" t="s">
        <v>247</v>
      </c>
    </row>
    <row r="1433" spans="25:33">
      <c r="Y1433" s="47">
        <v>4501</v>
      </c>
      <c r="Z1433" s="52" t="s">
        <v>410</v>
      </c>
      <c r="AA1433" s="52" t="s">
        <v>247</v>
      </c>
      <c r="AB1433" s="52" t="s">
        <v>247</v>
      </c>
      <c r="AC1433" s="52" t="s">
        <v>247</v>
      </c>
      <c r="AD1433" s="52" t="s">
        <v>1</v>
      </c>
      <c r="AE1433" s="52" t="s">
        <v>376</v>
      </c>
      <c r="AF1433" s="155" t="s">
        <v>247</v>
      </c>
      <c r="AG1433" s="155" t="s">
        <v>247</v>
      </c>
    </row>
    <row r="1434" spans="25:33">
      <c r="Y1434" s="47">
        <v>4502</v>
      </c>
      <c r="Z1434" s="52" t="s">
        <v>410</v>
      </c>
      <c r="AA1434" s="52" t="s">
        <v>247</v>
      </c>
      <c r="AB1434" s="52" t="s">
        <v>247</v>
      </c>
      <c r="AC1434" s="52" t="s">
        <v>247</v>
      </c>
      <c r="AD1434" s="52" t="s">
        <v>1</v>
      </c>
      <c r="AE1434" s="52" t="s">
        <v>376</v>
      </c>
      <c r="AF1434" s="155" t="s">
        <v>247</v>
      </c>
      <c r="AG1434" s="155" t="s">
        <v>247</v>
      </c>
    </row>
    <row r="1435" spans="25:33">
      <c r="Y1435" s="47">
        <v>4503</v>
      </c>
      <c r="Z1435" s="52" t="s">
        <v>410</v>
      </c>
      <c r="AA1435" s="52" t="s">
        <v>247</v>
      </c>
      <c r="AB1435" s="52" t="s">
        <v>247</v>
      </c>
      <c r="AC1435" s="52" t="s">
        <v>247</v>
      </c>
      <c r="AD1435" s="52" t="s">
        <v>1</v>
      </c>
      <c r="AE1435" s="52" t="s">
        <v>376</v>
      </c>
      <c r="AF1435" s="155" t="s">
        <v>247</v>
      </c>
      <c r="AG1435" s="155" t="s">
        <v>247</v>
      </c>
    </row>
    <row r="1436" spans="25:33">
      <c r="Y1436" s="47">
        <v>4504</v>
      </c>
      <c r="Z1436" s="52" t="s">
        <v>410</v>
      </c>
      <c r="AA1436" s="52" t="s">
        <v>247</v>
      </c>
      <c r="AB1436" s="52" t="s">
        <v>247</v>
      </c>
      <c r="AC1436" s="52" t="s">
        <v>247</v>
      </c>
      <c r="AD1436" s="52" t="s">
        <v>1</v>
      </c>
      <c r="AE1436" s="52" t="s">
        <v>376</v>
      </c>
      <c r="AF1436" s="155" t="s">
        <v>247</v>
      </c>
      <c r="AG1436" s="155" t="s">
        <v>247</v>
      </c>
    </row>
    <row r="1437" spans="25:33">
      <c r="Y1437" s="47">
        <v>4505</v>
      </c>
      <c r="Z1437" s="52" t="s">
        <v>410</v>
      </c>
      <c r="AA1437" s="52" t="s">
        <v>247</v>
      </c>
      <c r="AB1437" s="52" t="s">
        <v>247</v>
      </c>
      <c r="AC1437" s="52" t="s">
        <v>247</v>
      </c>
      <c r="AD1437" s="52" t="s">
        <v>1</v>
      </c>
      <c r="AE1437" s="52" t="s">
        <v>376</v>
      </c>
      <c r="AF1437" s="155" t="s">
        <v>247</v>
      </c>
      <c r="AG1437" s="155" t="s">
        <v>247</v>
      </c>
    </row>
    <row r="1438" spans="25:33">
      <c r="Y1438" s="47">
        <v>4506</v>
      </c>
      <c r="Z1438" s="52" t="s">
        <v>410</v>
      </c>
      <c r="AA1438" s="52" t="s">
        <v>247</v>
      </c>
      <c r="AB1438" s="52" t="s">
        <v>247</v>
      </c>
      <c r="AC1438" s="52" t="s">
        <v>247</v>
      </c>
      <c r="AD1438" s="52" t="s">
        <v>1</v>
      </c>
      <c r="AE1438" s="52" t="s">
        <v>376</v>
      </c>
      <c r="AF1438" s="155" t="s">
        <v>247</v>
      </c>
      <c r="AG1438" s="155" t="s">
        <v>247</v>
      </c>
    </row>
    <row r="1439" spans="25:33">
      <c r="Y1439" s="47">
        <v>4507</v>
      </c>
      <c r="Z1439" s="52" t="s">
        <v>410</v>
      </c>
      <c r="AA1439" s="52" t="s">
        <v>247</v>
      </c>
      <c r="AB1439" s="52" t="s">
        <v>247</v>
      </c>
      <c r="AC1439" s="52" t="s">
        <v>247</v>
      </c>
      <c r="AD1439" s="52" t="s">
        <v>1</v>
      </c>
      <c r="AE1439" s="52" t="s">
        <v>376</v>
      </c>
      <c r="AF1439" s="155" t="s">
        <v>247</v>
      </c>
      <c r="AG1439" s="155" t="s">
        <v>247</v>
      </c>
    </row>
    <row r="1440" spans="25:33">
      <c r="Y1440" s="47">
        <v>4508</v>
      </c>
      <c r="Z1440" s="52" t="s">
        <v>410</v>
      </c>
      <c r="AA1440" s="52" t="s">
        <v>247</v>
      </c>
      <c r="AB1440" s="52" t="s">
        <v>247</v>
      </c>
      <c r="AC1440" s="52" t="s">
        <v>247</v>
      </c>
      <c r="AD1440" s="52" t="s">
        <v>1</v>
      </c>
      <c r="AE1440" s="52" t="s">
        <v>376</v>
      </c>
      <c r="AF1440" s="155" t="s">
        <v>247</v>
      </c>
      <c r="AG1440" s="155" t="s">
        <v>247</v>
      </c>
    </row>
    <row r="1441" spans="25:33">
      <c r="Y1441" s="47">
        <v>4509</v>
      </c>
      <c r="Z1441" s="52" t="s">
        <v>410</v>
      </c>
      <c r="AA1441" s="52" t="s">
        <v>247</v>
      </c>
      <c r="AB1441" s="52" t="s">
        <v>247</v>
      </c>
      <c r="AC1441" s="52" t="s">
        <v>247</v>
      </c>
      <c r="AD1441" s="52" t="s">
        <v>1</v>
      </c>
      <c r="AE1441" s="52" t="s">
        <v>376</v>
      </c>
      <c r="AF1441" s="155" t="s">
        <v>247</v>
      </c>
      <c r="AG1441" s="155" t="s">
        <v>247</v>
      </c>
    </row>
    <row r="1442" spans="25:33">
      <c r="Y1442" s="47">
        <v>4510</v>
      </c>
      <c r="Z1442" s="52" t="s">
        <v>410</v>
      </c>
      <c r="AA1442" s="52" t="s">
        <v>247</v>
      </c>
      <c r="AB1442" s="52" t="s">
        <v>247</v>
      </c>
      <c r="AC1442" s="52" t="s">
        <v>247</v>
      </c>
      <c r="AD1442" s="52" t="s">
        <v>1</v>
      </c>
      <c r="AE1442" s="52" t="s">
        <v>376</v>
      </c>
      <c r="AF1442" s="155" t="s">
        <v>247</v>
      </c>
      <c r="AG1442" s="155" t="s">
        <v>247</v>
      </c>
    </row>
    <row r="1443" spans="25:33">
      <c r="Y1443" s="47">
        <v>4511</v>
      </c>
      <c r="Z1443" s="52" t="s">
        <v>410</v>
      </c>
      <c r="AA1443" s="52" t="s">
        <v>247</v>
      </c>
      <c r="AB1443" s="52" t="s">
        <v>247</v>
      </c>
      <c r="AC1443" s="52" t="s">
        <v>247</v>
      </c>
      <c r="AD1443" s="52" t="s">
        <v>1</v>
      </c>
      <c r="AE1443" s="52" t="s">
        <v>376</v>
      </c>
      <c r="AF1443" s="155" t="s">
        <v>247</v>
      </c>
      <c r="AG1443" s="155" t="s">
        <v>247</v>
      </c>
    </row>
    <row r="1444" spans="25:33">
      <c r="Y1444" s="47">
        <v>4512</v>
      </c>
      <c r="Z1444" s="52" t="s">
        <v>410</v>
      </c>
      <c r="AA1444" s="52" t="s">
        <v>247</v>
      </c>
      <c r="AB1444" s="52" t="s">
        <v>247</v>
      </c>
      <c r="AC1444" s="52" t="s">
        <v>247</v>
      </c>
      <c r="AD1444" s="52" t="s">
        <v>1</v>
      </c>
      <c r="AE1444" s="52" t="s">
        <v>376</v>
      </c>
      <c r="AF1444" s="155" t="s">
        <v>247</v>
      </c>
      <c r="AG1444" s="155" t="s">
        <v>247</v>
      </c>
    </row>
    <row r="1445" spans="25:33">
      <c r="Y1445" s="47">
        <v>4513</v>
      </c>
      <c r="Z1445" s="52" t="s">
        <v>410</v>
      </c>
      <c r="AA1445" s="52" t="s">
        <v>247</v>
      </c>
      <c r="AB1445" s="52" t="s">
        <v>247</v>
      </c>
      <c r="AC1445" s="52" t="s">
        <v>247</v>
      </c>
      <c r="AD1445" s="52" t="s">
        <v>1</v>
      </c>
      <c r="AE1445" s="52" t="s">
        <v>376</v>
      </c>
      <c r="AF1445" s="155" t="s">
        <v>247</v>
      </c>
      <c r="AG1445" s="155" t="s">
        <v>247</v>
      </c>
    </row>
    <row r="1446" spans="25:33">
      <c r="Y1446" s="47">
        <v>4514</v>
      </c>
      <c r="Z1446" s="52" t="s">
        <v>410</v>
      </c>
      <c r="AA1446" s="52" t="s">
        <v>247</v>
      </c>
      <c r="AB1446" s="52" t="s">
        <v>247</v>
      </c>
      <c r="AC1446" s="52" t="s">
        <v>247</v>
      </c>
      <c r="AD1446" s="52" t="s">
        <v>1</v>
      </c>
      <c r="AE1446" s="52" t="s">
        <v>376</v>
      </c>
      <c r="AF1446" s="155" t="s">
        <v>247</v>
      </c>
      <c r="AG1446" s="155" t="s">
        <v>247</v>
      </c>
    </row>
    <row r="1447" spans="25:33">
      <c r="Y1447" s="47">
        <v>4515</v>
      </c>
      <c r="Z1447" s="52" t="s">
        <v>410</v>
      </c>
      <c r="AA1447" s="52" t="s">
        <v>247</v>
      </c>
      <c r="AB1447" s="52" t="s">
        <v>247</v>
      </c>
      <c r="AC1447" s="52" t="s">
        <v>247</v>
      </c>
      <c r="AD1447" s="52" t="s">
        <v>1</v>
      </c>
      <c r="AE1447" s="52" t="s">
        <v>376</v>
      </c>
      <c r="AF1447" s="155" t="s">
        <v>247</v>
      </c>
      <c r="AG1447" s="155" t="s">
        <v>247</v>
      </c>
    </row>
    <row r="1448" spans="25:33">
      <c r="Y1448" s="47">
        <v>4516</v>
      </c>
      <c r="Z1448" s="52" t="s">
        <v>410</v>
      </c>
      <c r="AA1448" s="52" t="s">
        <v>247</v>
      </c>
      <c r="AB1448" s="52" t="s">
        <v>247</v>
      </c>
      <c r="AC1448" s="52" t="s">
        <v>247</v>
      </c>
      <c r="AD1448" s="52" t="s">
        <v>1</v>
      </c>
      <c r="AE1448" s="52" t="s">
        <v>376</v>
      </c>
      <c r="AF1448" s="155" t="s">
        <v>247</v>
      </c>
      <c r="AG1448" s="155" t="s">
        <v>247</v>
      </c>
    </row>
    <row r="1449" spans="25:33">
      <c r="Y1449" s="47">
        <v>4517</v>
      </c>
      <c r="Z1449" s="52" t="s">
        <v>410</v>
      </c>
      <c r="AA1449" s="52" t="s">
        <v>247</v>
      </c>
      <c r="AB1449" s="52" t="s">
        <v>247</v>
      </c>
      <c r="AC1449" s="52" t="s">
        <v>247</v>
      </c>
      <c r="AD1449" s="52" t="s">
        <v>1</v>
      </c>
      <c r="AE1449" s="52" t="s">
        <v>376</v>
      </c>
      <c r="AF1449" s="155" t="s">
        <v>247</v>
      </c>
      <c r="AG1449" s="155" t="s">
        <v>247</v>
      </c>
    </row>
    <row r="1450" spans="25:33">
      <c r="Y1450" s="47">
        <v>4518</v>
      </c>
      <c r="Z1450" s="52" t="s">
        <v>410</v>
      </c>
      <c r="AA1450" s="52" t="s">
        <v>247</v>
      </c>
      <c r="AB1450" s="52" t="s">
        <v>247</v>
      </c>
      <c r="AC1450" s="52" t="s">
        <v>247</v>
      </c>
      <c r="AD1450" s="52" t="s">
        <v>1</v>
      </c>
      <c r="AE1450" s="52" t="s">
        <v>376</v>
      </c>
      <c r="AF1450" s="155" t="s">
        <v>247</v>
      </c>
      <c r="AG1450" s="155" t="s">
        <v>247</v>
      </c>
    </row>
    <row r="1451" spans="25:33">
      <c r="Y1451" s="47">
        <v>4519</v>
      </c>
      <c r="Z1451" s="52" t="s">
        <v>410</v>
      </c>
      <c r="AA1451" s="52" t="s">
        <v>247</v>
      </c>
      <c r="AB1451" s="52" t="s">
        <v>247</v>
      </c>
      <c r="AC1451" s="52" t="s">
        <v>247</v>
      </c>
      <c r="AD1451" s="52" t="s">
        <v>1</v>
      </c>
      <c r="AE1451" s="52" t="s">
        <v>376</v>
      </c>
      <c r="AF1451" s="155" t="s">
        <v>247</v>
      </c>
      <c r="AG1451" s="155" t="s">
        <v>247</v>
      </c>
    </row>
    <row r="1452" spans="25:33">
      <c r="Y1452" s="47">
        <v>4520</v>
      </c>
      <c r="Z1452" s="52" t="s">
        <v>410</v>
      </c>
      <c r="AA1452" s="52" t="s">
        <v>247</v>
      </c>
      <c r="AB1452" s="52" t="s">
        <v>247</v>
      </c>
      <c r="AC1452" s="52" t="s">
        <v>247</v>
      </c>
      <c r="AD1452" s="52" t="s">
        <v>1</v>
      </c>
      <c r="AE1452" s="52" t="s">
        <v>376</v>
      </c>
      <c r="AF1452" s="155" t="s">
        <v>247</v>
      </c>
      <c r="AG1452" s="155" t="s">
        <v>247</v>
      </c>
    </row>
    <row r="1453" spans="25:33">
      <c r="Y1453" s="47">
        <v>4521</v>
      </c>
      <c r="Z1453" s="52" t="s">
        <v>410</v>
      </c>
      <c r="AA1453" s="52" t="s">
        <v>247</v>
      </c>
      <c r="AB1453" s="52" t="s">
        <v>247</v>
      </c>
      <c r="AC1453" s="52" t="s">
        <v>247</v>
      </c>
      <c r="AD1453" s="52" t="s">
        <v>1</v>
      </c>
      <c r="AE1453" s="52" t="s">
        <v>376</v>
      </c>
      <c r="AF1453" s="155" t="s">
        <v>247</v>
      </c>
      <c r="AG1453" s="155" t="s">
        <v>247</v>
      </c>
    </row>
    <row r="1454" spans="25:33">
      <c r="Y1454" s="47">
        <v>4522</v>
      </c>
      <c r="Z1454" s="52" t="s">
        <v>410</v>
      </c>
      <c r="AA1454" s="52" t="s">
        <v>247</v>
      </c>
      <c r="AB1454" s="52" t="s">
        <v>247</v>
      </c>
      <c r="AC1454" s="52" t="s">
        <v>247</v>
      </c>
      <c r="AD1454" s="52" t="s">
        <v>1</v>
      </c>
      <c r="AE1454" s="52" t="s">
        <v>376</v>
      </c>
      <c r="AF1454" s="155" t="s">
        <v>247</v>
      </c>
      <c r="AG1454" s="155" t="s">
        <v>247</v>
      </c>
    </row>
    <row r="1455" spans="25:33">
      <c r="Y1455" s="47">
        <v>4523</v>
      </c>
      <c r="Z1455" s="52" t="s">
        <v>410</v>
      </c>
      <c r="AA1455" s="52" t="s">
        <v>247</v>
      </c>
      <c r="AB1455" s="52" t="s">
        <v>247</v>
      </c>
      <c r="AC1455" s="52" t="s">
        <v>247</v>
      </c>
      <c r="AD1455" s="52" t="s">
        <v>1</v>
      </c>
      <c r="AE1455" s="52" t="s">
        <v>376</v>
      </c>
      <c r="AF1455" s="155" t="s">
        <v>247</v>
      </c>
      <c r="AG1455" s="155" t="s">
        <v>247</v>
      </c>
    </row>
    <row r="1456" spans="25:33">
      <c r="Y1456" s="47">
        <v>4524</v>
      </c>
      <c r="Z1456" s="52" t="s">
        <v>410</v>
      </c>
      <c r="AA1456" s="52" t="s">
        <v>247</v>
      </c>
      <c r="AB1456" s="52" t="s">
        <v>247</v>
      </c>
      <c r="AC1456" s="52" t="s">
        <v>247</v>
      </c>
      <c r="AD1456" s="52" t="s">
        <v>1</v>
      </c>
      <c r="AE1456" s="52" t="s">
        <v>376</v>
      </c>
      <c r="AF1456" s="155" t="s">
        <v>247</v>
      </c>
      <c r="AG1456" s="155" t="s">
        <v>247</v>
      </c>
    </row>
    <row r="1457" spans="25:33">
      <c r="Y1457" s="47">
        <v>4525</v>
      </c>
      <c r="Z1457" s="52" t="s">
        <v>410</v>
      </c>
      <c r="AA1457" s="52" t="s">
        <v>247</v>
      </c>
      <c r="AB1457" s="52" t="s">
        <v>247</v>
      </c>
      <c r="AC1457" s="52" t="s">
        <v>247</v>
      </c>
      <c r="AD1457" s="52" t="s">
        <v>1</v>
      </c>
      <c r="AE1457" s="52" t="s">
        <v>376</v>
      </c>
      <c r="AF1457" s="155" t="s">
        <v>247</v>
      </c>
      <c r="AG1457" s="155" t="s">
        <v>247</v>
      </c>
    </row>
    <row r="1458" spans="25:33">
      <c r="Y1458" s="47">
        <v>4526</v>
      </c>
      <c r="Z1458" s="52" t="s">
        <v>410</v>
      </c>
      <c r="AA1458" s="52" t="s">
        <v>247</v>
      </c>
      <c r="AB1458" s="52" t="s">
        <v>247</v>
      </c>
      <c r="AC1458" s="52" t="s">
        <v>247</v>
      </c>
      <c r="AD1458" s="52" t="s">
        <v>1</v>
      </c>
      <c r="AE1458" s="52" t="s">
        <v>376</v>
      </c>
      <c r="AF1458" s="155" t="s">
        <v>247</v>
      </c>
      <c r="AG1458" s="155" t="s">
        <v>247</v>
      </c>
    </row>
    <row r="1459" spans="25:33">
      <c r="Y1459" s="47">
        <v>4527</v>
      </c>
      <c r="Z1459" s="52" t="s">
        <v>410</v>
      </c>
      <c r="AA1459" s="52" t="s">
        <v>247</v>
      </c>
      <c r="AB1459" s="52" t="s">
        <v>247</v>
      </c>
      <c r="AC1459" s="52" t="s">
        <v>247</v>
      </c>
      <c r="AD1459" s="52" t="s">
        <v>1</v>
      </c>
      <c r="AE1459" s="52" t="s">
        <v>376</v>
      </c>
      <c r="AF1459" s="155" t="s">
        <v>247</v>
      </c>
      <c r="AG1459" s="155" t="s">
        <v>247</v>
      </c>
    </row>
    <row r="1460" spans="25:33">
      <c r="Y1460" s="47">
        <v>4528</v>
      </c>
      <c r="Z1460" s="52" t="s">
        <v>410</v>
      </c>
      <c r="AA1460" s="52" t="s">
        <v>247</v>
      </c>
      <c r="AB1460" s="52" t="s">
        <v>247</v>
      </c>
      <c r="AC1460" s="52" t="s">
        <v>247</v>
      </c>
      <c r="AD1460" s="52" t="s">
        <v>1</v>
      </c>
      <c r="AE1460" s="52" t="s">
        <v>376</v>
      </c>
      <c r="AF1460" s="155" t="s">
        <v>247</v>
      </c>
      <c r="AG1460" s="155" t="s">
        <v>247</v>
      </c>
    </row>
    <row r="1461" spans="25:33">
      <c r="Y1461" s="47">
        <v>4529</v>
      </c>
      <c r="Z1461" s="52" t="s">
        <v>410</v>
      </c>
      <c r="AA1461" s="52" t="s">
        <v>247</v>
      </c>
      <c r="AB1461" s="52" t="s">
        <v>247</v>
      </c>
      <c r="AC1461" s="52" t="s">
        <v>247</v>
      </c>
      <c r="AD1461" s="52" t="s">
        <v>1</v>
      </c>
      <c r="AE1461" s="52" t="s">
        <v>376</v>
      </c>
      <c r="AF1461" s="155" t="s">
        <v>247</v>
      </c>
      <c r="AG1461" s="155" t="s">
        <v>247</v>
      </c>
    </row>
    <row r="1462" spans="25:33">
      <c r="Y1462" s="47">
        <v>4530</v>
      </c>
      <c r="Z1462" s="52" t="s">
        <v>410</v>
      </c>
      <c r="AA1462" s="52" t="s">
        <v>247</v>
      </c>
      <c r="AB1462" s="52" t="s">
        <v>247</v>
      </c>
      <c r="AC1462" s="52" t="s">
        <v>247</v>
      </c>
      <c r="AD1462" s="52" t="s">
        <v>1</v>
      </c>
      <c r="AE1462" s="52" t="s">
        <v>376</v>
      </c>
      <c r="AF1462" s="155" t="s">
        <v>247</v>
      </c>
      <c r="AG1462" s="155" t="s">
        <v>247</v>
      </c>
    </row>
    <row r="1463" spans="25:33">
      <c r="Y1463" s="47">
        <v>4531</v>
      </c>
      <c r="Z1463" s="52" t="s">
        <v>410</v>
      </c>
      <c r="AA1463" s="52" t="s">
        <v>247</v>
      </c>
      <c r="AB1463" s="52" t="s">
        <v>247</v>
      </c>
      <c r="AC1463" s="52" t="s">
        <v>247</v>
      </c>
      <c r="AD1463" s="52" t="s">
        <v>1</v>
      </c>
      <c r="AE1463" s="52" t="s">
        <v>376</v>
      </c>
      <c r="AF1463" s="155" t="s">
        <v>247</v>
      </c>
      <c r="AG1463" s="155" t="s">
        <v>247</v>
      </c>
    </row>
    <row r="1464" spans="25:33">
      <c r="Y1464" s="47">
        <v>4532</v>
      </c>
      <c r="Z1464" s="52" t="s">
        <v>410</v>
      </c>
      <c r="AA1464" s="52" t="s">
        <v>247</v>
      </c>
      <c r="AB1464" s="52" t="s">
        <v>247</v>
      </c>
      <c r="AC1464" s="52" t="s">
        <v>247</v>
      </c>
      <c r="AD1464" s="52" t="s">
        <v>1</v>
      </c>
      <c r="AE1464" s="52" t="s">
        <v>376</v>
      </c>
      <c r="AF1464" s="155" t="s">
        <v>247</v>
      </c>
      <c r="AG1464" s="155" t="s">
        <v>247</v>
      </c>
    </row>
    <row r="1465" spans="25:33">
      <c r="Y1465" s="47">
        <v>4533</v>
      </c>
      <c r="Z1465" s="52" t="s">
        <v>410</v>
      </c>
      <c r="AA1465" s="52" t="s">
        <v>247</v>
      </c>
      <c r="AB1465" s="52" t="s">
        <v>247</v>
      </c>
      <c r="AC1465" s="52" t="s">
        <v>247</v>
      </c>
      <c r="AD1465" s="52" t="s">
        <v>1</v>
      </c>
      <c r="AE1465" s="52" t="s">
        <v>376</v>
      </c>
      <c r="AF1465" s="155" t="s">
        <v>247</v>
      </c>
      <c r="AG1465" s="155" t="s">
        <v>247</v>
      </c>
    </row>
    <row r="1466" spans="25:33">
      <c r="Y1466" s="47">
        <v>4534</v>
      </c>
      <c r="Z1466" s="52" t="s">
        <v>410</v>
      </c>
      <c r="AA1466" s="52" t="s">
        <v>247</v>
      </c>
      <c r="AB1466" s="52" t="s">
        <v>247</v>
      </c>
      <c r="AC1466" s="52" t="s">
        <v>247</v>
      </c>
      <c r="AD1466" s="52" t="s">
        <v>1</v>
      </c>
      <c r="AE1466" s="52" t="s">
        <v>376</v>
      </c>
      <c r="AF1466" s="155" t="s">
        <v>247</v>
      </c>
      <c r="AG1466" s="155" t="s">
        <v>247</v>
      </c>
    </row>
    <row r="1467" spans="25:33">
      <c r="Y1467" s="47">
        <v>4535</v>
      </c>
      <c r="Z1467" s="52" t="s">
        <v>410</v>
      </c>
      <c r="AA1467" s="52" t="s">
        <v>247</v>
      </c>
      <c r="AB1467" s="52" t="s">
        <v>247</v>
      </c>
      <c r="AC1467" s="52" t="s">
        <v>247</v>
      </c>
      <c r="AD1467" s="52" t="s">
        <v>1</v>
      </c>
      <c r="AE1467" s="52" t="s">
        <v>376</v>
      </c>
      <c r="AF1467" s="155" t="s">
        <v>247</v>
      </c>
      <c r="AG1467" s="155" t="s">
        <v>247</v>
      </c>
    </row>
    <row r="1468" spans="25:33">
      <c r="Y1468" s="47">
        <v>4536</v>
      </c>
      <c r="Z1468" s="52" t="s">
        <v>410</v>
      </c>
      <c r="AA1468" s="52" t="s">
        <v>247</v>
      </c>
      <c r="AB1468" s="52" t="s">
        <v>247</v>
      </c>
      <c r="AC1468" s="52" t="s">
        <v>247</v>
      </c>
      <c r="AD1468" s="52" t="s">
        <v>1</v>
      </c>
      <c r="AE1468" s="52" t="s">
        <v>376</v>
      </c>
      <c r="AF1468" s="155" t="s">
        <v>247</v>
      </c>
      <c r="AG1468" s="155" t="s">
        <v>247</v>
      </c>
    </row>
    <row r="1469" spans="25:33">
      <c r="Y1469" s="47">
        <v>4537</v>
      </c>
      <c r="Z1469" s="52" t="s">
        <v>410</v>
      </c>
      <c r="AA1469" s="52" t="s">
        <v>247</v>
      </c>
      <c r="AB1469" s="52" t="s">
        <v>247</v>
      </c>
      <c r="AC1469" s="52" t="s">
        <v>247</v>
      </c>
      <c r="AD1469" s="52" t="s">
        <v>1</v>
      </c>
      <c r="AE1469" s="52" t="s">
        <v>376</v>
      </c>
      <c r="AF1469" s="155" t="s">
        <v>247</v>
      </c>
      <c r="AG1469" s="155" t="s">
        <v>247</v>
      </c>
    </row>
    <row r="1470" spans="25:33">
      <c r="Y1470" s="47">
        <v>4538</v>
      </c>
      <c r="Z1470" s="52" t="s">
        <v>410</v>
      </c>
      <c r="AA1470" s="52" t="s">
        <v>247</v>
      </c>
      <c r="AB1470" s="52" t="s">
        <v>247</v>
      </c>
      <c r="AC1470" s="52" t="s">
        <v>247</v>
      </c>
      <c r="AD1470" s="52" t="s">
        <v>1</v>
      </c>
      <c r="AE1470" s="52" t="s">
        <v>376</v>
      </c>
      <c r="AF1470" s="155" t="s">
        <v>247</v>
      </c>
      <c r="AG1470" s="155" t="s">
        <v>247</v>
      </c>
    </row>
    <row r="1471" spans="25:33">
      <c r="Y1471" s="47">
        <v>4539</v>
      </c>
      <c r="Z1471" s="52" t="s">
        <v>410</v>
      </c>
      <c r="AA1471" s="52" t="s">
        <v>247</v>
      </c>
      <c r="AB1471" s="52" t="s">
        <v>247</v>
      </c>
      <c r="AC1471" s="52" t="s">
        <v>247</v>
      </c>
      <c r="AD1471" s="52" t="s">
        <v>1</v>
      </c>
      <c r="AE1471" s="52" t="s">
        <v>376</v>
      </c>
      <c r="AF1471" s="155" t="s">
        <v>247</v>
      </c>
      <c r="AG1471" s="155" t="s">
        <v>247</v>
      </c>
    </row>
    <row r="1472" spans="25:33">
      <c r="Y1472" s="47">
        <v>4540</v>
      </c>
      <c r="Z1472" s="52" t="s">
        <v>410</v>
      </c>
      <c r="AA1472" s="52" t="s">
        <v>247</v>
      </c>
      <c r="AB1472" s="52" t="s">
        <v>247</v>
      </c>
      <c r="AC1472" s="52" t="s">
        <v>247</v>
      </c>
      <c r="AD1472" s="52" t="s">
        <v>1</v>
      </c>
      <c r="AE1472" s="52" t="s">
        <v>376</v>
      </c>
      <c r="AF1472" s="155" t="s">
        <v>247</v>
      </c>
      <c r="AG1472" s="155" t="s">
        <v>247</v>
      </c>
    </row>
    <row r="1473" spans="25:33">
      <c r="Y1473" s="47">
        <v>4541</v>
      </c>
      <c r="Z1473" s="52" t="s">
        <v>410</v>
      </c>
      <c r="AA1473" s="52" t="s">
        <v>247</v>
      </c>
      <c r="AB1473" s="52" t="s">
        <v>247</v>
      </c>
      <c r="AC1473" s="52" t="s">
        <v>247</v>
      </c>
      <c r="AD1473" s="52" t="s">
        <v>1</v>
      </c>
      <c r="AE1473" s="52" t="s">
        <v>376</v>
      </c>
      <c r="AF1473" s="155" t="s">
        <v>247</v>
      </c>
      <c r="AG1473" s="155" t="s">
        <v>247</v>
      </c>
    </row>
    <row r="1474" spans="25:33">
      <c r="Y1474" s="47">
        <v>4542</v>
      </c>
      <c r="Z1474" s="52" t="s">
        <v>410</v>
      </c>
      <c r="AA1474" s="52" t="s">
        <v>247</v>
      </c>
      <c r="AB1474" s="52" t="s">
        <v>247</v>
      </c>
      <c r="AC1474" s="52" t="s">
        <v>247</v>
      </c>
      <c r="AD1474" s="52" t="s">
        <v>1</v>
      </c>
      <c r="AE1474" s="52" t="s">
        <v>376</v>
      </c>
      <c r="AF1474" s="155" t="s">
        <v>247</v>
      </c>
      <c r="AG1474" s="155" t="s">
        <v>247</v>
      </c>
    </row>
    <row r="1475" spans="25:33">
      <c r="Y1475" s="47">
        <v>4543</v>
      </c>
      <c r="Z1475" s="52" t="s">
        <v>410</v>
      </c>
      <c r="AA1475" s="52" t="s">
        <v>247</v>
      </c>
      <c r="AB1475" s="52" t="s">
        <v>247</v>
      </c>
      <c r="AC1475" s="52" t="s">
        <v>247</v>
      </c>
      <c r="AD1475" s="52" t="s">
        <v>1</v>
      </c>
      <c r="AE1475" s="52" t="s">
        <v>376</v>
      </c>
      <c r="AF1475" s="155" t="s">
        <v>247</v>
      </c>
      <c r="AG1475" s="155" t="s">
        <v>247</v>
      </c>
    </row>
    <row r="1476" spans="25:33">
      <c r="Y1476" s="47">
        <v>4544</v>
      </c>
      <c r="Z1476" s="52" t="s">
        <v>410</v>
      </c>
      <c r="AA1476" s="52" t="s">
        <v>247</v>
      </c>
      <c r="AB1476" s="52" t="s">
        <v>247</v>
      </c>
      <c r="AC1476" s="52" t="s">
        <v>247</v>
      </c>
      <c r="AD1476" s="52" t="s">
        <v>1</v>
      </c>
      <c r="AE1476" s="52" t="s">
        <v>376</v>
      </c>
      <c r="AF1476" s="155" t="s">
        <v>247</v>
      </c>
      <c r="AG1476" s="155" t="s">
        <v>247</v>
      </c>
    </row>
    <row r="1477" spans="25:33">
      <c r="Y1477" s="47">
        <v>4545</v>
      </c>
      <c r="Z1477" s="52" t="s">
        <v>410</v>
      </c>
      <c r="AA1477" s="52" t="s">
        <v>247</v>
      </c>
      <c r="AB1477" s="52" t="s">
        <v>247</v>
      </c>
      <c r="AC1477" s="52" t="s">
        <v>247</v>
      </c>
      <c r="AD1477" s="52" t="s">
        <v>1</v>
      </c>
      <c r="AE1477" s="52" t="s">
        <v>376</v>
      </c>
      <c r="AF1477" s="155" t="s">
        <v>247</v>
      </c>
      <c r="AG1477" s="155" t="s">
        <v>247</v>
      </c>
    </row>
    <row r="1478" spans="25:33">
      <c r="Y1478" s="47">
        <v>4546</v>
      </c>
      <c r="Z1478" s="52" t="s">
        <v>410</v>
      </c>
      <c r="AA1478" s="52" t="s">
        <v>247</v>
      </c>
      <c r="AB1478" s="52" t="s">
        <v>247</v>
      </c>
      <c r="AC1478" s="52" t="s">
        <v>247</v>
      </c>
      <c r="AD1478" s="52" t="s">
        <v>1</v>
      </c>
      <c r="AE1478" s="52" t="s">
        <v>376</v>
      </c>
      <c r="AF1478" s="155" t="s">
        <v>247</v>
      </c>
      <c r="AG1478" s="155" t="s">
        <v>247</v>
      </c>
    </row>
    <row r="1479" spans="25:33">
      <c r="Y1479" s="47">
        <v>4547</v>
      </c>
      <c r="Z1479" s="52" t="s">
        <v>410</v>
      </c>
      <c r="AA1479" s="52" t="s">
        <v>247</v>
      </c>
      <c r="AB1479" s="52" t="s">
        <v>247</v>
      </c>
      <c r="AC1479" s="52" t="s">
        <v>247</v>
      </c>
      <c r="AD1479" s="52" t="s">
        <v>1</v>
      </c>
      <c r="AE1479" s="52" t="s">
        <v>376</v>
      </c>
      <c r="AF1479" s="155" t="s">
        <v>247</v>
      </c>
      <c r="AG1479" s="155" t="s">
        <v>247</v>
      </c>
    </row>
    <row r="1480" spans="25:33">
      <c r="Y1480" s="47">
        <v>4548</v>
      </c>
      <c r="Z1480" s="52" t="s">
        <v>410</v>
      </c>
      <c r="AA1480" s="52" t="s">
        <v>247</v>
      </c>
      <c r="AB1480" s="52" t="s">
        <v>247</v>
      </c>
      <c r="AC1480" s="52" t="s">
        <v>247</v>
      </c>
      <c r="AD1480" s="52" t="s">
        <v>1</v>
      </c>
      <c r="AE1480" s="52" t="s">
        <v>376</v>
      </c>
      <c r="AF1480" s="155" t="s">
        <v>247</v>
      </c>
      <c r="AG1480" s="155" t="s">
        <v>247</v>
      </c>
    </row>
    <row r="1481" spans="25:33">
      <c r="Y1481" s="47">
        <v>4549</v>
      </c>
      <c r="Z1481" s="52" t="s">
        <v>410</v>
      </c>
      <c r="AA1481" s="52" t="s">
        <v>247</v>
      </c>
      <c r="AB1481" s="52" t="s">
        <v>247</v>
      </c>
      <c r="AC1481" s="52" t="s">
        <v>247</v>
      </c>
      <c r="AD1481" s="52" t="s">
        <v>1</v>
      </c>
      <c r="AE1481" s="52" t="s">
        <v>376</v>
      </c>
      <c r="AF1481" s="155" t="s">
        <v>247</v>
      </c>
      <c r="AG1481" s="155" t="s">
        <v>247</v>
      </c>
    </row>
    <row r="1482" spans="25:33">
      <c r="Y1482" s="47">
        <v>4550</v>
      </c>
      <c r="Z1482" s="52" t="s">
        <v>410</v>
      </c>
      <c r="AA1482" s="52" t="s">
        <v>247</v>
      </c>
      <c r="AB1482" s="52" t="s">
        <v>247</v>
      </c>
      <c r="AC1482" s="52" t="s">
        <v>247</v>
      </c>
      <c r="AD1482" s="52" t="s">
        <v>1</v>
      </c>
      <c r="AE1482" s="52" t="s">
        <v>376</v>
      </c>
      <c r="AF1482" s="155" t="s">
        <v>247</v>
      </c>
      <c r="AG1482" s="155" t="s">
        <v>247</v>
      </c>
    </row>
    <row r="1483" spans="25:33">
      <c r="Y1483" s="47">
        <v>4551</v>
      </c>
      <c r="Z1483" s="52" t="s">
        <v>410</v>
      </c>
      <c r="AA1483" s="52" t="s">
        <v>247</v>
      </c>
      <c r="AB1483" s="52" t="s">
        <v>247</v>
      </c>
      <c r="AC1483" s="52" t="s">
        <v>247</v>
      </c>
      <c r="AD1483" s="52" t="s">
        <v>1</v>
      </c>
      <c r="AE1483" s="52" t="s">
        <v>376</v>
      </c>
      <c r="AF1483" s="155" t="s">
        <v>247</v>
      </c>
      <c r="AG1483" s="155" t="s">
        <v>247</v>
      </c>
    </row>
    <row r="1484" spans="25:33">
      <c r="Y1484" s="47">
        <v>4552</v>
      </c>
      <c r="Z1484" s="52" t="s">
        <v>410</v>
      </c>
      <c r="AA1484" s="52" t="s">
        <v>247</v>
      </c>
      <c r="AB1484" s="52" t="s">
        <v>247</v>
      </c>
      <c r="AC1484" s="52" t="s">
        <v>247</v>
      </c>
      <c r="AD1484" s="52" t="s">
        <v>1</v>
      </c>
      <c r="AE1484" s="52" t="s">
        <v>376</v>
      </c>
      <c r="AF1484" s="155" t="s">
        <v>247</v>
      </c>
      <c r="AG1484" s="155" t="s">
        <v>247</v>
      </c>
    </row>
    <row r="1485" spans="25:33">
      <c r="Y1485" s="47">
        <v>4553</v>
      </c>
      <c r="Z1485" s="52" t="s">
        <v>410</v>
      </c>
      <c r="AA1485" s="52" t="s">
        <v>247</v>
      </c>
      <c r="AB1485" s="52" t="s">
        <v>247</v>
      </c>
      <c r="AC1485" s="52" t="s">
        <v>247</v>
      </c>
      <c r="AD1485" s="52" t="s">
        <v>1</v>
      </c>
      <c r="AE1485" s="52" t="s">
        <v>376</v>
      </c>
      <c r="AF1485" s="155" t="s">
        <v>247</v>
      </c>
      <c r="AG1485" s="155" t="s">
        <v>247</v>
      </c>
    </row>
    <row r="1486" spans="25:33">
      <c r="Y1486" s="47">
        <v>4554</v>
      </c>
      <c r="Z1486" s="52" t="s">
        <v>410</v>
      </c>
      <c r="AA1486" s="52" t="s">
        <v>247</v>
      </c>
      <c r="AB1486" s="52" t="s">
        <v>247</v>
      </c>
      <c r="AC1486" s="52" t="s">
        <v>247</v>
      </c>
      <c r="AD1486" s="52" t="s">
        <v>1</v>
      </c>
      <c r="AE1486" s="52" t="s">
        <v>376</v>
      </c>
      <c r="AF1486" s="155" t="s">
        <v>247</v>
      </c>
      <c r="AG1486" s="155" t="s">
        <v>247</v>
      </c>
    </row>
    <row r="1487" spans="25:33">
      <c r="Y1487" s="47">
        <v>4555</v>
      </c>
      <c r="Z1487" s="52" t="s">
        <v>410</v>
      </c>
      <c r="AA1487" s="52" t="s">
        <v>247</v>
      </c>
      <c r="AB1487" s="52" t="s">
        <v>247</v>
      </c>
      <c r="AC1487" s="52" t="s">
        <v>247</v>
      </c>
      <c r="AD1487" s="52" t="s">
        <v>1</v>
      </c>
      <c r="AE1487" s="52" t="s">
        <v>376</v>
      </c>
      <c r="AF1487" s="155" t="s">
        <v>247</v>
      </c>
      <c r="AG1487" s="155" t="s">
        <v>247</v>
      </c>
    </row>
    <row r="1488" spans="25:33">
      <c r="Y1488" s="47">
        <v>4556</v>
      </c>
      <c r="Z1488" s="52" t="s">
        <v>410</v>
      </c>
      <c r="AA1488" s="52" t="s">
        <v>247</v>
      </c>
      <c r="AB1488" s="52" t="s">
        <v>247</v>
      </c>
      <c r="AC1488" s="52" t="s">
        <v>247</v>
      </c>
      <c r="AD1488" s="52" t="s">
        <v>1</v>
      </c>
      <c r="AE1488" s="52" t="s">
        <v>376</v>
      </c>
      <c r="AF1488" s="155" t="s">
        <v>247</v>
      </c>
      <c r="AG1488" s="155" t="s">
        <v>247</v>
      </c>
    </row>
    <row r="1489" spans="25:33">
      <c r="Y1489" s="47">
        <v>4557</v>
      </c>
      <c r="Z1489" s="52" t="s">
        <v>410</v>
      </c>
      <c r="AA1489" s="52" t="s">
        <v>247</v>
      </c>
      <c r="AB1489" s="52" t="s">
        <v>247</v>
      </c>
      <c r="AC1489" s="52" t="s">
        <v>247</v>
      </c>
      <c r="AD1489" s="52" t="s">
        <v>1</v>
      </c>
      <c r="AE1489" s="52" t="s">
        <v>376</v>
      </c>
      <c r="AF1489" s="155" t="s">
        <v>247</v>
      </c>
      <c r="AG1489" s="155" t="s">
        <v>247</v>
      </c>
    </row>
    <row r="1490" spans="25:33">
      <c r="Y1490" s="47">
        <v>4558</v>
      </c>
      <c r="Z1490" s="52" t="s">
        <v>410</v>
      </c>
      <c r="AA1490" s="52" t="s">
        <v>247</v>
      </c>
      <c r="AB1490" s="52" t="s">
        <v>247</v>
      </c>
      <c r="AC1490" s="52" t="s">
        <v>247</v>
      </c>
      <c r="AD1490" s="52" t="s">
        <v>1</v>
      </c>
      <c r="AE1490" s="52" t="s">
        <v>376</v>
      </c>
      <c r="AF1490" s="155" t="s">
        <v>247</v>
      </c>
      <c r="AG1490" s="155" t="s">
        <v>247</v>
      </c>
    </row>
    <row r="1491" spans="25:33">
      <c r="Y1491" s="47">
        <v>4559</v>
      </c>
      <c r="Z1491" s="52" t="s">
        <v>410</v>
      </c>
      <c r="AA1491" s="52" t="s">
        <v>247</v>
      </c>
      <c r="AB1491" s="52" t="s">
        <v>247</v>
      </c>
      <c r="AC1491" s="52" t="s">
        <v>247</v>
      </c>
      <c r="AD1491" s="52" t="s">
        <v>1</v>
      </c>
      <c r="AE1491" s="52" t="s">
        <v>376</v>
      </c>
      <c r="AF1491" s="155" t="s">
        <v>247</v>
      </c>
      <c r="AG1491" s="155" t="s">
        <v>247</v>
      </c>
    </row>
    <row r="1492" spans="25:33">
      <c r="Y1492" s="47">
        <v>4560</v>
      </c>
      <c r="Z1492" s="52" t="s">
        <v>410</v>
      </c>
      <c r="AA1492" s="52" t="s">
        <v>247</v>
      </c>
      <c r="AB1492" s="52" t="s">
        <v>247</v>
      </c>
      <c r="AC1492" s="52" t="s">
        <v>247</v>
      </c>
      <c r="AD1492" s="52" t="s">
        <v>1</v>
      </c>
      <c r="AE1492" s="52" t="s">
        <v>376</v>
      </c>
      <c r="AF1492" s="155" t="s">
        <v>247</v>
      </c>
      <c r="AG1492" s="155" t="s">
        <v>247</v>
      </c>
    </row>
    <row r="1493" spans="25:33">
      <c r="Y1493" s="47">
        <v>4561</v>
      </c>
      <c r="Z1493" s="52" t="s">
        <v>410</v>
      </c>
      <c r="AA1493" s="52" t="s">
        <v>247</v>
      </c>
      <c r="AB1493" s="52" t="s">
        <v>247</v>
      </c>
      <c r="AC1493" s="52" t="s">
        <v>247</v>
      </c>
      <c r="AD1493" s="52" t="s">
        <v>1</v>
      </c>
      <c r="AE1493" s="52" t="s">
        <v>376</v>
      </c>
      <c r="AF1493" s="155" t="s">
        <v>247</v>
      </c>
      <c r="AG1493" s="155" t="s">
        <v>247</v>
      </c>
    </row>
    <row r="1494" spans="25:33">
      <c r="Y1494" s="47">
        <v>4562</v>
      </c>
      <c r="Z1494" s="52" t="s">
        <v>410</v>
      </c>
      <c r="AA1494" s="52" t="s">
        <v>247</v>
      </c>
      <c r="AB1494" s="52" t="s">
        <v>247</v>
      </c>
      <c r="AC1494" s="52" t="s">
        <v>247</v>
      </c>
      <c r="AD1494" s="52" t="s">
        <v>1</v>
      </c>
      <c r="AE1494" s="52" t="s">
        <v>376</v>
      </c>
      <c r="AF1494" s="155" t="s">
        <v>247</v>
      </c>
      <c r="AG1494" s="155" t="s">
        <v>247</v>
      </c>
    </row>
    <row r="1495" spans="25:33">
      <c r="Y1495" s="47">
        <v>4563</v>
      </c>
      <c r="Z1495" s="52" t="s">
        <v>410</v>
      </c>
      <c r="AA1495" s="52" t="s">
        <v>247</v>
      </c>
      <c r="AB1495" s="52" t="s">
        <v>247</v>
      </c>
      <c r="AC1495" s="52" t="s">
        <v>247</v>
      </c>
      <c r="AD1495" s="52" t="s">
        <v>1</v>
      </c>
      <c r="AE1495" s="52" t="s">
        <v>376</v>
      </c>
      <c r="AF1495" s="155" t="s">
        <v>247</v>
      </c>
      <c r="AG1495" s="155" t="s">
        <v>247</v>
      </c>
    </row>
    <row r="1496" spans="25:33">
      <c r="Y1496" s="47">
        <v>4564</v>
      </c>
      <c r="Z1496" s="52" t="s">
        <v>410</v>
      </c>
      <c r="AA1496" s="52" t="s">
        <v>247</v>
      </c>
      <c r="AB1496" s="52" t="s">
        <v>247</v>
      </c>
      <c r="AC1496" s="52" t="s">
        <v>247</v>
      </c>
      <c r="AD1496" s="52" t="s">
        <v>1</v>
      </c>
      <c r="AE1496" s="52" t="s">
        <v>376</v>
      </c>
      <c r="AF1496" s="155" t="s">
        <v>247</v>
      </c>
      <c r="AG1496" s="155" t="s">
        <v>247</v>
      </c>
    </row>
    <row r="1497" spans="25:33">
      <c r="Y1497" s="47">
        <v>4565</v>
      </c>
      <c r="Z1497" s="52" t="s">
        <v>410</v>
      </c>
      <c r="AA1497" s="52" t="s">
        <v>247</v>
      </c>
      <c r="AB1497" s="52" t="s">
        <v>247</v>
      </c>
      <c r="AC1497" s="52" t="s">
        <v>247</v>
      </c>
      <c r="AD1497" s="52" t="s">
        <v>1</v>
      </c>
      <c r="AE1497" s="52" t="s">
        <v>376</v>
      </c>
      <c r="AF1497" s="155" t="s">
        <v>247</v>
      </c>
      <c r="AG1497" s="155" t="s">
        <v>247</v>
      </c>
    </row>
    <row r="1498" spans="25:33">
      <c r="Y1498" s="47">
        <v>4566</v>
      </c>
      <c r="Z1498" s="52" t="s">
        <v>410</v>
      </c>
      <c r="AA1498" s="52" t="s">
        <v>247</v>
      </c>
      <c r="AB1498" s="52" t="s">
        <v>247</v>
      </c>
      <c r="AC1498" s="52" t="s">
        <v>247</v>
      </c>
      <c r="AD1498" s="52" t="s">
        <v>1</v>
      </c>
      <c r="AE1498" s="52" t="s">
        <v>376</v>
      </c>
      <c r="AF1498" s="155" t="s">
        <v>247</v>
      </c>
      <c r="AG1498" s="155" t="s">
        <v>247</v>
      </c>
    </row>
    <row r="1499" spans="25:33">
      <c r="Y1499" s="47">
        <v>4567</v>
      </c>
      <c r="Z1499" s="52" t="s">
        <v>410</v>
      </c>
      <c r="AA1499" s="52" t="s">
        <v>247</v>
      </c>
      <c r="AB1499" s="52" t="s">
        <v>247</v>
      </c>
      <c r="AC1499" s="52" t="s">
        <v>247</v>
      </c>
      <c r="AD1499" s="52" t="s">
        <v>1</v>
      </c>
      <c r="AE1499" s="52" t="s">
        <v>376</v>
      </c>
      <c r="AF1499" s="155" t="s">
        <v>247</v>
      </c>
      <c r="AG1499" s="155" t="s">
        <v>247</v>
      </c>
    </row>
    <row r="1500" spans="25:33">
      <c r="Y1500" s="47">
        <v>4568</v>
      </c>
      <c r="Z1500" s="52" t="s">
        <v>410</v>
      </c>
      <c r="AA1500" s="52" t="s">
        <v>247</v>
      </c>
      <c r="AB1500" s="52" t="s">
        <v>247</v>
      </c>
      <c r="AC1500" s="52" t="s">
        <v>247</v>
      </c>
      <c r="AD1500" s="52" t="s">
        <v>1</v>
      </c>
      <c r="AE1500" s="52" t="s">
        <v>376</v>
      </c>
      <c r="AF1500" s="155" t="s">
        <v>247</v>
      </c>
      <c r="AG1500" s="155" t="s">
        <v>247</v>
      </c>
    </row>
    <row r="1501" spans="25:33">
      <c r="Y1501" s="47">
        <v>4569</v>
      </c>
      <c r="Z1501" s="52" t="s">
        <v>410</v>
      </c>
      <c r="AA1501" s="52" t="s">
        <v>247</v>
      </c>
      <c r="AB1501" s="52" t="s">
        <v>247</v>
      </c>
      <c r="AC1501" s="52" t="s">
        <v>247</v>
      </c>
      <c r="AD1501" s="52" t="s">
        <v>1</v>
      </c>
      <c r="AE1501" s="52" t="s">
        <v>376</v>
      </c>
      <c r="AF1501" s="155" t="s">
        <v>247</v>
      </c>
      <c r="AG1501" s="155" t="s">
        <v>247</v>
      </c>
    </row>
    <row r="1502" spans="25:33">
      <c r="Y1502" s="47">
        <v>4570</v>
      </c>
      <c r="Z1502" s="52" t="s">
        <v>410</v>
      </c>
      <c r="AA1502" s="52" t="s">
        <v>247</v>
      </c>
      <c r="AB1502" s="52" t="s">
        <v>247</v>
      </c>
      <c r="AC1502" s="52" t="s">
        <v>247</v>
      </c>
      <c r="AD1502" s="52" t="s">
        <v>1</v>
      </c>
      <c r="AE1502" s="52" t="s">
        <v>376</v>
      </c>
      <c r="AF1502" s="155" t="s">
        <v>247</v>
      </c>
      <c r="AG1502" s="155" t="s">
        <v>247</v>
      </c>
    </row>
    <row r="1503" spans="25:33">
      <c r="Y1503" s="47">
        <v>4571</v>
      </c>
      <c r="Z1503" s="52" t="s">
        <v>410</v>
      </c>
      <c r="AA1503" s="52" t="s">
        <v>247</v>
      </c>
      <c r="AB1503" s="52" t="s">
        <v>247</v>
      </c>
      <c r="AC1503" s="52" t="s">
        <v>247</v>
      </c>
      <c r="AD1503" s="52" t="s">
        <v>1</v>
      </c>
      <c r="AE1503" s="52" t="s">
        <v>376</v>
      </c>
      <c r="AF1503" s="155" t="s">
        <v>247</v>
      </c>
      <c r="AG1503" s="155" t="s">
        <v>247</v>
      </c>
    </row>
    <row r="1504" spans="25:33">
      <c r="Y1504" s="47">
        <v>4572</v>
      </c>
      <c r="Z1504" s="52" t="s">
        <v>410</v>
      </c>
      <c r="AA1504" s="52" t="s">
        <v>247</v>
      </c>
      <c r="AB1504" s="52" t="s">
        <v>247</v>
      </c>
      <c r="AC1504" s="52" t="s">
        <v>247</v>
      </c>
      <c r="AD1504" s="52" t="s">
        <v>1</v>
      </c>
      <c r="AE1504" s="52" t="s">
        <v>376</v>
      </c>
      <c r="AF1504" s="155" t="s">
        <v>247</v>
      </c>
      <c r="AG1504" s="155" t="s">
        <v>247</v>
      </c>
    </row>
    <row r="1505" spans="25:33">
      <c r="Y1505" s="47">
        <v>4573</v>
      </c>
      <c r="Z1505" s="52" t="s">
        <v>410</v>
      </c>
      <c r="AA1505" s="52" t="s">
        <v>247</v>
      </c>
      <c r="AB1505" s="52" t="s">
        <v>247</v>
      </c>
      <c r="AC1505" s="52" t="s">
        <v>247</v>
      </c>
      <c r="AD1505" s="52" t="s">
        <v>1</v>
      </c>
      <c r="AE1505" s="52" t="s">
        <v>376</v>
      </c>
      <c r="AF1505" s="155" t="s">
        <v>247</v>
      </c>
      <c r="AG1505" s="155" t="s">
        <v>247</v>
      </c>
    </row>
    <row r="1506" spans="25:33">
      <c r="Y1506" s="47">
        <v>4574</v>
      </c>
      <c r="Z1506" s="52" t="s">
        <v>410</v>
      </c>
      <c r="AA1506" s="52" t="s">
        <v>247</v>
      </c>
      <c r="AB1506" s="52" t="s">
        <v>247</v>
      </c>
      <c r="AC1506" s="52" t="s">
        <v>247</v>
      </c>
      <c r="AD1506" s="52" t="s">
        <v>1</v>
      </c>
      <c r="AE1506" s="52" t="s">
        <v>376</v>
      </c>
      <c r="AF1506" s="155" t="s">
        <v>247</v>
      </c>
      <c r="AG1506" s="155" t="s">
        <v>247</v>
      </c>
    </row>
    <row r="1507" spans="25:33">
      <c r="Y1507" s="47">
        <v>4575</v>
      </c>
      <c r="Z1507" s="52" t="s">
        <v>410</v>
      </c>
      <c r="AA1507" s="52" t="s">
        <v>247</v>
      </c>
      <c r="AB1507" s="52" t="s">
        <v>247</v>
      </c>
      <c r="AC1507" s="52" t="s">
        <v>247</v>
      </c>
      <c r="AD1507" s="52" t="s">
        <v>1</v>
      </c>
      <c r="AE1507" s="52" t="s">
        <v>376</v>
      </c>
      <c r="AF1507" s="155" t="s">
        <v>247</v>
      </c>
      <c r="AG1507" s="155" t="s">
        <v>247</v>
      </c>
    </row>
    <row r="1508" spans="25:33">
      <c r="Y1508" s="47">
        <v>4576</v>
      </c>
      <c r="Z1508" s="52" t="s">
        <v>410</v>
      </c>
      <c r="AA1508" s="52" t="s">
        <v>247</v>
      </c>
      <c r="AB1508" s="52" t="s">
        <v>247</v>
      </c>
      <c r="AC1508" s="52" t="s">
        <v>247</v>
      </c>
      <c r="AD1508" s="52" t="s">
        <v>1</v>
      </c>
      <c r="AE1508" s="52" t="s">
        <v>376</v>
      </c>
      <c r="AF1508" s="155" t="s">
        <v>247</v>
      </c>
      <c r="AG1508" s="155" t="s">
        <v>247</v>
      </c>
    </row>
    <row r="1509" spans="25:33">
      <c r="Y1509" s="47">
        <v>4577</v>
      </c>
      <c r="Z1509" s="52" t="s">
        <v>410</v>
      </c>
      <c r="AA1509" s="52" t="s">
        <v>247</v>
      </c>
      <c r="AB1509" s="52" t="s">
        <v>247</v>
      </c>
      <c r="AC1509" s="52" t="s">
        <v>247</v>
      </c>
      <c r="AD1509" s="52" t="s">
        <v>1</v>
      </c>
      <c r="AE1509" s="52" t="s">
        <v>376</v>
      </c>
      <c r="AF1509" s="155" t="s">
        <v>247</v>
      </c>
      <c r="AG1509" s="155" t="s">
        <v>247</v>
      </c>
    </row>
    <row r="1510" spans="25:33">
      <c r="Y1510" s="47">
        <v>4578</v>
      </c>
      <c r="Z1510" s="52" t="s">
        <v>410</v>
      </c>
      <c r="AA1510" s="52" t="s">
        <v>247</v>
      </c>
      <c r="AB1510" s="52" t="s">
        <v>247</v>
      </c>
      <c r="AC1510" s="52" t="s">
        <v>247</v>
      </c>
      <c r="AD1510" s="52" t="s">
        <v>1</v>
      </c>
      <c r="AE1510" s="52" t="s">
        <v>376</v>
      </c>
      <c r="AF1510" s="155" t="s">
        <v>247</v>
      </c>
      <c r="AG1510" s="155" t="s">
        <v>247</v>
      </c>
    </row>
    <row r="1511" spans="25:33">
      <c r="Y1511" s="47">
        <v>4579</v>
      </c>
      <c r="Z1511" s="52" t="s">
        <v>410</v>
      </c>
      <c r="AA1511" s="52" t="s">
        <v>247</v>
      </c>
      <c r="AB1511" s="52" t="s">
        <v>247</v>
      </c>
      <c r="AC1511" s="52" t="s">
        <v>247</v>
      </c>
      <c r="AD1511" s="52" t="s">
        <v>1</v>
      </c>
      <c r="AE1511" s="52" t="s">
        <v>376</v>
      </c>
      <c r="AF1511" s="155" t="s">
        <v>247</v>
      </c>
      <c r="AG1511" s="155" t="s">
        <v>247</v>
      </c>
    </row>
    <row r="1512" spans="25:33">
      <c r="Y1512" s="47">
        <v>4580</v>
      </c>
      <c r="Z1512" s="52" t="s">
        <v>410</v>
      </c>
      <c r="AA1512" s="52" t="s">
        <v>247</v>
      </c>
      <c r="AB1512" s="52" t="s">
        <v>247</v>
      </c>
      <c r="AC1512" s="52" t="s">
        <v>247</v>
      </c>
      <c r="AD1512" s="52" t="s">
        <v>1</v>
      </c>
      <c r="AE1512" s="52" t="s">
        <v>376</v>
      </c>
      <c r="AF1512" s="155" t="s">
        <v>247</v>
      </c>
      <c r="AG1512" s="155" t="s">
        <v>247</v>
      </c>
    </row>
    <row r="1513" spans="25:33">
      <c r="Y1513" s="47">
        <v>4581</v>
      </c>
      <c r="Z1513" s="52" t="s">
        <v>410</v>
      </c>
      <c r="AA1513" s="52" t="s">
        <v>247</v>
      </c>
      <c r="AB1513" s="52" t="s">
        <v>247</v>
      </c>
      <c r="AC1513" s="52" t="s">
        <v>247</v>
      </c>
      <c r="AD1513" s="52" t="s">
        <v>1</v>
      </c>
      <c r="AE1513" s="52" t="s">
        <v>376</v>
      </c>
      <c r="AF1513" s="155" t="s">
        <v>247</v>
      </c>
      <c r="AG1513" s="155" t="s">
        <v>247</v>
      </c>
    </row>
    <row r="1514" spans="25:33">
      <c r="Y1514" s="47">
        <v>4582</v>
      </c>
      <c r="Z1514" s="52" t="s">
        <v>410</v>
      </c>
      <c r="AA1514" s="52" t="s">
        <v>247</v>
      </c>
      <c r="AB1514" s="52" t="s">
        <v>247</v>
      </c>
      <c r="AC1514" s="52" t="s">
        <v>247</v>
      </c>
      <c r="AD1514" s="52" t="s">
        <v>1</v>
      </c>
      <c r="AE1514" s="52" t="s">
        <v>376</v>
      </c>
      <c r="AF1514" s="155" t="s">
        <v>247</v>
      </c>
      <c r="AG1514" s="155" t="s">
        <v>247</v>
      </c>
    </row>
    <row r="1515" spans="25:33">
      <c r="Y1515" s="47">
        <v>4583</v>
      </c>
      <c r="Z1515" s="52" t="s">
        <v>410</v>
      </c>
      <c r="AA1515" s="52" t="s">
        <v>247</v>
      </c>
      <c r="AB1515" s="52" t="s">
        <v>247</v>
      </c>
      <c r="AC1515" s="52" t="s">
        <v>247</v>
      </c>
      <c r="AD1515" s="52" t="s">
        <v>1</v>
      </c>
      <c r="AE1515" s="52" t="s">
        <v>376</v>
      </c>
      <c r="AF1515" s="155" t="s">
        <v>247</v>
      </c>
      <c r="AG1515" s="155" t="s">
        <v>247</v>
      </c>
    </row>
    <row r="1516" spans="25:33">
      <c r="Y1516" s="47">
        <v>4584</v>
      </c>
      <c r="Z1516" s="52" t="s">
        <v>410</v>
      </c>
      <c r="AA1516" s="52" t="s">
        <v>247</v>
      </c>
      <c r="AB1516" s="52" t="s">
        <v>247</v>
      </c>
      <c r="AC1516" s="52" t="s">
        <v>247</v>
      </c>
      <c r="AD1516" s="52" t="s">
        <v>1</v>
      </c>
      <c r="AE1516" s="52" t="s">
        <v>376</v>
      </c>
      <c r="AF1516" s="155" t="s">
        <v>247</v>
      </c>
      <c r="AG1516" s="155" t="s">
        <v>247</v>
      </c>
    </row>
    <row r="1517" spans="25:33">
      <c r="Y1517" s="47">
        <v>4585</v>
      </c>
      <c r="Z1517" s="52" t="s">
        <v>410</v>
      </c>
      <c r="AA1517" s="52" t="s">
        <v>247</v>
      </c>
      <c r="AB1517" s="52" t="s">
        <v>247</v>
      </c>
      <c r="AC1517" s="52" t="s">
        <v>247</v>
      </c>
      <c r="AD1517" s="52" t="s">
        <v>1</v>
      </c>
      <c r="AE1517" s="52" t="s">
        <v>376</v>
      </c>
      <c r="AF1517" s="155" t="s">
        <v>247</v>
      </c>
      <c r="AG1517" s="155" t="s">
        <v>247</v>
      </c>
    </row>
    <row r="1518" spans="25:33">
      <c r="Y1518" s="47">
        <v>4586</v>
      </c>
      <c r="Z1518" s="52" t="s">
        <v>410</v>
      </c>
      <c r="AA1518" s="52" t="s">
        <v>247</v>
      </c>
      <c r="AB1518" s="52" t="s">
        <v>247</v>
      </c>
      <c r="AC1518" s="52" t="s">
        <v>247</v>
      </c>
      <c r="AD1518" s="52" t="s">
        <v>1</v>
      </c>
      <c r="AE1518" s="52" t="s">
        <v>376</v>
      </c>
      <c r="AF1518" s="155" t="s">
        <v>247</v>
      </c>
      <c r="AG1518" s="155" t="s">
        <v>247</v>
      </c>
    </row>
    <row r="1519" spans="25:33">
      <c r="Y1519" s="47">
        <v>4587</v>
      </c>
      <c r="Z1519" s="52" t="s">
        <v>410</v>
      </c>
      <c r="AA1519" s="52" t="s">
        <v>247</v>
      </c>
      <c r="AB1519" s="52" t="s">
        <v>247</v>
      </c>
      <c r="AC1519" s="52" t="s">
        <v>247</v>
      </c>
      <c r="AD1519" s="52" t="s">
        <v>1</v>
      </c>
      <c r="AE1519" s="52" t="s">
        <v>376</v>
      </c>
      <c r="AF1519" s="155" t="s">
        <v>247</v>
      </c>
      <c r="AG1519" s="155" t="s">
        <v>247</v>
      </c>
    </row>
    <row r="1520" spans="25:33">
      <c r="Y1520" s="47">
        <v>4588</v>
      </c>
      <c r="Z1520" s="52" t="s">
        <v>410</v>
      </c>
      <c r="AA1520" s="52" t="s">
        <v>247</v>
      </c>
      <c r="AB1520" s="52" t="s">
        <v>247</v>
      </c>
      <c r="AC1520" s="52" t="s">
        <v>247</v>
      </c>
      <c r="AD1520" s="52" t="s">
        <v>1</v>
      </c>
      <c r="AE1520" s="52" t="s">
        <v>376</v>
      </c>
      <c r="AF1520" s="155" t="s">
        <v>247</v>
      </c>
      <c r="AG1520" s="155" t="s">
        <v>247</v>
      </c>
    </row>
    <row r="1521" spans="25:33">
      <c r="Y1521" s="47">
        <v>4589</v>
      </c>
      <c r="Z1521" s="52" t="s">
        <v>410</v>
      </c>
      <c r="AA1521" s="52" t="s">
        <v>247</v>
      </c>
      <c r="AB1521" s="52" t="s">
        <v>247</v>
      </c>
      <c r="AC1521" s="52" t="s">
        <v>247</v>
      </c>
      <c r="AD1521" s="52" t="s">
        <v>1</v>
      </c>
      <c r="AE1521" s="52" t="s">
        <v>376</v>
      </c>
      <c r="AF1521" s="155" t="s">
        <v>247</v>
      </c>
      <c r="AG1521" s="155" t="s">
        <v>247</v>
      </c>
    </row>
    <row r="1522" spans="25:33">
      <c r="Y1522" s="47">
        <v>4590</v>
      </c>
      <c r="Z1522" s="52" t="s">
        <v>410</v>
      </c>
      <c r="AA1522" s="52" t="s">
        <v>247</v>
      </c>
      <c r="AB1522" s="52" t="s">
        <v>247</v>
      </c>
      <c r="AC1522" s="52" t="s">
        <v>247</v>
      </c>
      <c r="AD1522" s="52" t="s">
        <v>1</v>
      </c>
      <c r="AE1522" s="52" t="s">
        <v>376</v>
      </c>
      <c r="AF1522" s="155" t="s">
        <v>247</v>
      </c>
      <c r="AG1522" s="155" t="s">
        <v>247</v>
      </c>
    </row>
    <row r="1523" spans="25:33">
      <c r="Y1523" s="47">
        <v>4591</v>
      </c>
      <c r="Z1523" s="52" t="s">
        <v>410</v>
      </c>
      <c r="AA1523" s="52" t="s">
        <v>247</v>
      </c>
      <c r="AB1523" s="52" t="s">
        <v>247</v>
      </c>
      <c r="AC1523" s="52" t="s">
        <v>247</v>
      </c>
      <c r="AD1523" s="52" t="s">
        <v>1</v>
      </c>
      <c r="AE1523" s="52" t="s">
        <v>376</v>
      </c>
      <c r="AF1523" s="155" t="s">
        <v>247</v>
      </c>
      <c r="AG1523" s="155" t="s">
        <v>247</v>
      </c>
    </row>
    <row r="1524" spans="25:33">
      <c r="Y1524" s="47">
        <v>4592</v>
      </c>
      <c r="Z1524" s="52" t="s">
        <v>410</v>
      </c>
      <c r="AA1524" s="52" t="s">
        <v>247</v>
      </c>
      <c r="AB1524" s="52" t="s">
        <v>247</v>
      </c>
      <c r="AC1524" s="52" t="s">
        <v>247</v>
      </c>
      <c r="AD1524" s="52" t="s">
        <v>1</v>
      </c>
      <c r="AE1524" s="52" t="s">
        <v>376</v>
      </c>
      <c r="AF1524" s="155" t="s">
        <v>247</v>
      </c>
      <c r="AG1524" s="155" t="s">
        <v>247</v>
      </c>
    </row>
    <row r="1525" spans="25:33">
      <c r="Y1525" s="47">
        <v>4593</v>
      </c>
      <c r="Z1525" s="52" t="s">
        <v>410</v>
      </c>
      <c r="AA1525" s="52" t="s">
        <v>247</v>
      </c>
      <c r="AB1525" s="52" t="s">
        <v>247</v>
      </c>
      <c r="AC1525" s="52" t="s">
        <v>247</v>
      </c>
      <c r="AD1525" s="52" t="s">
        <v>1</v>
      </c>
      <c r="AE1525" s="52" t="s">
        <v>376</v>
      </c>
      <c r="AF1525" s="155" t="s">
        <v>247</v>
      </c>
      <c r="AG1525" s="155" t="s">
        <v>247</v>
      </c>
    </row>
    <row r="1526" spans="25:33">
      <c r="Y1526" s="47">
        <v>4594</v>
      </c>
      <c r="Z1526" s="52" t="s">
        <v>410</v>
      </c>
      <c r="AA1526" s="52" t="s">
        <v>247</v>
      </c>
      <c r="AB1526" s="52" t="s">
        <v>247</v>
      </c>
      <c r="AC1526" s="52" t="s">
        <v>247</v>
      </c>
      <c r="AD1526" s="52" t="s">
        <v>1</v>
      </c>
      <c r="AE1526" s="52" t="s">
        <v>376</v>
      </c>
      <c r="AF1526" s="155" t="s">
        <v>247</v>
      </c>
      <c r="AG1526" s="155" t="s">
        <v>247</v>
      </c>
    </row>
    <row r="1527" spans="25:33">
      <c r="Y1527" s="47">
        <v>4595</v>
      </c>
      <c r="Z1527" s="52" t="s">
        <v>410</v>
      </c>
      <c r="AA1527" s="52" t="s">
        <v>247</v>
      </c>
      <c r="AB1527" s="52" t="s">
        <v>247</v>
      </c>
      <c r="AC1527" s="52" t="s">
        <v>247</v>
      </c>
      <c r="AD1527" s="52" t="s">
        <v>1</v>
      </c>
      <c r="AE1527" s="52" t="s">
        <v>376</v>
      </c>
      <c r="AF1527" s="155" t="s">
        <v>247</v>
      </c>
      <c r="AG1527" s="155" t="s">
        <v>247</v>
      </c>
    </row>
    <row r="1528" spans="25:33">
      <c r="Y1528" s="47">
        <v>4596</v>
      </c>
      <c r="Z1528" s="52" t="s">
        <v>410</v>
      </c>
      <c r="AA1528" s="52" t="s">
        <v>247</v>
      </c>
      <c r="AB1528" s="52" t="s">
        <v>247</v>
      </c>
      <c r="AC1528" s="52" t="s">
        <v>247</v>
      </c>
      <c r="AD1528" s="52" t="s">
        <v>1</v>
      </c>
      <c r="AE1528" s="52" t="s">
        <v>376</v>
      </c>
      <c r="AF1528" s="155" t="s">
        <v>247</v>
      </c>
      <c r="AG1528" s="155" t="s">
        <v>247</v>
      </c>
    </row>
    <row r="1529" spans="25:33">
      <c r="Y1529" s="47">
        <v>4597</v>
      </c>
      <c r="Z1529" s="52" t="s">
        <v>410</v>
      </c>
      <c r="AA1529" s="52" t="s">
        <v>247</v>
      </c>
      <c r="AB1529" s="52" t="s">
        <v>247</v>
      </c>
      <c r="AC1529" s="52" t="s">
        <v>247</v>
      </c>
      <c r="AD1529" s="52" t="s">
        <v>1</v>
      </c>
      <c r="AE1529" s="52" t="s">
        <v>376</v>
      </c>
      <c r="AF1529" s="155" t="s">
        <v>247</v>
      </c>
      <c r="AG1529" s="155" t="s">
        <v>247</v>
      </c>
    </row>
    <row r="1530" spans="25:33">
      <c r="Y1530" s="47">
        <v>4598</v>
      </c>
      <c r="Z1530" s="52" t="s">
        <v>410</v>
      </c>
      <c r="AA1530" s="52" t="s">
        <v>247</v>
      </c>
      <c r="AB1530" s="52" t="s">
        <v>247</v>
      </c>
      <c r="AC1530" s="52" t="s">
        <v>247</v>
      </c>
      <c r="AD1530" s="52" t="s">
        <v>1</v>
      </c>
      <c r="AE1530" s="52" t="s">
        <v>376</v>
      </c>
      <c r="AF1530" s="155" t="s">
        <v>247</v>
      </c>
      <c r="AG1530" s="155" t="s">
        <v>247</v>
      </c>
    </row>
    <row r="1531" spans="25:33">
      <c r="Y1531" s="47">
        <v>4599</v>
      </c>
      <c r="Z1531" s="52" t="s">
        <v>410</v>
      </c>
      <c r="AA1531" s="52" t="s">
        <v>247</v>
      </c>
      <c r="AB1531" s="52" t="s">
        <v>247</v>
      </c>
      <c r="AC1531" s="52" t="s">
        <v>247</v>
      </c>
      <c r="AD1531" s="52" t="s">
        <v>1</v>
      </c>
      <c r="AE1531" s="52" t="s">
        <v>376</v>
      </c>
      <c r="AF1531" s="155" t="s">
        <v>247</v>
      </c>
      <c r="AG1531" s="155" t="s">
        <v>247</v>
      </c>
    </row>
    <row r="1532" spans="25:33">
      <c r="Y1532" s="47">
        <v>4600</v>
      </c>
      <c r="Z1532" s="52" t="s">
        <v>410</v>
      </c>
      <c r="AA1532" s="52" t="s">
        <v>247</v>
      </c>
      <c r="AB1532" s="52" t="s">
        <v>247</v>
      </c>
      <c r="AC1532" s="52" t="s">
        <v>247</v>
      </c>
      <c r="AD1532" s="52" t="s">
        <v>1</v>
      </c>
      <c r="AE1532" s="52" t="s">
        <v>376</v>
      </c>
      <c r="AF1532" s="155" t="s">
        <v>247</v>
      </c>
      <c r="AG1532" s="155" t="s">
        <v>247</v>
      </c>
    </row>
    <row r="1533" spans="25:33">
      <c r="Y1533" s="47">
        <v>4601</v>
      </c>
      <c r="Z1533" s="52" t="s">
        <v>410</v>
      </c>
      <c r="AA1533" s="52" t="s">
        <v>247</v>
      </c>
      <c r="AB1533" s="52" t="s">
        <v>247</v>
      </c>
      <c r="AC1533" s="52" t="s">
        <v>247</v>
      </c>
      <c r="AD1533" s="52" t="s">
        <v>1</v>
      </c>
      <c r="AE1533" s="52" t="s">
        <v>376</v>
      </c>
      <c r="AF1533" s="155" t="s">
        <v>247</v>
      </c>
      <c r="AG1533" s="155" t="s">
        <v>247</v>
      </c>
    </row>
    <row r="1534" spans="25:33">
      <c r="Y1534" s="47">
        <v>4602</v>
      </c>
      <c r="Z1534" s="52" t="s">
        <v>410</v>
      </c>
      <c r="AA1534" s="52" t="s">
        <v>247</v>
      </c>
      <c r="AB1534" s="52" t="s">
        <v>247</v>
      </c>
      <c r="AC1534" s="52" t="s">
        <v>247</v>
      </c>
      <c r="AD1534" s="52" t="s">
        <v>1</v>
      </c>
      <c r="AE1534" s="52" t="s">
        <v>376</v>
      </c>
      <c r="AF1534" s="155" t="s">
        <v>247</v>
      </c>
      <c r="AG1534" s="155" t="s">
        <v>247</v>
      </c>
    </row>
    <row r="1535" spans="25:33">
      <c r="Y1535" s="47">
        <v>4603</v>
      </c>
      <c r="Z1535" s="52" t="s">
        <v>410</v>
      </c>
      <c r="AA1535" s="52" t="s">
        <v>247</v>
      </c>
      <c r="AB1535" s="52" t="s">
        <v>247</v>
      </c>
      <c r="AC1535" s="52" t="s">
        <v>247</v>
      </c>
      <c r="AD1535" s="52" t="s">
        <v>1</v>
      </c>
      <c r="AE1535" s="52" t="s">
        <v>376</v>
      </c>
      <c r="AF1535" s="155" t="s">
        <v>247</v>
      </c>
      <c r="AG1535" s="155" t="s">
        <v>247</v>
      </c>
    </row>
    <row r="1536" spans="25:33">
      <c r="Y1536" s="47">
        <v>4604</v>
      </c>
      <c r="Z1536" s="52" t="s">
        <v>410</v>
      </c>
      <c r="AA1536" s="52" t="s">
        <v>247</v>
      </c>
      <c r="AB1536" s="52" t="s">
        <v>247</v>
      </c>
      <c r="AC1536" s="52" t="s">
        <v>247</v>
      </c>
      <c r="AD1536" s="52" t="s">
        <v>1</v>
      </c>
      <c r="AE1536" s="52" t="s">
        <v>376</v>
      </c>
      <c r="AF1536" s="155" t="s">
        <v>247</v>
      </c>
      <c r="AG1536" s="155" t="s">
        <v>247</v>
      </c>
    </row>
    <row r="1537" spans="25:33">
      <c r="Y1537" s="47">
        <v>4605</v>
      </c>
      <c r="Z1537" s="52" t="s">
        <v>410</v>
      </c>
      <c r="AA1537" s="52" t="s">
        <v>247</v>
      </c>
      <c r="AB1537" s="52" t="s">
        <v>247</v>
      </c>
      <c r="AC1537" s="52" t="s">
        <v>247</v>
      </c>
      <c r="AD1537" s="52" t="s">
        <v>1</v>
      </c>
      <c r="AE1537" s="52" t="s">
        <v>376</v>
      </c>
      <c r="AF1537" s="155" t="s">
        <v>247</v>
      </c>
      <c r="AG1537" s="155" t="s">
        <v>247</v>
      </c>
    </row>
    <row r="1538" spans="25:33">
      <c r="Y1538" s="47">
        <v>4606</v>
      </c>
      <c r="Z1538" s="52" t="s">
        <v>410</v>
      </c>
      <c r="AA1538" s="52" t="s">
        <v>247</v>
      </c>
      <c r="AB1538" s="52" t="s">
        <v>247</v>
      </c>
      <c r="AC1538" s="52" t="s">
        <v>247</v>
      </c>
      <c r="AD1538" s="52" t="s">
        <v>1</v>
      </c>
      <c r="AE1538" s="52" t="s">
        <v>376</v>
      </c>
      <c r="AF1538" s="155" t="s">
        <v>247</v>
      </c>
      <c r="AG1538" s="155" t="s">
        <v>247</v>
      </c>
    </row>
    <row r="1539" spans="25:33">
      <c r="Y1539" s="47">
        <v>4607</v>
      </c>
      <c r="Z1539" s="52" t="s">
        <v>410</v>
      </c>
      <c r="AA1539" s="52" t="s">
        <v>247</v>
      </c>
      <c r="AB1539" s="52" t="s">
        <v>247</v>
      </c>
      <c r="AC1539" s="52" t="s">
        <v>247</v>
      </c>
      <c r="AD1539" s="52" t="s">
        <v>1</v>
      </c>
      <c r="AE1539" s="52" t="s">
        <v>376</v>
      </c>
      <c r="AF1539" s="155" t="s">
        <v>247</v>
      </c>
      <c r="AG1539" s="155" t="s">
        <v>247</v>
      </c>
    </row>
    <row r="1540" spans="25:33">
      <c r="Y1540" s="47">
        <v>4608</v>
      </c>
      <c r="Z1540" s="52" t="s">
        <v>410</v>
      </c>
      <c r="AA1540" s="52" t="s">
        <v>247</v>
      </c>
      <c r="AB1540" s="52" t="s">
        <v>247</v>
      </c>
      <c r="AC1540" s="52" t="s">
        <v>247</v>
      </c>
      <c r="AD1540" s="52" t="s">
        <v>1</v>
      </c>
      <c r="AE1540" s="52" t="s">
        <v>376</v>
      </c>
      <c r="AF1540" s="155" t="s">
        <v>247</v>
      </c>
      <c r="AG1540" s="155" t="s">
        <v>247</v>
      </c>
    </row>
    <row r="1541" spans="25:33">
      <c r="Y1541" s="47">
        <v>4609</v>
      </c>
      <c r="Z1541" s="52" t="s">
        <v>410</v>
      </c>
      <c r="AA1541" s="52" t="s">
        <v>247</v>
      </c>
      <c r="AB1541" s="52" t="s">
        <v>247</v>
      </c>
      <c r="AC1541" s="52" t="s">
        <v>247</v>
      </c>
      <c r="AD1541" s="52" t="s">
        <v>1</v>
      </c>
      <c r="AE1541" s="52" t="s">
        <v>376</v>
      </c>
      <c r="AF1541" s="155" t="s">
        <v>247</v>
      </c>
      <c r="AG1541" s="155" t="s">
        <v>247</v>
      </c>
    </row>
    <row r="1542" spans="25:33">
      <c r="Y1542" s="47">
        <v>4610</v>
      </c>
      <c r="Z1542" s="52" t="s">
        <v>410</v>
      </c>
      <c r="AA1542" s="52" t="s">
        <v>247</v>
      </c>
      <c r="AB1542" s="52" t="s">
        <v>247</v>
      </c>
      <c r="AC1542" s="52" t="s">
        <v>247</v>
      </c>
      <c r="AD1542" s="52" t="s">
        <v>1</v>
      </c>
      <c r="AE1542" s="52" t="s">
        <v>376</v>
      </c>
      <c r="AF1542" s="155" t="s">
        <v>247</v>
      </c>
      <c r="AG1542" s="155" t="s">
        <v>247</v>
      </c>
    </row>
    <row r="1543" spans="25:33">
      <c r="Y1543" s="47">
        <v>4611</v>
      </c>
      <c r="Z1543" s="52" t="s">
        <v>410</v>
      </c>
      <c r="AA1543" s="52" t="s">
        <v>247</v>
      </c>
      <c r="AB1543" s="52" t="s">
        <v>247</v>
      </c>
      <c r="AC1543" s="52" t="s">
        <v>247</v>
      </c>
      <c r="AD1543" s="52" t="s">
        <v>1</v>
      </c>
      <c r="AE1543" s="52" t="s">
        <v>376</v>
      </c>
      <c r="AF1543" s="155" t="s">
        <v>247</v>
      </c>
      <c r="AG1543" s="155" t="s">
        <v>247</v>
      </c>
    </row>
    <row r="1544" spans="25:33">
      <c r="Y1544" s="47">
        <v>4612</v>
      </c>
      <c r="Z1544" s="52" t="s">
        <v>410</v>
      </c>
      <c r="AA1544" s="52" t="s">
        <v>247</v>
      </c>
      <c r="AB1544" s="52" t="s">
        <v>247</v>
      </c>
      <c r="AC1544" s="52" t="s">
        <v>247</v>
      </c>
      <c r="AD1544" s="52" t="s">
        <v>1</v>
      </c>
      <c r="AE1544" s="52" t="s">
        <v>376</v>
      </c>
      <c r="AF1544" s="155" t="s">
        <v>247</v>
      </c>
      <c r="AG1544" s="155" t="s">
        <v>247</v>
      </c>
    </row>
    <row r="1545" spans="25:33">
      <c r="Y1545" s="47">
        <v>4613</v>
      </c>
      <c r="Z1545" s="52" t="s">
        <v>410</v>
      </c>
      <c r="AA1545" s="52" t="s">
        <v>247</v>
      </c>
      <c r="AB1545" s="52" t="s">
        <v>247</v>
      </c>
      <c r="AC1545" s="52" t="s">
        <v>247</v>
      </c>
      <c r="AD1545" s="52" t="s">
        <v>1</v>
      </c>
      <c r="AE1545" s="52" t="s">
        <v>376</v>
      </c>
      <c r="AF1545" s="155" t="s">
        <v>247</v>
      </c>
      <c r="AG1545" s="155" t="s">
        <v>247</v>
      </c>
    </row>
    <row r="1546" spans="25:33">
      <c r="Y1546" s="47">
        <v>4614</v>
      </c>
      <c r="Z1546" s="52" t="s">
        <v>410</v>
      </c>
      <c r="AA1546" s="52" t="s">
        <v>247</v>
      </c>
      <c r="AB1546" s="52" t="s">
        <v>247</v>
      </c>
      <c r="AC1546" s="52" t="s">
        <v>247</v>
      </c>
      <c r="AD1546" s="52" t="s">
        <v>1</v>
      </c>
      <c r="AE1546" s="52" t="s">
        <v>376</v>
      </c>
      <c r="AF1546" s="155" t="s">
        <v>247</v>
      </c>
      <c r="AG1546" s="155" t="s">
        <v>247</v>
      </c>
    </row>
    <row r="1547" spans="25:33">
      <c r="Y1547" s="47">
        <v>4615</v>
      </c>
      <c r="Z1547" s="52" t="s">
        <v>410</v>
      </c>
      <c r="AA1547" s="52" t="s">
        <v>247</v>
      </c>
      <c r="AB1547" s="52" t="s">
        <v>247</v>
      </c>
      <c r="AC1547" s="52" t="s">
        <v>247</v>
      </c>
      <c r="AD1547" s="52" t="s">
        <v>1</v>
      </c>
      <c r="AE1547" s="52" t="s">
        <v>376</v>
      </c>
      <c r="AF1547" s="155" t="s">
        <v>247</v>
      </c>
      <c r="AG1547" s="155" t="s">
        <v>247</v>
      </c>
    </row>
    <row r="1548" spans="25:33">
      <c r="Y1548" s="47">
        <v>4620</v>
      </c>
      <c r="Z1548" s="52" t="s">
        <v>408</v>
      </c>
      <c r="AA1548" s="52" t="s">
        <v>247</v>
      </c>
      <c r="AB1548" s="52" t="s">
        <v>247</v>
      </c>
      <c r="AC1548" s="52" t="s">
        <v>247</v>
      </c>
      <c r="AD1548" s="52" t="s">
        <v>1</v>
      </c>
      <c r="AE1548" s="52" t="s">
        <v>376</v>
      </c>
      <c r="AF1548" s="155" t="s">
        <v>247</v>
      </c>
      <c r="AG1548" s="155" t="s">
        <v>247</v>
      </c>
    </row>
    <row r="1549" spans="25:33">
      <c r="Y1549" s="47">
        <v>4621</v>
      </c>
      <c r="Z1549" s="52" t="s">
        <v>408</v>
      </c>
      <c r="AA1549" s="52" t="s">
        <v>247</v>
      </c>
      <c r="AB1549" s="52" t="s">
        <v>247</v>
      </c>
      <c r="AC1549" s="52" t="s">
        <v>247</v>
      </c>
      <c r="AD1549" s="52" t="s">
        <v>1</v>
      </c>
      <c r="AE1549" s="52" t="s">
        <v>376</v>
      </c>
      <c r="AF1549" s="155" t="s">
        <v>247</v>
      </c>
      <c r="AG1549" s="155" t="s">
        <v>247</v>
      </c>
    </row>
    <row r="1550" spans="25:33">
      <c r="Y1550" s="47">
        <v>4622</v>
      </c>
      <c r="Z1550" s="52" t="s">
        <v>408</v>
      </c>
      <c r="AA1550" s="52" t="s">
        <v>247</v>
      </c>
      <c r="AB1550" s="52" t="s">
        <v>247</v>
      </c>
      <c r="AC1550" s="52" t="s">
        <v>247</v>
      </c>
      <c r="AD1550" s="52" t="s">
        <v>1</v>
      </c>
      <c r="AE1550" s="52" t="s">
        <v>376</v>
      </c>
      <c r="AF1550" s="155" t="s">
        <v>247</v>
      </c>
      <c r="AG1550" s="155" t="s">
        <v>247</v>
      </c>
    </row>
    <row r="1551" spans="25:33">
      <c r="Y1551" s="47">
        <v>4623</v>
      </c>
      <c r="Z1551" s="52" t="s">
        <v>408</v>
      </c>
      <c r="AA1551" s="52" t="s">
        <v>247</v>
      </c>
      <c r="AB1551" s="52" t="s">
        <v>247</v>
      </c>
      <c r="AC1551" s="52" t="s">
        <v>247</v>
      </c>
      <c r="AD1551" s="52" t="s">
        <v>1</v>
      </c>
      <c r="AE1551" s="52" t="s">
        <v>376</v>
      </c>
      <c r="AF1551" s="155" t="s">
        <v>247</v>
      </c>
      <c r="AG1551" s="155" t="s">
        <v>247</v>
      </c>
    </row>
    <row r="1552" spans="25:33">
      <c r="Y1552" s="47">
        <v>4624</v>
      </c>
      <c r="Z1552" s="52" t="s">
        <v>408</v>
      </c>
      <c r="AA1552" s="52" t="s">
        <v>247</v>
      </c>
      <c r="AB1552" s="52" t="s">
        <v>247</v>
      </c>
      <c r="AC1552" s="52" t="s">
        <v>247</v>
      </c>
      <c r="AD1552" s="52" t="s">
        <v>1</v>
      </c>
      <c r="AE1552" s="52" t="s">
        <v>376</v>
      </c>
      <c r="AF1552" s="155" t="s">
        <v>247</v>
      </c>
      <c r="AG1552" s="155" t="s">
        <v>247</v>
      </c>
    </row>
    <row r="1553" spans="25:33">
      <c r="Y1553" s="47">
        <v>4625</v>
      </c>
      <c r="Z1553" s="52" t="s">
        <v>408</v>
      </c>
      <c r="AA1553" s="52" t="s">
        <v>247</v>
      </c>
      <c r="AB1553" s="52" t="s">
        <v>247</v>
      </c>
      <c r="AC1553" s="52" t="s">
        <v>247</v>
      </c>
      <c r="AD1553" s="52" t="s">
        <v>1</v>
      </c>
      <c r="AE1553" s="52" t="s">
        <v>376</v>
      </c>
      <c r="AF1553" s="155" t="s">
        <v>247</v>
      </c>
      <c r="AG1553" s="155" t="s">
        <v>247</v>
      </c>
    </row>
    <row r="1554" spans="25:33">
      <c r="Y1554" s="47">
        <v>4626</v>
      </c>
      <c r="Z1554" s="52" t="s">
        <v>408</v>
      </c>
      <c r="AA1554" s="52" t="s">
        <v>247</v>
      </c>
      <c r="AB1554" s="52" t="s">
        <v>247</v>
      </c>
      <c r="AC1554" s="52" t="s">
        <v>247</v>
      </c>
      <c r="AD1554" s="52" t="s">
        <v>1</v>
      </c>
      <c r="AE1554" s="52" t="s">
        <v>376</v>
      </c>
      <c r="AF1554" s="155" t="s">
        <v>247</v>
      </c>
      <c r="AG1554" s="155" t="s">
        <v>247</v>
      </c>
    </row>
    <row r="1555" spans="25:33">
      <c r="Y1555" s="47">
        <v>4627</v>
      </c>
      <c r="Z1555" s="52" t="s">
        <v>408</v>
      </c>
      <c r="AA1555" s="52" t="s">
        <v>247</v>
      </c>
      <c r="AB1555" s="52" t="s">
        <v>247</v>
      </c>
      <c r="AC1555" s="52" t="s">
        <v>247</v>
      </c>
      <c r="AD1555" s="52" t="s">
        <v>1</v>
      </c>
      <c r="AE1555" s="52" t="s">
        <v>376</v>
      </c>
      <c r="AF1555" s="155" t="s">
        <v>247</v>
      </c>
      <c r="AG1555" s="155" t="s">
        <v>247</v>
      </c>
    </row>
    <row r="1556" spans="25:33">
      <c r="Y1556" s="47">
        <v>4628</v>
      </c>
      <c r="Z1556" s="52" t="s">
        <v>408</v>
      </c>
      <c r="AA1556" s="52" t="s">
        <v>247</v>
      </c>
      <c r="AB1556" s="52" t="s">
        <v>247</v>
      </c>
      <c r="AC1556" s="52" t="s">
        <v>247</v>
      </c>
      <c r="AD1556" s="52" t="s">
        <v>1</v>
      </c>
      <c r="AE1556" s="52" t="s">
        <v>376</v>
      </c>
      <c r="AF1556" s="155" t="s">
        <v>247</v>
      </c>
      <c r="AG1556" s="155" t="s">
        <v>247</v>
      </c>
    </row>
    <row r="1557" spans="25:33">
      <c r="Y1557" s="47">
        <v>4629</v>
      </c>
      <c r="Z1557" s="52" t="s">
        <v>408</v>
      </c>
      <c r="AA1557" s="52" t="s">
        <v>247</v>
      </c>
      <c r="AB1557" s="52" t="s">
        <v>247</v>
      </c>
      <c r="AC1557" s="52" t="s">
        <v>247</v>
      </c>
      <c r="AD1557" s="52" t="s">
        <v>1</v>
      </c>
      <c r="AE1557" s="52" t="s">
        <v>376</v>
      </c>
      <c r="AF1557" s="155" t="s">
        <v>247</v>
      </c>
      <c r="AG1557" s="155" t="s">
        <v>247</v>
      </c>
    </row>
    <row r="1558" spans="25:33">
      <c r="Y1558" s="47">
        <v>4630</v>
      </c>
      <c r="Z1558" s="52" t="s">
        <v>408</v>
      </c>
      <c r="AA1558" s="52" t="s">
        <v>247</v>
      </c>
      <c r="AB1558" s="52" t="s">
        <v>247</v>
      </c>
      <c r="AC1558" s="52" t="s">
        <v>247</v>
      </c>
      <c r="AD1558" s="52" t="s">
        <v>1</v>
      </c>
      <c r="AE1558" s="52" t="s">
        <v>376</v>
      </c>
      <c r="AF1558" s="155" t="s">
        <v>247</v>
      </c>
      <c r="AG1558" s="155" t="s">
        <v>247</v>
      </c>
    </row>
    <row r="1559" spans="25:33">
      <c r="Y1559" s="47">
        <v>4631</v>
      </c>
      <c r="Z1559" s="52" t="s">
        <v>408</v>
      </c>
      <c r="AA1559" s="52" t="s">
        <v>247</v>
      </c>
      <c r="AB1559" s="52" t="s">
        <v>247</v>
      </c>
      <c r="AC1559" s="52" t="s">
        <v>247</v>
      </c>
      <c r="AD1559" s="52" t="s">
        <v>1</v>
      </c>
      <c r="AE1559" s="52" t="s">
        <v>376</v>
      </c>
      <c r="AF1559" s="155" t="s">
        <v>247</v>
      </c>
      <c r="AG1559" s="155" t="s">
        <v>247</v>
      </c>
    </row>
    <row r="1560" spans="25:33">
      <c r="Y1560" s="47">
        <v>4632</v>
      </c>
      <c r="Z1560" s="52" t="s">
        <v>408</v>
      </c>
      <c r="AA1560" s="52" t="s">
        <v>247</v>
      </c>
      <c r="AB1560" s="52" t="s">
        <v>247</v>
      </c>
      <c r="AC1560" s="52" t="s">
        <v>247</v>
      </c>
      <c r="AD1560" s="52" t="s">
        <v>1</v>
      </c>
      <c r="AE1560" s="52" t="s">
        <v>376</v>
      </c>
      <c r="AF1560" s="155" t="s">
        <v>247</v>
      </c>
      <c r="AG1560" s="155" t="s">
        <v>247</v>
      </c>
    </row>
    <row r="1561" spans="25:33">
      <c r="Y1561" s="47">
        <v>4633</v>
      </c>
      <c r="Z1561" s="52" t="s">
        <v>408</v>
      </c>
      <c r="AA1561" s="52" t="s">
        <v>247</v>
      </c>
      <c r="AB1561" s="52" t="s">
        <v>247</v>
      </c>
      <c r="AC1561" s="52" t="s">
        <v>247</v>
      </c>
      <c r="AD1561" s="52" t="s">
        <v>1</v>
      </c>
      <c r="AE1561" s="52" t="s">
        <v>376</v>
      </c>
      <c r="AF1561" s="155" t="s">
        <v>247</v>
      </c>
      <c r="AG1561" s="155" t="s">
        <v>247</v>
      </c>
    </row>
    <row r="1562" spans="25:33">
      <c r="Y1562" s="47">
        <v>4634</v>
      </c>
      <c r="Z1562" s="52" t="s">
        <v>408</v>
      </c>
      <c r="AA1562" s="52" t="s">
        <v>247</v>
      </c>
      <c r="AB1562" s="52" t="s">
        <v>247</v>
      </c>
      <c r="AC1562" s="52" t="s">
        <v>247</v>
      </c>
      <c r="AD1562" s="52" t="s">
        <v>1</v>
      </c>
      <c r="AE1562" s="52" t="s">
        <v>376</v>
      </c>
      <c r="AF1562" s="155" t="s">
        <v>247</v>
      </c>
      <c r="AG1562" s="155" t="s">
        <v>247</v>
      </c>
    </row>
    <row r="1563" spans="25:33">
      <c r="Y1563" s="47">
        <v>4635</v>
      </c>
      <c r="Z1563" s="52" t="s">
        <v>408</v>
      </c>
      <c r="AA1563" s="52" t="s">
        <v>247</v>
      </c>
      <c r="AB1563" s="52" t="s">
        <v>247</v>
      </c>
      <c r="AC1563" s="52" t="s">
        <v>247</v>
      </c>
      <c r="AD1563" s="52" t="s">
        <v>1</v>
      </c>
      <c r="AE1563" s="52" t="s">
        <v>376</v>
      </c>
      <c r="AF1563" s="155" t="s">
        <v>247</v>
      </c>
      <c r="AG1563" s="155" t="s">
        <v>247</v>
      </c>
    </row>
    <row r="1564" spans="25:33">
      <c r="Y1564" s="47">
        <v>4636</v>
      </c>
      <c r="Z1564" s="52" t="s">
        <v>408</v>
      </c>
      <c r="AA1564" s="52" t="s">
        <v>247</v>
      </c>
      <c r="AB1564" s="52" t="s">
        <v>247</v>
      </c>
      <c r="AC1564" s="52" t="s">
        <v>247</v>
      </c>
      <c r="AD1564" s="52" t="s">
        <v>1</v>
      </c>
      <c r="AE1564" s="52" t="s">
        <v>376</v>
      </c>
      <c r="AF1564" s="155" t="s">
        <v>247</v>
      </c>
      <c r="AG1564" s="155" t="s">
        <v>247</v>
      </c>
    </row>
    <row r="1565" spans="25:33">
      <c r="Y1565" s="47">
        <v>4637</v>
      </c>
      <c r="Z1565" s="52" t="s">
        <v>408</v>
      </c>
      <c r="AA1565" s="52" t="s">
        <v>247</v>
      </c>
      <c r="AB1565" s="52" t="s">
        <v>247</v>
      </c>
      <c r="AC1565" s="52" t="s">
        <v>247</v>
      </c>
      <c r="AD1565" s="52" t="s">
        <v>1</v>
      </c>
      <c r="AE1565" s="52" t="s">
        <v>376</v>
      </c>
      <c r="AF1565" s="155" t="s">
        <v>247</v>
      </c>
      <c r="AG1565" s="155" t="s">
        <v>247</v>
      </c>
    </row>
    <row r="1566" spans="25:33">
      <c r="Y1566" s="47">
        <v>4638</v>
      </c>
      <c r="Z1566" s="52" t="s">
        <v>408</v>
      </c>
      <c r="AA1566" s="52" t="s">
        <v>247</v>
      </c>
      <c r="AB1566" s="52" t="s">
        <v>247</v>
      </c>
      <c r="AC1566" s="52" t="s">
        <v>247</v>
      </c>
      <c r="AD1566" s="52" t="s">
        <v>1</v>
      </c>
      <c r="AE1566" s="52" t="s">
        <v>376</v>
      </c>
      <c r="AF1566" s="155" t="s">
        <v>247</v>
      </c>
      <c r="AG1566" s="155" t="s">
        <v>247</v>
      </c>
    </row>
    <row r="1567" spans="25:33">
      <c r="Y1567" s="47">
        <v>4639</v>
      </c>
      <c r="Z1567" s="52" t="s">
        <v>408</v>
      </c>
      <c r="AA1567" s="52" t="s">
        <v>247</v>
      </c>
      <c r="AB1567" s="52" t="s">
        <v>247</v>
      </c>
      <c r="AC1567" s="52" t="s">
        <v>247</v>
      </c>
      <c r="AD1567" s="52" t="s">
        <v>1</v>
      </c>
      <c r="AE1567" s="52" t="s">
        <v>376</v>
      </c>
      <c r="AF1567" s="155" t="s">
        <v>247</v>
      </c>
      <c r="AG1567" s="155" t="s">
        <v>247</v>
      </c>
    </row>
    <row r="1568" spans="25:33">
      <c r="Y1568" s="47">
        <v>4640</v>
      </c>
      <c r="Z1568" s="52" t="s">
        <v>408</v>
      </c>
      <c r="AA1568" s="52" t="s">
        <v>247</v>
      </c>
      <c r="AB1568" s="52" t="s">
        <v>247</v>
      </c>
      <c r="AC1568" s="52" t="s">
        <v>247</v>
      </c>
      <c r="AD1568" s="52" t="s">
        <v>1</v>
      </c>
      <c r="AE1568" s="52" t="s">
        <v>376</v>
      </c>
      <c r="AF1568" s="155" t="s">
        <v>247</v>
      </c>
      <c r="AG1568" s="155" t="s">
        <v>247</v>
      </c>
    </row>
    <row r="1569" spans="25:33">
      <c r="Y1569" s="47">
        <v>4641</v>
      </c>
      <c r="Z1569" s="52" t="s">
        <v>408</v>
      </c>
      <c r="AA1569" s="52" t="s">
        <v>247</v>
      </c>
      <c r="AB1569" s="52" t="s">
        <v>247</v>
      </c>
      <c r="AC1569" s="52" t="s">
        <v>247</v>
      </c>
      <c r="AD1569" s="52" t="s">
        <v>1</v>
      </c>
      <c r="AE1569" s="52" t="s">
        <v>376</v>
      </c>
      <c r="AF1569" s="155" t="s">
        <v>247</v>
      </c>
      <c r="AG1569" s="155" t="s">
        <v>247</v>
      </c>
    </row>
    <row r="1570" spans="25:33">
      <c r="Y1570" s="47">
        <v>4642</v>
      </c>
      <c r="Z1570" s="52" t="s">
        <v>408</v>
      </c>
      <c r="AA1570" s="52" t="s">
        <v>247</v>
      </c>
      <c r="AB1570" s="52" t="s">
        <v>247</v>
      </c>
      <c r="AC1570" s="52" t="s">
        <v>247</v>
      </c>
      <c r="AD1570" s="52" t="s">
        <v>1</v>
      </c>
      <c r="AE1570" s="52" t="s">
        <v>376</v>
      </c>
      <c r="AF1570" s="155" t="s">
        <v>247</v>
      </c>
      <c r="AG1570" s="155" t="s">
        <v>247</v>
      </c>
    </row>
    <row r="1571" spans="25:33">
      <c r="Y1571" s="47">
        <v>4643</v>
      </c>
      <c r="Z1571" s="52" t="s">
        <v>408</v>
      </c>
      <c r="AA1571" s="52" t="s">
        <v>247</v>
      </c>
      <c r="AB1571" s="52" t="s">
        <v>247</v>
      </c>
      <c r="AC1571" s="52" t="s">
        <v>247</v>
      </c>
      <c r="AD1571" s="52" t="s">
        <v>1</v>
      </c>
      <c r="AE1571" s="52" t="s">
        <v>376</v>
      </c>
      <c r="AF1571" s="155" t="s">
        <v>247</v>
      </c>
      <c r="AG1571" s="155" t="s">
        <v>247</v>
      </c>
    </row>
    <row r="1572" spans="25:33">
      <c r="Y1572" s="47">
        <v>4644</v>
      </c>
      <c r="Z1572" s="52" t="s">
        <v>408</v>
      </c>
      <c r="AA1572" s="52" t="s">
        <v>247</v>
      </c>
      <c r="AB1572" s="52" t="s">
        <v>247</v>
      </c>
      <c r="AC1572" s="52" t="s">
        <v>247</v>
      </c>
      <c r="AD1572" s="52" t="s">
        <v>1</v>
      </c>
      <c r="AE1572" s="52" t="s">
        <v>376</v>
      </c>
      <c r="AF1572" s="155" t="s">
        <v>247</v>
      </c>
      <c r="AG1572" s="155" t="s">
        <v>247</v>
      </c>
    </row>
    <row r="1573" spans="25:33">
      <c r="Y1573" s="47">
        <v>4645</v>
      </c>
      <c r="Z1573" s="52" t="s">
        <v>408</v>
      </c>
      <c r="AA1573" s="52" t="s">
        <v>247</v>
      </c>
      <c r="AB1573" s="52" t="s">
        <v>247</v>
      </c>
      <c r="AC1573" s="52" t="s">
        <v>247</v>
      </c>
      <c r="AD1573" s="52" t="s">
        <v>1</v>
      </c>
      <c r="AE1573" s="52" t="s">
        <v>376</v>
      </c>
      <c r="AF1573" s="155" t="s">
        <v>247</v>
      </c>
      <c r="AG1573" s="155" t="s">
        <v>247</v>
      </c>
    </row>
    <row r="1574" spans="25:33">
      <c r="Y1574" s="47">
        <v>4646</v>
      </c>
      <c r="Z1574" s="52" t="s">
        <v>408</v>
      </c>
      <c r="AA1574" s="52" t="s">
        <v>247</v>
      </c>
      <c r="AB1574" s="52" t="s">
        <v>247</v>
      </c>
      <c r="AC1574" s="52" t="s">
        <v>247</v>
      </c>
      <c r="AD1574" s="52" t="s">
        <v>1</v>
      </c>
      <c r="AE1574" s="52" t="s">
        <v>376</v>
      </c>
      <c r="AF1574" s="155" t="s">
        <v>247</v>
      </c>
      <c r="AG1574" s="155" t="s">
        <v>247</v>
      </c>
    </row>
    <row r="1575" spans="25:33">
      <c r="Y1575" s="47">
        <v>4647</v>
      </c>
      <c r="Z1575" s="52" t="s">
        <v>408</v>
      </c>
      <c r="AA1575" s="52" t="s">
        <v>247</v>
      </c>
      <c r="AB1575" s="52" t="s">
        <v>247</v>
      </c>
      <c r="AC1575" s="52" t="s">
        <v>247</v>
      </c>
      <c r="AD1575" s="52" t="s">
        <v>1</v>
      </c>
      <c r="AE1575" s="52" t="s">
        <v>376</v>
      </c>
      <c r="AF1575" s="155" t="s">
        <v>247</v>
      </c>
      <c r="AG1575" s="155" t="s">
        <v>247</v>
      </c>
    </row>
    <row r="1576" spans="25:33">
      <c r="Y1576" s="47">
        <v>4648</v>
      </c>
      <c r="Z1576" s="52" t="s">
        <v>408</v>
      </c>
      <c r="AA1576" s="52" t="s">
        <v>247</v>
      </c>
      <c r="AB1576" s="52" t="s">
        <v>247</v>
      </c>
      <c r="AC1576" s="52" t="s">
        <v>247</v>
      </c>
      <c r="AD1576" s="52" t="s">
        <v>1</v>
      </c>
      <c r="AE1576" s="52" t="s">
        <v>376</v>
      </c>
      <c r="AF1576" s="155" t="s">
        <v>247</v>
      </c>
      <c r="AG1576" s="155" t="s">
        <v>247</v>
      </c>
    </row>
    <row r="1577" spans="25:33">
      <c r="Y1577" s="47">
        <v>4649</v>
      </c>
      <c r="Z1577" s="52" t="s">
        <v>408</v>
      </c>
      <c r="AA1577" s="52" t="s">
        <v>247</v>
      </c>
      <c r="AB1577" s="52" t="s">
        <v>247</v>
      </c>
      <c r="AC1577" s="52" t="s">
        <v>247</v>
      </c>
      <c r="AD1577" s="52" t="s">
        <v>1</v>
      </c>
      <c r="AE1577" s="52" t="s">
        <v>376</v>
      </c>
      <c r="AF1577" s="155" t="s">
        <v>247</v>
      </c>
      <c r="AG1577" s="155" t="s">
        <v>247</v>
      </c>
    </row>
    <row r="1578" spans="25:33">
      <c r="Y1578" s="47">
        <v>4650</v>
      </c>
      <c r="Z1578" s="52" t="s">
        <v>408</v>
      </c>
      <c r="AA1578" s="52" t="s">
        <v>247</v>
      </c>
      <c r="AB1578" s="52" t="s">
        <v>247</v>
      </c>
      <c r="AC1578" s="52" t="s">
        <v>247</v>
      </c>
      <c r="AD1578" s="52" t="s">
        <v>1</v>
      </c>
      <c r="AE1578" s="52" t="s">
        <v>376</v>
      </c>
      <c r="AF1578" s="155" t="s">
        <v>247</v>
      </c>
      <c r="AG1578" s="155" t="s">
        <v>247</v>
      </c>
    </row>
    <row r="1579" spans="25:33">
      <c r="Y1579" s="47">
        <v>4651</v>
      </c>
      <c r="Z1579" s="52" t="s">
        <v>408</v>
      </c>
      <c r="AA1579" s="52" t="s">
        <v>247</v>
      </c>
      <c r="AB1579" s="52" t="s">
        <v>247</v>
      </c>
      <c r="AC1579" s="52" t="s">
        <v>247</v>
      </c>
      <c r="AD1579" s="52" t="s">
        <v>1</v>
      </c>
      <c r="AE1579" s="52" t="s">
        <v>376</v>
      </c>
      <c r="AF1579" s="155" t="s">
        <v>247</v>
      </c>
      <c r="AG1579" s="155" t="s">
        <v>247</v>
      </c>
    </row>
    <row r="1580" spans="25:33">
      <c r="Y1580" s="47">
        <v>4652</v>
      </c>
      <c r="Z1580" s="52" t="s">
        <v>408</v>
      </c>
      <c r="AA1580" s="52" t="s">
        <v>247</v>
      </c>
      <c r="AB1580" s="52" t="s">
        <v>247</v>
      </c>
      <c r="AC1580" s="52" t="s">
        <v>247</v>
      </c>
      <c r="AD1580" s="52" t="s">
        <v>1</v>
      </c>
      <c r="AE1580" s="52" t="s">
        <v>376</v>
      </c>
      <c r="AF1580" s="155" t="s">
        <v>247</v>
      </c>
      <c r="AG1580" s="155" t="s">
        <v>247</v>
      </c>
    </row>
    <row r="1581" spans="25:33">
      <c r="Y1581" s="47">
        <v>4653</v>
      </c>
      <c r="Z1581" s="52" t="s">
        <v>408</v>
      </c>
      <c r="AA1581" s="52" t="s">
        <v>247</v>
      </c>
      <c r="AB1581" s="52" t="s">
        <v>247</v>
      </c>
      <c r="AC1581" s="52" t="s">
        <v>247</v>
      </c>
      <c r="AD1581" s="52" t="s">
        <v>1</v>
      </c>
      <c r="AE1581" s="52" t="s">
        <v>376</v>
      </c>
      <c r="AF1581" s="155" t="s">
        <v>247</v>
      </c>
      <c r="AG1581" s="155" t="s">
        <v>247</v>
      </c>
    </row>
    <row r="1582" spans="25:33">
      <c r="Y1582" s="47">
        <v>4654</v>
      </c>
      <c r="Z1582" s="52" t="s">
        <v>408</v>
      </c>
      <c r="AA1582" s="52" t="s">
        <v>247</v>
      </c>
      <c r="AB1582" s="52" t="s">
        <v>247</v>
      </c>
      <c r="AC1582" s="52" t="s">
        <v>247</v>
      </c>
      <c r="AD1582" s="52" t="s">
        <v>1</v>
      </c>
      <c r="AE1582" s="52" t="s">
        <v>376</v>
      </c>
      <c r="AF1582" s="155" t="s">
        <v>247</v>
      </c>
      <c r="AG1582" s="155" t="s">
        <v>247</v>
      </c>
    </row>
    <row r="1583" spans="25:33">
      <c r="Y1583" s="47">
        <v>4655</v>
      </c>
      <c r="Z1583" s="52" t="s">
        <v>408</v>
      </c>
      <c r="AA1583" s="52" t="s">
        <v>247</v>
      </c>
      <c r="AB1583" s="52" t="s">
        <v>247</v>
      </c>
      <c r="AC1583" s="52" t="s">
        <v>247</v>
      </c>
      <c r="AD1583" s="52" t="s">
        <v>1</v>
      </c>
      <c r="AE1583" s="52" t="s">
        <v>376</v>
      </c>
      <c r="AF1583" s="155" t="s">
        <v>247</v>
      </c>
      <c r="AG1583" s="155" t="s">
        <v>247</v>
      </c>
    </row>
    <row r="1584" spans="25:33">
      <c r="Y1584" s="47">
        <v>4656</v>
      </c>
      <c r="Z1584" s="52" t="s">
        <v>408</v>
      </c>
      <c r="AA1584" s="52" t="s">
        <v>247</v>
      </c>
      <c r="AB1584" s="52" t="s">
        <v>247</v>
      </c>
      <c r="AC1584" s="52" t="s">
        <v>247</v>
      </c>
      <c r="AD1584" s="52" t="s">
        <v>1</v>
      </c>
      <c r="AE1584" s="52" t="s">
        <v>376</v>
      </c>
      <c r="AF1584" s="155" t="s">
        <v>247</v>
      </c>
      <c r="AG1584" s="155" t="s">
        <v>247</v>
      </c>
    </row>
    <row r="1585" spans="25:33">
      <c r="Y1585" s="47">
        <v>4657</v>
      </c>
      <c r="Z1585" s="52" t="s">
        <v>408</v>
      </c>
      <c r="AA1585" s="52" t="s">
        <v>247</v>
      </c>
      <c r="AB1585" s="52" t="s">
        <v>247</v>
      </c>
      <c r="AC1585" s="52" t="s">
        <v>247</v>
      </c>
      <c r="AD1585" s="52" t="s">
        <v>1</v>
      </c>
      <c r="AE1585" s="52" t="s">
        <v>376</v>
      </c>
      <c r="AF1585" s="155" t="s">
        <v>247</v>
      </c>
      <c r="AG1585" s="155" t="s">
        <v>247</v>
      </c>
    </row>
    <row r="1586" spans="25:33">
      <c r="Y1586" s="47">
        <v>4658</v>
      </c>
      <c r="Z1586" s="52" t="s">
        <v>408</v>
      </c>
      <c r="AA1586" s="52" t="s">
        <v>247</v>
      </c>
      <c r="AB1586" s="52" t="s">
        <v>247</v>
      </c>
      <c r="AC1586" s="52" t="s">
        <v>247</v>
      </c>
      <c r="AD1586" s="52" t="s">
        <v>1</v>
      </c>
      <c r="AE1586" s="52" t="s">
        <v>376</v>
      </c>
      <c r="AF1586" s="155" t="s">
        <v>247</v>
      </c>
      <c r="AG1586" s="155" t="s">
        <v>247</v>
      </c>
    </row>
    <row r="1587" spans="25:33">
      <c r="Y1587" s="47">
        <v>4659</v>
      </c>
      <c r="Z1587" s="52" t="s">
        <v>408</v>
      </c>
      <c r="AA1587" s="52" t="s">
        <v>247</v>
      </c>
      <c r="AB1587" s="52" t="s">
        <v>247</v>
      </c>
      <c r="AC1587" s="52" t="s">
        <v>247</v>
      </c>
      <c r="AD1587" s="52" t="s">
        <v>1</v>
      </c>
      <c r="AE1587" s="52" t="s">
        <v>376</v>
      </c>
      <c r="AF1587" s="155" t="s">
        <v>247</v>
      </c>
      <c r="AG1587" s="155" t="s">
        <v>247</v>
      </c>
    </row>
    <row r="1588" spans="25:33">
      <c r="Y1588" s="47">
        <v>4660</v>
      </c>
      <c r="Z1588" s="52" t="s">
        <v>408</v>
      </c>
      <c r="AA1588" s="52" t="s">
        <v>247</v>
      </c>
      <c r="AB1588" s="52" t="s">
        <v>247</v>
      </c>
      <c r="AC1588" s="52" t="s">
        <v>247</v>
      </c>
      <c r="AD1588" s="52" t="s">
        <v>1</v>
      </c>
      <c r="AE1588" s="52" t="s">
        <v>376</v>
      </c>
      <c r="AF1588" s="155" t="s">
        <v>247</v>
      </c>
      <c r="AG1588" s="155" t="s">
        <v>247</v>
      </c>
    </row>
    <row r="1589" spans="25:33">
      <c r="Y1589" s="47">
        <v>4661</v>
      </c>
      <c r="Z1589" s="52" t="s">
        <v>408</v>
      </c>
      <c r="AA1589" s="52" t="s">
        <v>247</v>
      </c>
      <c r="AB1589" s="52" t="s">
        <v>247</v>
      </c>
      <c r="AC1589" s="52" t="s">
        <v>247</v>
      </c>
      <c r="AD1589" s="52" t="s">
        <v>1</v>
      </c>
      <c r="AE1589" s="52" t="s">
        <v>376</v>
      </c>
      <c r="AF1589" s="155" t="s">
        <v>247</v>
      </c>
      <c r="AG1589" s="155" t="s">
        <v>247</v>
      </c>
    </row>
    <row r="1590" spans="25:33">
      <c r="Y1590" s="47">
        <v>4662</v>
      </c>
      <c r="Z1590" s="52" t="s">
        <v>408</v>
      </c>
      <c r="AA1590" s="52" t="s">
        <v>247</v>
      </c>
      <c r="AB1590" s="52" t="s">
        <v>247</v>
      </c>
      <c r="AC1590" s="52" t="s">
        <v>247</v>
      </c>
      <c r="AD1590" s="52" t="s">
        <v>1</v>
      </c>
      <c r="AE1590" s="52" t="s">
        <v>376</v>
      </c>
      <c r="AF1590" s="155" t="s">
        <v>247</v>
      </c>
      <c r="AG1590" s="155" t="s">
        <v>247</v>
      </c>
    </row>
    <row r="1591" spans="25:33">
      <c r="Y1591" s="47">
        <v>4663</v>
      </c>
      <c r="Z1591" s="52" t="s">
        <v>408</v>
      </c>
      <c r="AA1591" s="52" t="s">
        <v>247</v>
      </c>
      <c r="AB1591" s="52" t="s">
        <v>247</v>
      </c>
      <c r="AC1591" s="52" t="s">
        <v>247</v>
      </c>
      <c r="AD1591" s="52" t="s">
        <v>1</v>
      </c>
      <c r="AE1591" s="52" t="s">
        <v>376</v>
      </c>
      <c r="AF1591" s="155" t="s">
        <v>247</v>
      </c>
      <c r="AG1591" s="155" t="s">
        <v>247</v>
      </c>
    </row>
    <row r="1592" spans="25:33">
      <c r="Y1592" s="47">
        <v>4664</v>
      </c>
      <c r="Z1592" s="52" t="s">
        <v>408</v>
      </c>
      <c r="AA1592" s="52" t="s">
        <v>247</v>
      </c>
      <c r="AB1592" s="52" t="s">
        <v>247</v>
      </c>
      <c r="AC1592" s="52" t="s">
        <v>247</v>
      </c>
      <c r="AD1592" s="52" t="s">
        <v>1</v>
      </c>
      <c r="AE1592" s="52" t="s">
        <v>376</v>
      </c>
      <c r="AF1592" s="155" t="s">
        <v>247</v>
      </c>
      <c r="AG1592" s="155" t="s">
        <v>247</v>
      </c>
    </row>
    <row r="1593" spans="25:33">
      <c r="Y1593" s="47">
        <v>4665</v>
      </c>
      <c r="Z1593" s="52" t="s">
        <v>408</v>
      </c>
      <c r="AA1593" s="52" t="s">
        <v>247</v>
      </c>
      <c r="AB1593" s="52" t="s">
        <v>247</v>
      </c>
      <c r="AC1593" s="52" t="s">
        <v>247</v>
      </c>
      <c r="AD1593" s="52" t="s">
        <v>1</v>
      </c>
      <c r="AE1593" s="52" t="s">
        <v>376</v>
      </c>
      <c r="AF1593" s="155" t="s">
        <v>247</v>
      </c>
      <c r="AG1593" s="155" t="s">
        <v>247</v>
      </c>
    </row>
    <row r="1594" spans="25:33">
      <c r="Y1594" s="47">
        <v>4666</v>
      </c>
      <c r="Z1594" s="52" t="s">
        <v>408</v>
      </c>
      <c r="AA1594" s="52" t="s">
        <v>247</v>
      </c>
      <c r="AB1594" s="52" t="s">
        <v>247</v>
      </c>
      <c r="AC1594" s="52" t="s">
        <v>247</v>
      </c>
      <c r="AD1594" s="52" t="s">
        <v>1</v>
      </c>
      <c r="AE1594" s="52" t="s">
        <v>376</v>
      </c>
      <c r="AF1594" s="155" t="s">
        <v>247</v>
      </c>
      <c r="AG1594" s="155" t="s">
        <v>247</v>
      </c>
    </row>
    <row r="1595" spans="25:33">
      <c r="Y1595" s="47">
        <v>4667</v>
      </c>
      <c r="Z1595" s="52" t="s">
        <v>408</v>
      </c>
      <c r="AA1595" s="52" t="s">
        <v>247</v>
      </c>
      <c r="AB1595" s="52" t="s">
        <v>247</v>
      </c>
      <c r="AC1595" s="52" t="s">
        <v>247</v>
      </c>
      <c r="AD1595" s="52" t="s">
        <v>1</v>
      </c>
      <c r="AE1595" s="52" t="s">
        <v>376</v>
      </c>
      <c r="AF1595" s="155" t="s">
        <v>247</v>
      </c>
      <c r="AG1595" s="155" t="s">
        <v>247</v>
      </c>
    </row>
    <row r="1596" spans="25:33">
      <c r="Y1596" s="47">
        <v>4668</v>
      </c>
      <c r="Z1596" s="52" t="s">
        <v>408</v>
      </c>
      <c r="AA1596" s="52" t="s">
        <v>247</v>
      </c>
      <c r="AB1596" s="52" t="s">
        <v>247</v>
      </c>
      <c r="AC1596" s="52" t="s">
        <v>247</v>
      </c>
      <c r="AD1596" s="52" t="s">
        <v>1</v>
      </c>
      <c r="AE1596" s="52" t="s">
        <v>376</v>
      </c>
      <c r="AF1596" s="155" t="s">
        <v>247</v>
      </c>
      <c r="AG1596" s="155" t="s">
        <v>247</v>
      </c>
    </row>
    <row r="1597" spans="25:33">
      <c r="Y1597" s="47">
        <v>4669</v>
      </c>
      <c r="Z1597" s="52" t="s">
        <v>408</v>
      </c>
      <c r="AA1597" s="52" t="s">
        <v>247</v>
      </c>
      <c r="AB1597" s="52" t="s">
        <v>247</v>
      </c>
      <c r="AC1597" s="52" t="s">
        <v>247</v>
      </c>
      <c r="AD1597" s="52" t="s">
        <v>1</v>
      </c>
      <c r="AE1597" s="52" t="s">
        <v>376</v>
      </c>
      <c r="AF1597" s="155" t="s">
        <v>247</v>
      </c>
      <c r="AG1597" s="155" t="s">
        <v>247</v>
      </c>
    </row>
    <row r="1598" spans="25:33">
      <c r="Y1598" s="47">
        <v>4670</v>
      </c>
      <c r="Z1598" s="52" t="s">
        <v>408</v>
      </c>
      <c r="AA1598" s="52" t="s">
        <v>247</v>
      </c>
      <c r="AB1598" s="52" t="s">
        <v>247</v>
      </c>
      <c r="AC1598" s="52" t="s">
        <v>247</v>
      </c>
      <c r="AD1598" s="52" t="s">
        <v>1</v>
      </c>
      <c r="AE1598" s="52" t="s">
        <v>376</v>
      </c>
      <c r="AF1598" s="155" t="s">
        <v>247</v>
      </c>
      <c r="AG1598" s="155" t="s">
        <v>247</v>
      </c>
    </row>
    <row r="1599" spans="25:33">
      <c r="Y1599" s="47">
        <v>4671</v>
      </c>
      <c r="Z1599" s="52" t="s">
        <v>408</v>
      </c>
      <c r="AA1599" s="52" t="s">
        <v>247</v>
      </c>
      <c r="AB1599" s="52" t="s">
        <v>247</v>
      </c>
      <c r="AC1599" s="52" t="s">
        <v>247</v>
      </c>
      <c r="AD1599" s="52" t="s">
        <v>1</v>
      </c>
      <c r="AE1599" s="52" t="s">
        <v>376</v>
      </c>
      <c r="AF1599" s="155" t="s">
        <v>247</v>
      </c>
      <c r="AG1599" s="155" t="s">
        <v>247</v>
      </c>
    </row>
    <row r="1600" spans="25:33">
      <c r="Y1600" s="47">
        <v>4672</v>
      </c>
      <c r="Z1600" s="52" t="s">
        <v>408</v>
      </c>
      <c r="AA1600" s="52" t="s">
        <v>247</v>
      </c>
      <c r="AB1600" s="52" t="s">
        <v>247</v>
      </c>
      <c r="AC1600" s="52" t="s">
        <v>247</v>
      </c>
      <c r="AD1600" s="52" t="s">
        <v>1</v>
      </c>
      <c r="AE1600" s="52" t="s">
        <v>376</v>
      </c>
      <c r="AF1600" s="155" t="s">
        <v>247</v>
      </c>
      <c r="AG1600" s="155" t="s">
        <v>247</v>
      </c>
    </row>
    <row r="1601" spans="25:33">
      <c r="Y1601" s="47">
        <v>4673</v>
      </c>
      <c r="Z1601" s="52" t="s">
        <v>408</v>
      </c>
      <c r="AA1601" s="52" t="s">
        <v>247</v>
      </c>
      <c r="AB1601" s="52" t="s">
        <v>247</v>
      </c>
      <c r="AC1601" s="52" t="s">
        <v>247</v>
      </c>
      <c r="AD1601" s="52" t="s">
        <v>1</v>
      </c>
      <c r="AE1601" s="52" t="s">
        <v>376</v>
      </c>
      <c r="AF1601" s="155" t="s">
        <v>247</v>
      </c>
      <c r="AG1601" s="155" t="s">
        <v>247</v>
      </c>
    </row>
    <row r="1602" spans="25:33">
      <c r="Y1602" s="47">
        <v>4674</v>
      </c>
      <c r="Z1602" s="52" t="s">
        <v>408</v>
      </c>
      <c r="AA1602" s="52" t="s">
        <v>247</v>
      </c>
      <c r="AB1602" s="52" t="s">
        <v>247</v>
      </c>
      <c r="AC1602" s="52" t="s">
        <v>247</v>
      </c>
      <c r="AD1602" s="52" t="s">
        <v>1</v>
      </c>
      <c r="AE1602" s="52" t="s">
        <v>376</v>
      </c>
      <c r="AF1602" s="155" t="s">
        <v>247</v>
      </c>
      <c r="AG1602" s="155" t="s">
        <v>247</v>
      </c>
    </row>
    <row r="1603" spans="25:33">
      <c r="Y1603" s="47">
        <v>4675</v>
      </c>
      <c r="Z1603" s="52" t="s">
        <v>408</v>
      </c>
      <c r="AA1603" s="52" t="s">
        <v>247</v>
      </c>
      <c r="AB1603" s="52" t="s">
        <v>247</v>
      </c>
      <c r="AC1603" s="52" t="s">
        <v>247</v>
      </c>
      <c r="AD1603" s="52" t="s">
        <v>1</v>
      </c>
      <c r="AE1603" s="52" t="s">
        <v>376</v>
      </c>
      <c r="AF1603" s="155" t="s">
        <v>247</v>
      </c>
      <c r="AG1603" s="155" t="s">
        <v>247</v>
      </c>
    </row>
    <row r="1604" spans="25:33">
      <c r="Y1604" s="47">
        <v>4676</v>
      </c>
      <c r="Z1604" s="52" t="s">
        <v>408</v>
      </c>
      <c r="AA1604" s="52" t="s">
        <v>247</v>
      </c>
      <c r="AB1604" s="52" t="s">
        <v>247</v>
      </c>
      <c r="AC1604" s="52" t="s">
        <v>247</v>
      </c>
      <c r="AD1604" s="52" t="s">
        <v>1</v>
      </c>
      <c r="AE1604" s="52" t="s">
        <v>376</v>
      </c>
      <c r="AF1604" s="155" t="s">
        <v>247</v>
      </c>
      <c r="AG1604" s="155" t="s">
        <v>247</v>
      </c>
    </row>
    <row r="1605" spans="25:33">
      <c r="Y1605" s="47">
        <v>4677</v>
      </c>
      <c r="Z1605" s="52" t="s">
        <v>408</v>
      </c>
      <c r="AA1605" s="52" t="s">
        <v>247</v>
      </c>
      <c r="AB1605" s="52" t="s">
        <v>247</v>
      </c>
      <c r="AC1605" s="52" t="s">
        <v>247</v>
      </c>
      <c r="AD1605" s="52" t="s">
        <v>1</v>
      </c>
      <c r="AE1605" s="52" t="s">
        <v>376</v>
      </c>
      <c r="AF1605" s="155" t="s">
        <v>247</v>
      </c>
      <c r="AG1605" s="155" t="s">
        <v>247</v>
      </c>
    </row>
    <row r="1606" spans="25:33">
      <c r="Y1606" s="47">
        <v>4678</v>
      </c>
      <c r="Z1606" s="52" t="s">
        <v>408</v>
      </c>
      <c r="AA1606" s="52" t="s">
        <v>247</v>
      </c>
      <c r="AB1606" s="52" t="s">
        <v>247</v>
      </c>
      <c r="AC1606" s="52" t="s">
        <v>247</v>
      </c>
      <c r="AD1606" s="52" t="s">
        <v>1</v>
      </c>
      <c r="AE1606" s="52" t="s">
        <v>376</v>
      </c>
      <c r="AF1606" s="155" t="s">
        <v>247</v>
      </c>
      <c r="AG1606" s="155" t="s">
        <v>247</v>
      </c>
    </row>
    <row r="1607" spans="25:33">
      <c r="Y1607" s="47">
        <v>4679</v>
      </c>
      <c r="Z1607" s="52" t="s">
        <v>408</v>
      </c>
      <c r="AA1607" s="52" t="s">
        <v>247</v>
      </c>
      <c r="AB1607" s="52" t="s">
        <v>247</v>
      </c>
      <c r="AC1607" s="52" t="s">
        <v>247</v>
      </c>
      <c r="AD1607" s="52" t="s">
        <v>1</v>
      </c>
      <c r="AE1607" s="52" t="s">
        <v>376</v>
      </c>
      <c r="AF1607" s="155" t="s">
        <v>247</v>
      </c>
      <c r="AG1607" s="155" t="s">
        <v>247</v>
      </c>
    </row>
    <row r="1608" spans="25:33">
      <c r="Y1608" s="47">
        <v>4680</v>
      </c>
      <c r="Z1608" s="52" t="s">
        <v>408</v>
      </c>
      <c r="AA1608" s="52" t="s">
        <v>247</v>
      </c>
      <c r="AB1608" s="52" t="s">
        <v>247</v>
      </c>
      <c r="AC1608" s="52" t="s">
        <v>247</v>
      </c>
      <c r="AD1608" s="52" t="s">
        <v>1</v>
      </c>
      <c r="AE1608" s="52" t="s">
        <v>376</v>
      </c>
      <c r="AF1608" s="155" t="s">
        <v>247</v>
      </c>
      <c r="AG1608" s="155" t="s">
        <v>247</v>
      </c>
    </row>
    <row r="1609" spans="25:33">
      <c r="Y1609" s="47">
        <v>4681</v>
      </c>
      <c r="Z1609" s="52" t="s">
        <v>408</v>
      </c>
      <c r="AA1609" s="52" t="s">
        <v>247</v>
      </c>
      <c r="AB1609" s="52" t="s">
        <v>247</v>
      </c>
      <c r="AC1609" s="52" t="s">
        <v>247</v>
      </c>
      <c r="AD1609" s="52" t="s">
        <v>1</v>
      </c>
      <c r="AE1609" s="52" t="s">
        <v>376</v>
      </c>
      <c r="AF1609" s="155" t="s">
        <v>247</v>
      </c>
      <c r="AG1609" s="155" t="s">
        <v>247</v>
      </c>
    </row>
    <row r="1610" spans="25:33">
      <c r="Y1610" s="47">
        <v>4682</v>
      </c>
      <c r="Z1610" s="52" t="s">
        <v>408</v>
      </c>
      <c r="AA1610" s="52" t="s">
        <v>247</v>
      </c>
      <c r="AB1610" s="52" t="s">
        <v>247</v>
      </c>
      <c r="AC1610" s="52" t="s">
        <v>247</v>
      </c>
      <c r="AD1610" s="52" t="s">
        <v>1</v>
      </c>
      <c r="AE1610" s="52" t="s">
        <v>376</v>
      </c>
      <c r="AF1610" s="155" t="s">
        <v>247</v>
      </c>
      <c r="AG1610" s="155" t="s">
        <v>247</v>
      </c>
    </row>
    <row r="1611" spans="25:33">
      <c r="Y1611" s="47">
        <v>4683</v>
      </c>
      <c r="Z1611" s="52" t="s">
        <v>408</v>
      </c>
      <c r="AA1611" s="52" t="s">
        <v>247</v>
      </c>
      <c r="AB1611" s="52" t="s">
        <v>247</v>
      </c>
      <c r="AC1611" s="52" t="s">
        <v>247</v>
      </c>
      <c r="AD1611" s="52" t="s">
        <v>1</v>
      </c>
      <c r="AE1611" s="52" t="s">
        <v>376</v>
      </c>
      <c r="AF1611" s="155" t="s">
        <v>247</v>
      </c>
      <c r="AG1611" s="155" t="s">
        <v>247</v>
      </c>
    </row>
    <row r="1612" spans="25:33">
      <c r="Y1612" s="47">
        <v>4684</v>
      </c>
      <c r="Z1612" s="52" t="s">
        <v>408</v>
      </c>
      <c r="AA1612" s="52" t="s">
        <v>247</v>
      </c>
      <c r="AB1612" s="52" t="s">
        <v>247</v>
      </c>
      <c r="AC1612" s="52" t="s">
        <v>247</v>
      </c>
      <c r="AD1612" s="52" t="s">
        <v>1</v>
      </c>
      <c r="AE1612" s="52" t="s">
        <v>376</v>
      </c>
      <c r="AF1612" s="155" t="s">
        <v>247</v>
      </c>
      <c r="AG1612" s="155" t="s">
        <v>247</v>
      </c>
    </row>
    <row r="1613" spans="25:33">
      <c r="Y1613" s="47">
        <v>4685</v>
      </c>
      <c r="Z1613" s="52" t="s">
        <v>408</v>
      </c>
      <c r="AA1613" s="52" t="s">
        <v>247</v>
      </c>
      <c r="AB1613" s="52" t="s">
        <v>247</v>
      </c>
      <c r="AC1613" s="52" t="s">
        <v>247</v>
      </c>
      <c r="AD1613" s="52" t="s">
        <v>1</v>
      </c>
      <c r="AE1613" s="52" t="s">
        <v>376</v>
      </c>
      <c r="AF1613" s="155" t="s">
        <v>247</v>
      </c>
      <c r="AG1613" s="155" t="s">
        <v>247</v>
      </c>
    </row>
    <row r="1614" spans="25:33">
      <c r="Y1614" s="47">
        <v>4686</v>
      </c>
      <c r="Z1614" s="52" t="s">
        <v>408</v>
      </c>
      <c r="AA1614" s="52" t="s">
        <v>247</v>
      </c>
      <c r="AB1614" s="52" t="s">
        <v>247</v>
      </c>
      <c r="AC1614" s="52" t="s">
        <v>247</v>
      </c>
      <c r="AD1614" s="52" t="s">
        <v>1</v>
      </c>
      <c r="AE1614" s="52" t="s">
        <v>376</v>
      </c>
      <c r="AF1614" s="155" t="s">
        <v>247</v>
      </c>
      <c r="AG1614" s="155" t="s">
        <v>247</v>
      </c>
    </row>
    <row r="1615" spans="25:33">
      <c r="Y1615" s="47">
        <v>4687</v>
      </c>
      <c r="Z1615" s="52" t="s">
        <v>408</v>
      </c>
      <c r="AA1615" s="52" t="s">
        <v>247</v>
      </c>
      <c r="AB1615" s="52" t="s">
        <v>247</v>
      </c>
      <c r="AC1615" s="52" t="s">
        <v>247</v>
      </c>
      <c r="AD1615" s="52" t="s">
        <v>1</v>
      </c>
      <c r="AE1615" s="52" t="s">
        <v>376</v>
      </c>
      <c r="AF1615" s="155" t="s">
        <v>247</v>
      </c>
      <c r="AG1615" s="155" t="s">
        <v>247</v>
      </c>
    </row>
    <row r="1616" spans="25:33">
      <c r="Y1616" s="47">
        <v>4688</v>
      </c>
      <c r="Z1616" s="52" t="s">
        <v>408</v>
      </c>
      <c r="AA1616" s="52" t="s">
        <v>247</v>
      </c>
      <c r="AB1616" s="52" t="s">
        <v>247</v>
      </c>
      <c r="AC1616" s="52" t="s">
        <v>247</v>
      </c>
      <c r="AD1616" s="52" t="s">
        <v>1</v>
      </c>
      <c r="AE1616" s="52" t="s">
        <v>376</v>
      </c>
      <c r="AF1616" s="155" t="s">
        <v>247</v>
      </c>
      <c r="AG1616" s="155" t="s">
        <v>247</v>
      </c>
    </row>
    <row r="1617" spans="25:33">
      <c r="Y1617" s="47">
        <v>4689</v>
      </c>
      <c r="Z1617" s="52" t="s">
        <v>408</v>
      </c>
      <c r="AA1617" s="52" t="s">
        <v>247</v>
      </c>
      <c r="AB1617" s="52" t="s">
        <v>247</v>
      </c>
      <c r="AC1617" s="52" t="s">
        <v>247</v>
      </c>
      <c r="AD1617" s="52" t="s">
        <v>1</v>
      </c>
      <c r="AE1617" s="52" t="s">
        <v>376</v>
      </c>
      <c r="AF1617" s="155" t="s">
        <v>247</v>
      </c>
      <c r="AG1617" s="155" t="s">
        <v>247</v>
      </c>
    </row>
    <row r="1618" spans="25:33">
      <c r="Y1618" s="47">
        <v>4690</v>
      </c>
      <c r="Z1618" s="52" t="s">
        <v>408</v>
      </c>
      <c r="AA1618" s="52" t="s">
        <v>247</v>
      </c>
      <c r="AB1618" s="52" t="s">
        <v>247</v>
      </c>
      <c r="AC1618" s="52" t="s">
        <v>247</v>
      </c>
      <c r="AD1618" s="52" t="s">
        <v>1</v>
      </c>
      <c r="AE1618" s="52" t="s">
        <v>376</v>
      </c>
      <c r="AF1618" s="155" t="s">
        <v>247</v>
      </c>
      <c r="AG1618" s="155" t="s">
        <v>247</v>
      </c>
    </row>
    <row r="1619" spans="25:33">
      <c r="Y1619" s="47">
        <v>4691</v>
      </c>
      <c r="Z1619" s="52" t="s">
        <v>408</v>
      </c>
      <c r="AA1619" s="52" t="s">
        <v>247</v>
      </c>
      <c r="AB1619" s="52" t="s">
        <v>247</v>
      </c>
      <c r="AC1619" s="52" t="s">
        <v>247</v>
      </c>
      <c r="AD1619" s="52" t="s">
        <v>1</v>
      </c>
      <c r="AE1619" s="52" t="s">
        <v>376</v>
      </c>
      <c r="AF1619" s="155" t="s">
        <v>247</v>
      </c>
      <c r="AG1619" s="155" t="s">
        <v>247</v>
      </c>
    </row>
    <row r="1620" spans="25:33">
      <c r="Y1620" s="47">
        <v>4692</v>
      </c>
      <c r="Z1620" s="52" t="s">
        <v>408</v>
      </c>
      <c r="AA1620" s="52" t="s">
        <v>247</v>
      </c>
      <c r="AB1620" s="52" t="s">
        <v>247</v>
      </c>
      <c r="AC1620" s="52" t="s">
        <v>247</v>
      </c>
      <c r="AD1620" s="52" t="s">
        <v>1</v>
      </c>
      <c r="AE1620" s="52" t="s">
        <v>376</v>
      </c>
      <c r="AF1620" s="155" t="s">
        <v>247</v>
      </c>
      <c r="AG1620" s="155" t="s">
        <v>247</v>
      </c>
    </row>
    <row r="1621" spans="25:33">
      <c r="Y1621" s="47">
        <v>4693</v>
      </c>
      <c r="Z1621" s="52" t="s">
        <v>408</v>
      </c>
      <c r="AA1621" s="52" t="s">
        <v>247</v>
      </c>
      <c r="AB1621" s="52" t="s">
        <v>247</v>
      </c>
      <c r="AC1621" s="52" t="s">
        <v>247</v>
      </c>
      <c r="AD1621" s="52" t="s">
        <v>1</v>
      </c>
      <c r="AE1621" s="52" t="s">
        <v>376</v>
      </c>
      <c r="AF1621" s="155" t="s">
        <v>247</v>
      </c>
      <c r="AG1621" s="155" t="s">
        <v>247</v>
      </c>
    </row>
    <row r="1622" spans="25:33">
      <c r="Y1622" s="47">
        <v>4694</v>
      </c>
      <c r="Z1622" s="52" t="s">
        <v>408</v>
      </c>
      <c r="AA1622" s="52" t="s">
        <v>247</v>
      </c>
      <c r="AB1622" s="52" t="s">
        <v>247</v>
      </c>
      <c r="AC1622" s="52" t="s">
        <v>247</v>
      </c>
      <c r="AD1622" s="52" t="s">
        <v>1</v>
      </c>
      <c r="AE1622" s="52" t="s">
        <v>376</v>
      </c>
      <c r="AF1622" s="155" t="s">
        <v>247</v>
      </c>
      <c r="AG1622" s="155" t="s">
        <v>247</v>
      </c>
    </row>
    <row r="1623" spans="25:33">
      <c r="Y1623" s="47">
        <v>4695</v>
      </c>
      <c r="Z1623" s="52" t="s">
        <v>408</v>
      </c>
      <c r="AA1623" s="52" t="s">
        <v>247</v>
      </c>
      <c r="AB1623" s="52" t="s">
        <v>247</v>
      </c>
      <c r="AC1623" s="52" t="s">
        <v>247</v>
      </c>
      <c r="AD1623" s="52" t="s">
        <v>1</v>
      </c>
      <c r="AE1623" s="52" t="s">
        <v>376</v>
      </c>
      <c r="AF1623" s="155" t="s">
        <v>247</v>
      </c>
      <c r="AG1623" s="155" t="s">
        <v>247</v>
      </c>
    </row>
    <row r="1624" spans="25:33">
      <c r="Y1624" s="47">
        <v>4696</v>
      </c>
      <c r="Z1624" s="52" t="s">
        <v>408</v>
      </c>
      <c r="AA1624" s="52" t="s">
        <v>247</v>
      </c>
      <c r="AB1624" s="52" t="s">
        <v>247</v>
      </c>
      <c r="AC1624" s="52" t="s">
        <v>247</v>
      </c>
      <c r="AD1624" s="52" t="s">
        <v>1</v>
      </c>
      <c r="AE1624" s="52" t="s">
        <v>376</v>
      </c>
      <c r="AF1624" s="155" t="s">
        <v>247</v>
      </c>
      <c r="AG1624" s="155" t="s">
        <v>247</v>
      </c>
    </row>
    <row r="1625" spans="25:33">
      <c r="Y1625" s="47">
        <v>4697</v>
      </c>
      <c r="Z1625" s="52" t="s">
        <v>408</v>
      </c>
      <c r="AA1625" s="52" t="s">
        <v>247</v>
      </c>
      <c r="AB1625" s="52" t="s">
        <v>247</v>
      </c>
      <c r="AC1625" s="52" t="s">
        <v>247</v>
      </c>
      <c r="AD1625" s="52" t="s">
        <v>1</v>
      </c>
      <c r="AE1625" s="52" t="s">
        <v>376</v>
      </c>
      <c r="AF1625" s="155" t="s">
        <v>247</v>
      </c>
      <c r="AG1625" s="155" t="s">
        <v>247</v>
      </c>
    </row>
    <row r="1626" spans="25:33">
      <c r="Y1626" s="47">
        <v>4698</v>
      </c>
      <c r="Z1626" s="52" t="s">
        <v>408</v>
      </c>
      <c r="AA1626" s="52" t="s">
        <v>247</v>
      </c>
      <c r="AB1626" s="52" t="s">
        <v>247</v>
      </c>
      <c r="AC1626" s="52" t="s">
        <v>247</v>
      </c>
      <c r="AD1626" s="52" t="s">
        <v>1</v>
      </c>
      <c r="AE1626" s="52" t="s">
        <v>376</v>
      </c>
      <c r="AF1626" s="155" t="s">
        <v>247</v>
      </c>
      <c r="AG1626" s="155" t="s">
        <v>247</v>
      </c>
    </row>
    <row r="1627" spans="25:33">
      <c r="Y1627" s="47">
        <v>4699</v>
      </c>
      <c r="Z1627" s="52" t="s">
        <v>408</v>
      </c>
      <c r="AA1627" s="52" t="s">
        <v>247</v>
      </c>
      <c r="AB1627" s="52" t="s">
        <v>247</v>
      </c>
      <c r="AC1627" s="52" t="s">
        <v>247</v>
      </c>
      <c r="AD1627" s="52" t="s">
        <v>1</v>
      </c>
      <c r="AE1627" s="52" t="s">
        <v>376</v>
      </c>
      <c r="AF1627" s="155" t="s">
        <v>247</v>
      </c>
      <c r="AG1627" s="155" t="s">
        <v>247</v>
      </c>
    </row>
    <row r="1628" spans="25:33">
      <c r="Y1628" s="47">
        <v>4700</v>
      </c>
      <c r="Z1628" s="52" t="s">
        <v>408</v>
      </c>
      <c r="AA1628" s="52" t="s">
        <v>247</v>
      </c>
      <c r="AB1628" s="52" t="s">
        <v>247</v>
      </c>
      <c r="AC1628" s="52" t="s">
        <v>247</v>
      </c>
      <c r="AD1628" s="52" t="s">
        <v>1</v>
      </c>
      <c r="AE1628" s="52" t="s">
        <v>376</v>
      </c>
      <c r="AF1628" s="155" t="s">
        <v>247</v>
      </c>
      <c r="AG1628" s="155" t="s">
        <v>247</v>
      </c>
    </row>
    <row r="1629" spans="25:33">
      <c r="Y1629" s="47">
        <v>4701</v>
      </c>
      <c r="Z1629" s="52" t="s">
        <v>408</v>
      </c>
      <c r="AA1629" s="52" t="s">
        <v>247</v>
      </c>
      <c r="AB1629" s="52" t="s">
        <v>247</v>
      </c>
      <c r="AC1629" s="52" t="s">
        <v>247</v>
      </c>
      <c r="AD1629" s="52" t="s">
        <v>1</v>
      </c>
      <c r="AE1629" s="52" t="s">
        <v>376</v>
      </c>
      <c r="AF1629" s="155" t="s">
        <v>247</v>
      </c>
      <c r="AG1629" s="155" t="s">
        <v>247</v>
      </c>
    </row>
    <row r="1630" spans="25:33">
      <c r="Y1630" s="47">
        <v>4702</v>
      </c>
      <c r="Z1630" s="52" t="s">
        <v>408</v>
      </c>
      <c r="AA1630" s="52" t="s">
        <v>247</v>
      </c>
      <c r="AB1630" s="52" t="s">
        <v>247</v>
      </c>
      <c r="AC1630" s="52" t="s">
        <v>247</v>
      </c>
      <c r="AD1630" s="52" t="s">
        <v>1</v>
      </c>
      <c r="AE1630" s="52" t="s">
        <v>376</v>
      </c>
      <c r="AF1630" s="155" t="s">
        <v>247</v>
      </c>
      <c r="AG1630" s="155" t="s">
        <v>247</v>
      </c>
    </row>
    <row r="1631" spans="25:33">
      <c r="Y1631" s="47">
        <v>4703</v>
      </c>
      <c r="Z1631" s="52" t="s">
        <v>408</v>
      </c>
      <c r="AA1631" s="52" t="s">
        <v>247</v>
      </c>
      <c r="AB1631" s="52" t="s">
        <v>247</v>
      </c>
      <c r="AC1631" s="52" t="s">
        <v>247</v>
      </c>
      <c r="AD1631" s="52" t="s">
        <v>1</v>
      </c>
      <c r="AE1631" s="52" t="s">
        <v>376</v>
      </c>
      <c r="AF1631" s="155" t="s">
        <v>247</v>
      </c>
      <c r="AG1631" s="155" t="s">
        <v>247</v>
      </c>
    </row>
    <row r="1632" spans="25:33">
      <c r="Y1632" s="47">
        <v>4704</v>
      </c>
      <c r="Z1632" s="52" t="s">
        <v>408</v>
      </c>
      <c r="AA1632" s="52" t="s">
        <v>247</v>
      </c>
      <c r="AB1632" s="52" t="s">
        <v>247</v>
      </c>
      <c r="AC1632" s="52" t="s">
        <v>247</v>
      </c>
      <c r="AD1632" s="52" t="s">
        <v>1</v>
      </c>
      <c r="AE1632" s="52" t="s">
        <v>376</v>
      </c>
      <c r="AF1632" s="155" t="s">
        <v>247</v>
      </c>
      <c r="AG1632" s="155" t="s">
        <v>247</v>
      </c>
    </row>
    <row r="1633" spans="25:33">
      <c r="Y1633" s="47">
        <v>4705</v>
      </c>
      <c r="Z1633" s="52" t="s">
        <v>408</v>
      </c>
      <c r="AA1633" s="52" t="s">
        <v>247</v>
      </c>
      <c r="AB1633" s="52" t="s">
        <v>247</v>
      </c>
      <c r="AC1633" s="52" t="s">
        <v>247</v>
      </c>
      <c r="AD1633" s="52" t="s">
        <v>1</v>
      </c>
      <c r="AE1633" s="52" t="s">
        <v>376</v>
      </c>
      <c r="AF1633" s="155" t="s">
        <v>247</v>
      </c>
      <c r="AG1633" s="155" t="s">
        <v>247</v>
      </c>
    </row>
    <row r="1634" spans="25:33">
      <c r="Y1634" s="47">
        <v>4706</v>
      </c>
      <c r="Z1634" s="52" t="s">
        <v>408</v>
      </c>
      <c r="AA1634" s="52" t="s">
        <v>247</v>
      </c>
      <c r="AB1634" s="52" t="s">
        <v>247</v>
      </c>
      <c r="AC1634" s="52" t="s">
        <v>247</v>
      </c>
      <c r="AD1634" s="52" t="s">
        <v>1</v>
      </c>
      <c r="AE1634" s="52" t="s">
        <v>376</v>
      </c>
      <c r="AF1634" s="155" t="s">
        <v>247</v>
      </c>
      <c r="AG1634" s="155" t="s">
        <v>247</v>
      </c>
    </row>
    <row r="1635" spans="25:33">
      <c r="Y1635" s="47">
        <v>4707</v>
      </c>
      <c r="Z1635" s="52" t="s">
        <v>408</v>
      </c>
      <c r="AA1635" s="52" t="s">
        <v>247</v>
      </c>
      <c r="AB1635" s="52" t="s">
        <v>247</v>
      </c>
      <c r="AC1635" s="52" t="s">
        <v>247</v>
      </c>
      <c r="AD1635" s="52" t="s">
        <v>1</v>
      </c>
      <c r="AE1635" s="52" t="s">
        <v>376</v>
      </c>
      <c r="AF1635" s="155" t="s">
        <v>247</v>
      </c>
      <c r="AG1635" s="155" t="s">
        <v>247</v>
      </c>
    </row>
    <row r="1636" spans="25:33">
      <c r="Y1636" s="47">
        <v>4708</v>
      </c>
      <c r="Z1636" s="52" t="s">
        <v>408</v>
      </c>
      <c r="AA1636" s="52" t="s">
        <v>247</v>
      </c>
      <c r="AB1636" s="52" t="s">
        <v>247</v>
      </c>
      <c r="AC1636" s="52" t="s">
        <v>247</v>
      </c>
      <c r="AD1636" s="52" t="s">
        <v>1</v>
      </c>
      <c r="AE1636" s="52" t="s">
        <v>376</v>
      </c>
      <c r="AF1636" s="155" t="s">
        <v>247</v>
      </c>
      <c r="AG1636" s="155" t="s">
        <v>247</v>
      </c>
    </row>
    <row r="1637" spans="25:33">
      <c r="Y1637" s="47">
        <v>4709</v>
      </c>
      <c r="Z1637" s="52" t="s">
        <v>408</v>
      </c>
      <c r="AA1637" s="52" t="s">
        <v>247</v>
      </c>
      <c r="AB1637" s="52" t="s">
        <v>247</v>
      </c>
      <c r="AC1637" s="52" t="s">
        <v>247</v>
      </c>
      <c r="AD1637" s="52" t="s">
        <v>1</v>
      </c>
      <c r="AE1637" s="52" t="s">
        <v>376</v>
      </c>
      <c r="AF1637" s="155" t="s">
        <v>247</v>
      </c>
      <c r="AG1637" s="155" t="s">
        <v>247</v>
      </c>
    </row>
    <row r="1638" spans="25:33">
      <c r="Y1638" s="47">
        <v>4710</v>
      </c>
      <c r="Z1638" s="52" t="s">
        <v>408</v>
      </c>
      <c r="AA1638" s="52" t="s">
        <v>247</v>
      </c>
      <c r="AB1638" s="52" t="s">
        <v>247</v>
      </c>
      <c r="AC1638" s="52" t="s">
        <v>247</v>
      </c>
      <c r="AD1638" s="52" t="s">
        <v>1</v>
      </c>
      <c r="AE1638" s="52" t="s">
        <v>376</v>
      </c>
      <c r="AF1638" s="155" t="s">
        <v>247</v>
      </c>
      <c r="AG1638" s="155" t="s">
        <v>247</v>
      </c>
    </row>
    <row r="1639" spans="25:33">
      <c r="Y1639" s="47">
        <v>4711</v>
      </c>
      <c r="Z1639" s="52" t="s">
        <v>408</v>
      </c>
      <c r="AA1639" s="52" t="s">
        <v>247</v>
      </c>
      <c r="AB1639" s="52" t="s">
        <v>247</v>
      </c>
      <c r="AC1639" s="52" t="s">
        <v>247</v>
      </c>
      <c r="AD1639" s="52" t="s">
        <v>1</v>
      </c>
      <c r="AE1639" s="52" t="s">
        <v>376</v>
      </c>
      <c r="AF1639" s="155" t="s">
        <v>247</v>
      </c>
      <c r="AG1639" s="155" t="s">
        <v>247</v>
      </c>
    </row>
    <row r="1640" spans="25:33">
      <c r="Y1640" s="47">
        <v>4712</v>
      </c>
      <c r="Z1640" s="52" t="s">
        <v>408</v>
      </c>
      <c r="AA1640" s="52" t="s">
        <v>247</v>
      </c>
      <c r="AB1640" s="52" t="s">
        <v>247</v>
      </c>
      <c r="AC1640" s="52" t="s">
        <v>247</v>
      </c>
      <c r="AD1640" s="52" t="s">
        <v>1</v>
      </c>
      <c r="AE1640" s="52" t="s">
        <v>376</v>
      </c>
      <c r="AF1640" s="155" t="s">
        <v>247</v>
      </c>
      <c r="AG1640" s="155" t="s">
        <v>247</v>
      </c>
    </row>
    <row r="1641" spans="25:33">
      <c r="Y1641" s="47">
        <v>4713</v>
      </c>
      <c r="Z1641" s="52" t="s">
        <v>408</v>
      </c>
      <c r="AA1641" s="52" t="s">
        <v>247</v>
      </c>
      <c r="AB1641" s="52" t="s">
        <v>247</v>
      </c>
      <c r="AC1641" s="52" t="s">
        <v>247</v>
      </c>
      <c r="AD1641" s="52" t="s">
        <v>1</v>
      </c>
      <c r="AE1641" s="52" t="s">
        <v>376</v>
      </c>
      <c r="AF1641" s="155" t="s">
        <v>247</v>
      </c>
      <c r="AG1641" s="155" t="s">
        <v>247</v>
      </c>
    </row>
    <row r="1642" spans="25:33">
      <c r="Y1642" s="47">
        <v>4714</v>
      </c>
      <c r="Z1642" s="52" t="s">
        <v>408</v>
      </c>
      <c r="AA1642" s="52" t="s">
        <v>247</v>
      </c>
      <c r="AB1642" s="52" t="s">
        <v>247</v>
      </c>
      <c r="AC1642" s="52" t="s">
        <v>247</v>
      </c>
      <c r="AD1642" s="52" t="s">
        <v>1</v>
      </c>
      <c r="AE1642" s="52" t="s">
        <v>376</v>
      </c>
      <c r="AF1642" s="155" t="s">
        <v>247</v>
      </c>
      <c r="AG1642" s="155" t="s">
        <v>247</v>
      </c>
    </row>
    <row r="1643" spans="25:33">
      <c r="Y1643" s="47">
        <v>4715</v>
      </c>
      <c r="Z1643" s="52" t="s">
        <v>408</v>
      </c>
      <c r="AA1643" s="52" t="s">
        <v>247</v>
      </c>
      <c r="AB1643" s="52" t="s">
        <v>247</v>
      </c>
      <c r="AC1643" s="52" t="s">
        <v>247</v>
      </c>
      <c r="AD1643" s="52" t="s">
        <v>1</v>
      </c>
      <c r="AE1643" s="52" t="s">
        <v>376</v>
      </c>
      <c r="AF1643" s="155" t="s">
        <v>247</v>
      </c>
      <c r="AG1643" s="155" t="s">
        <v>247</v>
      </c>
    </row>
    <row r="1644" spans="25:33">
      <c r="Y1644" s="47">
        <v>4716</v>
      </c>
      <c r="Z1644" s="52" t="s">
        <v>408</v>
      </c>
      <c r="AA1644" s="52" t="s">
        <v>247</v>
      </c>
      <c r="AB1644" s="52" t="s">
        <v>247</v>
      </c>
      <c r="AC1644" s="52" t="s">
        <v>247</v>
      </c>
      <c r="AD1644" s="52" t="s">
        <v>1</v>
      </c>
      <c r="AE1644" s="52" t="s">
        <v>376</v>
      </c>
      <c r="AF1644" s="155" t="s">
        <v>247</v>
      </c>
      <c r="AG1644" s="155" t="s">
        <v>247</v>
      </c>
    </row>
    <row r="1645" spans="25:33">
      <c r="Y1645" s="47">
        <v>4717</v>
      </c>
      <c r="Z1645" s="52" t="s">
        <v>408</v>
      </c>
      <c r="AA1645" s="52" t="s">
        <v>247</v>
      </c>
      <c r="AB1645" s="52" t="s">
        <v>247</v>
      </c>
      <c r="AC1645" s="52" t="s">
        <v>247</v>
      </c>
      <c r="AD1645" s="52" t="s">
        <v>1</v>
      </c>
      <c r="AE1645" s="52" t="s">
        <v>376</v>
      </c>
      <c r="AF1645" s="155" t="s">
        <v>247</v>
      </c>
      <c r="AG1645" s="155" t="s">
        <v>247</v>
      </c>
    </row>
    <row r="1646" spans="25:33">
      <c r="Y1646" s="47">
        <v>4718</v>
      </c>
      <c r="Z1646" s="52" t="s">
        <v>408</v>
      </c>
      <c r="AA1646" s="52" t="s">
        <v>247</v>
      </c>
      <c r="AB1646" s="52" t="s">
        <v>247</v>
      </c>
      <c r="AC1646" s="52" t="s">
        <v>247</v>
      </c>
      <c r="AD1646" s="52" t="s">
        <v>1</v>
      </c>
      <c r="AE1646" s="52" t="s">
        <v>376</v>
      </c>
      <c r="AF1646" s="155" t="s">
        <v>247</v>
      </c>
      <c r="AG1646" s="155" t="s">
        <v>247</v>
      </c>
    </row>
    <row r="1647" spans="25:33">
      <c r="Y1647" s="47">
        <v>4719</v>
      </c>
      <c r="Z1647" s="52" t="s">
        <v>408</v>
      </c>
      <c r="AA1647" s="52" t="s">
        <v>247</v>
      </c>
      <c r="AB1647" s="52" t="s">
        <v>247</v>
      </c>
      <c r="AC1647" s="52" t="s">
        <v>247</v>
      </c>
      <c r="AD1647" s="52" t="s">
        <v>1</v>
      </c>
      <c r="AE1647" s="52" t="s">
        <v>376</v>
      </c>
      <c r="AF1647" s="155" t="s">
        <v>247</v>
      </c>
      <c r="AG1647" s="155" t="s">
        <v>247</v>
      </c>
    </row>
    <row r="1648" spans="25:33">
      <c r="Y1648" s="47">
        <v>4720</v>
      </c>
      <c r="Z1648" s="52" t="s">
        <v>408</v>
      </c>
      <c r="AA1648" s="52" t="s">
        <v>247</v>
      </c>
      <c r="AB1648" s="52" t="s">
        <v>247</v>
      </c>
      <c r="AC1648" s="52" t="s">
        <v>247</v>
      </c>
      <c r="AD1648" s="52" t="s">
        <v>1</v>
      </c>
      <c r="AE1648" s="52" t="s">
        <v>376</v>
      </c>
      <c r="AF1648" s="155" t="s">
        <v>247</v>
      </c>
      <c r="AG1648" s="155" t="s">
        <v>247</v>
      </c>
    </row>
    <row r="1649" spans="25:33">
      <c r="Y1649" s="47">
        <v>4721</v>
      </c>
      <c r="Z1649" s="52" t="s">
        <v>408</v>
      </c>
      <c r="AA1649" s="52" t="s">
        <v>247</v>
      </c>
      <c r="AB1649" s="52" t="s">
        <v>247</v>
      </c>
      <c r="AC1649" s="52" t="s">
        <v>247</v>
      </c>
      <c r="AD1649" s="52" t="s">
        <v>1</v>
      </c>
      <c r="AE1649" s="52" t="s">
        <v>376</v>
      </c>
      <c r="AF1649" s="155" t="s">
        <v>247</v>
      </c>
      <c r="AG1649" s="155" t="s">
        <v>247</v>
      </c>
    </row>
    <row r="1650" spans="25:33">
      <c r="Y1650" s="47">
        <v>4722</v>
      </c>
      <c r="Z1650" s="52" t="s">
        <v>408</v>
      </c>
      <c r="AA1650" s="52" t="s">
        <v>247</v>
      </c>
      <c r="AB1650" s="52" t="s">
        <v>247</v>
      </c>
      <c r="AC1650" s="52" t="s">
        <v>247</v>
      </c>
      <c r="AD1650" s="52" t="s">
        <v>1</v>
      </c>
      <c r="AE1650" s="52" t="s">
        <v>376</v>
      </c>
      <c r="AF1650" s="155" t="s">
        <v>247</v>
      </c>
      <c r="AG1650" s="155" t="s">
        <v>247</v>
      </c>
    </row>
    <row r="1651" spans="25:33">
      <c r="Y1651" s="47">
        <v>4723</v>
      </c>
      <c r="Z1651" s="52" t="s">
        <v>408</v>
      </c>
      <c r="AA1651" s="52" t="s">
        <v>247</v>
      </c>
      <c r="AB1651" s="52" t="s">
        <v>247</v>
      </c>
      <c r="AC1651" s="52" t="s">
        <v>247</v>
      </c>
      <c r="AD1651" s="52" t="s">
        <v>1</v>
      </c>
      <c r="AE1651" s="52" t="s">
        <v>376</v>
      </c>
      <c r="AF1651" s="155" t="s">
        <v>247</v>
      </c>
      <c r="AG1651" s="155" t="s">
        <v>247</v>
      </c>
    </row>
    <row r="1652" spans="25:33">
      <c r="Y1652" s="47">
        <v>4724</v>
      </c>
      <c r="Z1652" s="52" t="s">
        <v>408</v>
      </c>
      <c r="AA1652" s="52" t="s">
        <v>247</v>
      </c>
      <c r="AB1652" s="52" t="s">
        <v>247</v>
      </c>
      <c r="AC1652" s="52" t="s">
        <v>247</v>
      </c>
      <c r="AD1652" s="52" t="s">
        <v>1</v>
      </c>
      <c r="AE1652" s="52" t="s">
        <v>376</v>
      </c>
      <c r="AF1652" s="155" t="s">
        <v>247</v>
      </c>
      <c r="AG1652" s="155" t="s">
        <v>247</v>
      </c>
    </row>
    <row r="1653" spans="25:33">
      <c r="Y1653" s="47">
        <v>4725</v>
      </c>
      <c r="Z1653" s="52" t="s">
        <v>409</v>
      </c>
      <c r="AA1653" s="52" t="s">
        <v>247</v>
      </c>
      <c r="AB1653" s="52" t="s">
        <v>247</v>
      </c>
      <c r="AC1653" s="52" t="s">
        <v>247</v>
      </c>
      <c r="AD1653" s="52" t="s">
        <v>1</v>
      </c>
      <c r="AE1653" s="52" t="s">
        <v>376</v>
      </c>
      <c r="AF1653" s="155" t="s">
        <v>247</v>
      </c>
      <c r="AG1653" s="155" t="s">
        <v>247</v>
      </c>
    </row>
    <row r="1654" spans="25:33">
      <c r="Y1654" s="47">
        <v>4726</v>
      </c>
      <c r="Z1654" s="52" t="s">
        <v>408</v>
      </c>
      <c r="AA1654" s="52" t="s">
        <v>247</v>
      </c>
      <c r="AB1654" s="52" t="s">
        <v>247</v>
      </c>
      <c r="AC1654" s="52" t="s">
        <v>247</v>
      </c>
      <c r="AD1654" s="52" t="s">
        <v>1</v>
      </c>
      <c r="AE1654" s="52" t="s">
        <v>376</v>
      </c>
      <c r="AF1654" s="155" t="s">
        <v>247</v>
      </c>
      <c r="AG1654" s="155" t="s">
        <v>247</v>
      </c>
    </row>
    <row r="1655" spans="25:33">
      <c r="Y1655" s="47">
        <v>4727</v>
      </c>
      <c r="Z1655" s="52" t="s">
        <v>409</v>
      </c>
      <c r="AA1655" s="52" t="s">
        <v>247</v>
      </c>
      <c r="AB1655" s="52" t="s">
        <v>247</v>
      </c>
      <c r="AC1655" s="52" t="s">
        <v>247</v>
      </c>
      <c r="AD1655" s="52" t="s">
        <v>1</v>
      </c>
      <c r="AE1655" s="52" t="s">
        <v>376</v>
      </c>
      <c r="AF1655" s="155" t="s">
        <v>247</v>
      </c>
      <c r="AG1655" s="155" t="s">
        <v>247</v>
      </c>
    </row>
    <row r="1656" spans="25:33">
      <c r="Y1656" s="47">
        <v>4728</v>
      </c>
      <c r="Z1656" s="52" t="s">
        <v>409</v>
      </c>
      <c r="AA1656" s="52" t="s">
        <v>247</v>
      </c>
      <c r="AB1656" s="52" t="s">
        <v>247</v>
      </c>
      <c r="AC1656" s="52" t="s">
        <v>247</v>
      </c>
      <c r="AD1656" s="52" t="s">
        <v>1</v>
      </c>
      <c r="AE1656" s="52" t="s">
        <v>376</v>
      </c>
      <c r="AF1656" s="155" t="s">
        <v>247</v>
      </c>
      <c r="AG1656" s="155" t="s">
        <v>247</v>
      </c>
    </row>
    <row r="1657" spans="25:33">
      <c r="Y1657" s="47">
        <v>4729</v>
      </c>
      <c r="Z1657" s="52" t="s">
        <v>409</v>
      </c>
      <c r="AA1657" s="52" t="s">
        <v>247</v>
      </c>
      <c r="AB1657" s="52" t="s">
        <v>247</v>
      </c>
      <c r="AC1657" s="52" t="s">
        <v>247</v>
      </c>
      <c r="AD1657" s="52" t="s">
        <v>1</v>
      </c>
      <c r="AE1657" s="52" t="s">
        <v>376</v>
      </c>
      <c r="AF1657" s="155" t="s">
        <v>247</v>
      </c>
      <c r="AG1657" s="155" t="s">
        <v>247</v>
      </c>
    </row>
    <row r="1658" spans="25:33">
      <c r="Y1658" s="47">
        <v>4730</v>
      </c>
      <c r="Z1658" s="52" t="s">
        <v>409</v>
      </c>
      <c r="AA1658" s="52" t="s">
        <v>247</v>
      </c>
      <c r="AB1658" s="52" t="s">
        <v>247</v>
      </c>
      <c r="AC1658" s="52" t="s">
        <v>247</v>
      </c>
      <c r="AD1658" s="52" t="s">
        <v>1</v>
      </c>
      <c r="AE1658" s="52" t="s">
        <v>376</v>
      </c>
      <c r="AF1658" s="155" t="s">
        <v>247</v>
      </c>
      <c r="AG1658" s="155" t="s">
        <v>247</v>
      </c>
    </row>
    <row r="1659" spans="25:33">
      <c r="Y1659" s="47">
        <v>4731</v>
      </c>
      <c r="Z1659" s="52" t="s">
        <v>409</v>
      </c>
      <c r="AA1659" s="52" t="s">
        <v>247</v>
      </c>
      <c r="AB1659" s="52" t="s">
        <v>247</v>
      </c>
      <c r="AC1659" s="52" t="s">
        <v>247</v>
      </c>
      <c r="AD1659" s="52" t="s">
        <v>1</v>
      </c>
      <c r="AE1659" s="52" t="s">
        <v>376</v>
      </c>
      <c r="AF1659" s="155" t="s">
        <v>247</v>
      </c>
      <c r="AG1659" s="155" t="s">
        <v>247</v>
      </c>
    </row>
    <row r="1660" spans="25:33">
      <c r="Y1660" s="47">
        <v>4732</v>
      </c>
      <c r="Z1660" s="52" t="s">
        <v>408</v>
      </c>
      <c r="AA1660" s="52" t="s">
        <v>247</v>
      </c>
      <c r="AB1660" s="52" t="s">
        <v>247</v>
      </c>
      <c r="AC1660" s="52" t="s">
        <v>247</v>
      </c>
      <c r="AD1660" s="52" t="s">
        <v>1</v>
      </c>
      <c r="AE1660" s="52" t="s">
        <v>376</v>
      </c>
      <c r="AF1660" s="155" t="s">
        <v>247</v>
      </c>
      <c r="AG1660" s="155" t="s">
        <v>247</v>
      </c>
    </row>
    <row r="1661" spans="25:33">
      <c r="Y1661" s="47">
        <v>4733</v>
      </c>
      <c r="Z1661" s="52" t="s">
        <v>408</v>
      </c>
      <c r="AA1661" s="52" t="s">
        <v>247</v>
      </c>
      <c r="AB1661" s="52" t="s">
        <v>247</v>
      </c>
      <c r="AC1661" s="52" t="s">
        <v>247</v>
      </c>
      <c r="AD1661" s="52" t="s">
        <v>1</v>
      </c>
      <c r="AE1661" s="52" t="s">
        <v>376</v>
      </c>
      <c r="AF1661" s="155" t="s">
        <v>247</v>
      </c>
      <c r="AG1661" s="155" t="s">
        <v>247</v>
      </c>
    </row>
    <row r="1662" spans="25:33">
      <c r="Y1662" s="47">
        <v>4734</v>
      </c>
      <c r="Z1662" s="52" t="s">
        <v>408</v>
      </c>
      <c r="AA1662" s="52" t="s">
        <v>247</v>
      </c>
      <c r="AB1662" s="52" t="s">
        <v>247</v>
      </c>
      <c r="AC1662" s="52" t="s">
        <v>247</v>
      </c>
      <c r="AD1662" s="52" t="s">
        <v>1</v>
      </c>
      <c r="AE1662" s="52" t="s">
        <v>376</v>
      </c>
      <c r="AF1662" s="155" t="s">
        <v>247</v>
      </c>
      <c r="AG1662" s="155" t="s">
        <v>247</v>
      </c>
    </row>
    <row r="1663" spans="25:33">
      <c r="Y1663" s="47">
        <v>4735</v>
      </c>
      <c r="Z1663" s="52" t="s">
        <v>408</v>
      </c>
      <c r="AA1663" s="52" t="s">
        <v>247</v>
      </c>
      <c r="AB1663" s="52" t="s">
        <v>247</v>
      </c>
      <c r="AC1663" s="52" t="s">
        <v>247</v>
      </c>
      <c r="AD1663" s="52" t="s">
        <v>1</v>
      </c>
      <c r="AE1663" s="52" t="s">
        <v>376</v>
      </c>
      <c r="AF1663" s="155" t="s">
        <v>247</v>
      </c>
      <c r="AG1663" s="155" t="s">
        <v>247</v>
      </c>
    </row>
    <row r="1664" spans="25:33">
      <c r="Y1664" s="47">
        <v>4736</v>
      </c>
      <c r="Z1664" s="52" t="s">
        <v>409</v>
      </c>
      <c r="AA1664" s="52" t="s">
        <v>247</v>
      </c>
      <c r="AB1664" s="52" t="s">
        <v>247</v>
      </c>
      <c r="AC1664" s="52" t="s">
        <v>247</v>
      </c>
      <c r="AD1664" s="52" t="s">
        <v>1</v>
      </c>
      <c r="AE1664" s="52" t="s">
        <v>376</v>
      </c>
      <c r="AF1664" s="155" t="s">
        <v>247</v>
      </c>
      <c r="AG1664" s="155" t="s">
        <v>247</v>
      </c>
    </row>
    <row r="1665" spans="25:33">
      <c r="Y1665" s="47">
        <v>4737</v>
      </c>
      <c r="Z1665" s="52" t="s">
        <v>408</v>
      </c>
      <c r="AA1665" s="52" t="s">
        <v>247</v>
      </c>
      <c r="AB1665" s="52" t="s">
        <v>247</v>
      </c>
      <c r="AC1665" s="52" t="s">
        <v>247</v>
      </c>
      <c r="AD1665" s="52" t="s">
        <v>1</v>
      </c>
      <c r="AE1665" s="52" t="s">
        <v>376</v>
      </c>
      <c r="AF1665" s="155" t="s">
        <v>247</v>
      </c>
      <c r="AG1665" s="155" t="s">
        <v>247</v>
      </c>
    </row>
    <row r="1666" spans="25:33">
      <c r="Y1666" s="47">
        <v>4738</v>
      </c>
      <c r="Z1666" s="52" t="s">
        <v>408</v>
      </c>
      <c r="AA1666" s="52" t="s">
        <v>247</v>
      </c>
      <c r="AB1666" s="52" t="s">
        <v>247</v>
      </c>
      <c r="AC1666" s="52" t="s">
        <v>247</v>
      </c>
      <c r="AD1666" s="52" t="s">
        <v>1</v>
      </c>
      <c r="AE1666" s="52" t="s">
        <v>376</v>
      </c>
      <c r="AF1666" s="155" t="s">
        <v>247</v>
      </c>
      <c r="AG1666" s="155" t="s">
        <v>247</v>
      </c>
    </row>
    <row r="1667" spans="25:33">
      <c r="Y1667" s="47">
        <v>4739</v>
      </c>
      <c r="Z1667" s="52" t="s">
        <v>408</v>
      </c>
      <c r="AA1667" s="52" t="s">
        <v>247</v>
      </c>
      <c r="AB1667" s="52" t="s">
        <v>247</v>
      </c>
      <c r="AC1667" s="52" t="s">
        <v>247</v>
      </c>
      <c r="AD1667" s="52" t="s">
        <v>1</v>
      </c>
      <c r="AE1667" s="52" t="s">
        <v>376</v>
      </c>
      <c r="AF1667" s="155" t="s">
        <v>247</v>
      </c>
      <c r="AG1667" s="155" t="s">
        <v>247</v>
      </c>
    </row>
    <row r="1668" spans="25:33">
      <c r="Y1668" s="47">
        <v>4740</v>
      </c>
      <c r="Z1668" s="52" t="s">
        <v>408</v>
      </c>
      <c r="AA1668" s="52" t="s">
        <v>247</v>
      </c>
      <c r="AB1668" s="52" t="s">
        <v>247</v>
      </c>
      <c r="AC1668" s="52" t="s">
        <v>247</v>
      </c>
      <c r="AD1668" s="52" t="s">
        <v>1</v>
      </c>
      <c r="AE1668" s="52" t="s">
        <v>376</v>
      </c>
      <c r="AF1668" s="155" t="s">
        <v>247</v>
      </c>
      <c r="AG1668" s="155" t="s">
        <v>247</v>
      </c>
    </row>
    <row r="1669" spans="25:33">
      <c r="Y1669" s="47">
        <v>4741</v>
      </c>
      <c r="Z1669" s="52" t="s">
        <v>408</v>
      </c>
      <c r="AA1669" s="52" t="s">
        <v>247</v>
      </c>
      <c r="AB1669" s="52" t="s">
        <v>247</v>
      </c>
      <c r="AC1669" s="52" t="s">
        <v>247</v>
      </c>
      <c r="AD1669" s="52" t="s">
        <v>1</v>
      </c>
      <c r="AE1669" s="52" t="s">
        <v>376</v>
      </c>
      <c r="AF1669" s="155" t="s">
        <v>247</v>
      </c>
      <c r="AG1669" s="155" t="s">
        <v>247</v>
      </c>
    </row>
    <row r="1670" spans="25:33">
      <c r="Y1670" s="47">
        <v>4742</v>
      </c>
      <c r="Z1670" s="52" t="s">
        <v>408</v>
      </c>
      <c r="AA1670" s="52" t="s">
        <v>247</v>
      </c>
      <c r="AB1670" s="52" t="s">
        <v>247</v>
      </c>
      <c r="AC1670" s="52" t="s">
        <v>247</v>
      </c>
      <c r="AD1670" s="52" t="s">
        <v>1</v>
      </c>
      <c r="AE1670" s="52" t="s">
        <v>376</v>
      </c>
      <c r="AF1670" s="155" t="s">
        <v>247</v>
      </c>
      <c r="AG1670" s="155" t="s">
        <v>247</v>
      </c>
    </row>
    <row r="1671" spans="25:33">
      <c r="Y1671" s="47">
        <v>4743</v>
      </c>
      <c r="Z1671" s="52" t="s">
        <v>408</v>
      </c>
      <c r="AA1671" s="52" t="s">
        <v>247</v>
      </c>
      <c r="AB1671" s="52" t="s">
        <v>247</v>
      </c>
      <c r="AC1671" s="52" t="s">
        <v>247</v>
      </c>
      <c r="AD1671" s="52" t="s">
        <v>1</v>
      </c>
      <c r="AE1671" s="52" t="s">
        <v>376</v>
      </c>
      <c r="AF1671" s="155" t="s">
        <v>247</v>
      </c>
      <c r="AG1671" s="155" t="s">
        <v>247</v>
      </c>
    </row>
    <row r="1672" spans="25:33">
      <c r="Y1672" s="47">
        <v>4744</v>
      </c>
      <c r="Z1672" s="52" t="s">
        <v>408</v>
      </c>
      <c r="AA1672" s="52" t="s">
        <v>247</v>
      </c>
      <c r="AB1672" s="52" t="s">
        <v>247</v>
      </c>
      <c r="AC1672" s="52" t="s">
        <v>247</v>
      </c>
      <c r="AD1672" s="52" t="s">
        <v>1</v>
      </c>
      <c r="AE1672" s="52" t="s">
        <v>376</v>
      </c>
      <c r="AF1672" s="155" t="s">
        <v>247</v>
      </c>
      <c r="AG1672" s="155" t="s">
        <v>247</v>
      </c>
    </row>
    <row r="1673" spans="25:33">
      <c r="Y1673" s="47">
        <v>4745</v>
      </c>
      <c r="Z1673" s="52" t="s">
        <v>408</v>
      </c>
      <c r="AA1673" s="52" t="s">
        <v>247</v>
      </c>
      <c r="AB1673" s="52" t="s">
        <v>247</v>
      </c>
      <c r="AC1673" s="52" t="s">
        <v>247</v>
      </c>
      <c r="AD1673" s="52" t="s">
        <v>1</v>
      </c>
      <c r="AE1673" s="52" t="s">
        <v>376</v>
      </c>
      <c r="AF1673" s="155" t="s">
        <v>247</v>
      </c>
      <c r="AG1673" s="155" t="s">
        <v>247</v>
      </c>
    </row>
    <row r="1674" spans="25:33">
      <c r="Y1674" s="47">
        <v>4746</v>
      </c>
      <c r="Z1674" s="52" t="s">
        <v>408</v>
      </c>
      <c r="AA1674" s="52" t="s">
        <v>247</v>
      </c>
      <c r="AB1674" s="52" t="s">
        <v>247</v>
      </c>
      <c r="AC1674" s="52" t="s">
        <v>247</v>
      </c>
      <c r="AD1674" s="52" t="s">
        <v>1</v>
      </c>
      <c r="AE1674" s="52" t="s">
        <v>376</v>
      </c>
      <c r="AF1674" s="155" t="s">
        <v>247</v>
      </c>
      <c r="AG1674" s="155" t="s">
        <v>247</v>
      </c>
    </row>
    <row r="1675" spans="25:33">
      <c r="Y1675" s="47">
        <v>4747</v>
      </c>
      <c r="Z1675" s="52" t="s">
        <v>408</v>
      </c>
      <c r="AA1675" s="52" t="s">
        <v>247</v>
      </c>
      <c r="AB1675" s="52" t="s">
        <v>247</v>
      </c>
      <c r="AC1675" s="52" t="s">
        <v>247</v>
      </c>
      <c r="AD1675" s="52" t="s">
        <v>1</v>
      </c>
      <c r="AE1675" s="52" t="s">
        <v>376</v>
      </c>
      <c r="AF1675" s="155" t="s">
        <v>247</v>
      </c>
      <c r="AG1675" s="155" t="s">
        <v>247</v>
      </c>
    </row>
    <row r="1676" spans="25:33">
      <c r="Y1676" s="47">
        <v>4748</v>
      </c>
      <c r="Z1676" s="52" t="s">
        <v>408</v>
      </c>
      <c r="AA1676" s="52" t="s">
        <v>247</v>
      </c>
      <c r="AB1676" s="52" t="s">
        <v>247</v>
      </c>
      <c r="AC1676" s="52" t="s">
        <v>247</v>
      </c>
      <c r="AD1676" s="52" t="s">
        <v>1</v>
      </c>
      <c r="AE1676" s="52" t="s">
        <v>376</v>
      </c>
      <c r="AF1676" s="155" t="s">
        <v>247</v>
      </c>
      <c r="AG1676" s="155" t="s">
        <v>247</v>
      </c>
    </row>
    <row r="1677" spans="25:33">
      <c r="Y1677" s="47">
        <v>4749</v>
      </c>
      <c r="Z1677" s="52" t="s">
        <v>408</v>
      </c>
      <c r="AA1677" s="52" t="s">
        <v>247</v>
      </c>
      <c r="AB1677" s="52" t="s">
        <v>247</v>
      </c>
      <c r="AC1677" s="52" t="s">
        <v>247</v>
      </c>
      <c r="AD1677" s="52" t="s">
        <v>1</v>
      </c>
      <c r="AE1677" s="52" t="s">
        <v>376</v>
      </c>
      <c r="AF1677" s="155" t="s">
        <v>247</v>
      </c>
      <c r="AG1677" s="155" t="s">
        <v>247</v>
      </c>
    </row>
    <row r="1678" spans="25:33">
      <c r="Y1678" s="47">
        <v>4750</v>
      </c>
      <c r="Z1678" s="52" t="s">
        <v>408</v>
      </c>
      <c r="AA1678" s="52" t="s">
        <v>247</v>
      </c>
      <c r="AB1678" s="52" t="s">
        <v>247</v>
      </c>
      <c r="AC1678" s="52" t="s">
        <v>247</v>
      </c>
      <c r="AD1678" s="52" t="s">
        <v>1</v>
      </c>
      <c r="AE1678" s="52" t="s">
        <v>376</v>
      </c>
      <c r="AF1678" s="155" t="s">
        <v>247</v>
      </c>
      <c r="AG1678" s="155" t="s">
        <v>247</v>
      </c>
    </row>
    <row r="1679" spans="25:33">
      <c r="Y1679" s="47">
        <v>4751</v>
      </c>
      <c r="Z1679" s="52" t="s">
        <v>408</v>
      </c>
      <c r="AA1679" s="52" t="s">
        <v>247</v>
      </c>
      <c r="AB1679" s="52" t="s">
        <v>247</v>
      </c>
      <c r="AC1679" s="52" t="s">
        <v>247</v>
      </c>
      <c r="AD1679" s="52" t="s">
        <v>1</v>
      </c>
      <c r="AE1679" s="52" t="s">
        <v>376</v>
      </c>
      <c r="AF1679" s="155" t="s">
        <v>247</v>
      </c>
      <c r="AG1679" s="155" t="s">
        <v>247</v>
      </c>
    </row>
    <row r="1680" spans="25:33">
      <c r="Y1680" s="47">
        <v>4752</v>
      </c>
      <c r="Z1680" s="52" t="s">
        <v>408</v>
      </c>
      <c r="AA1680" s="52" t="s">
        <v>247</v>
      </c>
      <c r="AB1680" s="52" t="s">
        <v>247</v>
      </c>
      <c r="AC1680" s="52" t="s">
        <v>247</v>
      </c>
      <c r="AD1680" s="52" t="s">
        <v>1</v>
      </c>
      <c r="AE1680" s="52" t="s">
        <v>376</v>
      </c>
      <c r="AF1680" s="155" t="s">
        <v>247</v>
      </c>
      <c r="AG1680" s="155" t="s">
        <v>247</v>
      </c>
    </row>
    <row r="1681" spans="25:33">
      <c r="Y1681" s="47">
        <v>4753</v>
      </c>
      <c r="Z1681" s="52" t="s">
        <v>408</v>
      </c>
      <c r="AA1681" s="52" t="s">
        <v>247</v>
      </c>
      <c r="AB1681" s="52" t="s">
        <v>247</v>
      </c>
      <c r="AC1681" s="52" t="s">
        <v>247</v>
      </c>
      <c r="AD1681" s="52" t="s">
        <v>1</v>
      </c>
      <c r="AE1681" s="52" t="s">
        <v>376</v>
      </c>
      <c r="AF1681" s="155" t="s">
        <v>247</v>
      </c>
      <c r="AG1681" s="155" t="s">
        <v>247</v>
      </c>
    </row>
    <row r="1682" spans="25:33">
      <c r="Y1682" s="47">
        <v>4754</v>
      </c>
      <c r="Z1682" s="52" t="s">
        <v>408</v>
      </c>
      <c r="AA1682" s="52" t="s">
        <v>247</v>
      </c>
      <c r="AB1682" s="52" t="s">
        <v>247</v>
      </c>
      <c r="AC1682" s="52" t="s">
        <v>247</v>
      </c>
      <c r="AD1682" s="52" t="s">
        <v>1</v>
      </c>
      <c r="AE1682" s="52" t="s">
        <v>376</v>
      </c>
      <c r="AF1682" s="155" t="s">
        <v>247</v>
      </c>
      <c r="AG1682" s="155" t="s">
        <v>247</v>
      </c>
    </row>
    <row r="1683" spans="25:33">
      <c r="Y1683" s="47">
        <v>4755</v>
      </c>
      <c r="Z1683" s="52" t="s">
        <v>408</v>
      </c>
      <c r="AA1683" s="52" t="s">
        <v>247</v>
      </c>
      <c r="AB1683" s="52" t="s">
        <v>247</v>
      </c>
      <c r="AC1683" s="52" t="s">
        <v>247</v>
      </c>
      <c r="AD1683" s="52" t="s">
        <v>1</v>
      </c>
      <c r="AE1683" s="52" t="s">
        <v>376</v>
      </c>
      <c r="AF1683" s="155" t="s">
        <v>247</v>
      </c>
      <c r="AG1683" s="155" t="s">
        <v>247</v>
      </c>
    </row>
    <row r="1684" spans="25:33">
      <c r="Y1684" s="47">
        <v>4756</v>
      </c>
      <c r="Z1684" s="52" t="s">
        <v>408</v>
      </c>
      <c r="AA1684" s="52" t="s">
        <v>247</v>
      </c>
      <c r="AB1684" s="52" t="s">
        <v>247</v>
      </c>
      <c r="AC1684" s="52" t="s">
        <v>247</v>
      </c>
      <c r="AD1684" s="52" t="s">
        <v>1</v>
      </c>
      <c r="AE1684" s="52" t="s">
        <v>376</v>
      </c>
      <c r="AF1684" s="155" t="s">
        <v>247</v>
      </c>
      <c r="AG1684" s="155" t="s">
        <v>247</v>
      </c>
    </row>
    <row r="1685" spans="25:33">
      <c r="Y1685" s="47">
        <v>4757</v>
      </c>
      <c r="Z1685" s="52" t="s">
        <v>408</v>
      </c>
      <c r="AA1685" s="52" t="s">
        <v>247</v>
      </c>
      <c r="AB1685" s="52" t="s">
        <v>247</v>
      </c>
      <c r="AC1685" s="52" t="s">
        <v>247</v>
      </c>
      <c r="AD1685" s="52" t="s">
        <v>1</v>
      </c>
      <c r="AE1685" s="52" t="s">
        <v>376</v>
      </c>
      <c r="AF1685" s="155" t="s">
        <v>247</v>
      </c>
      <c r="AG1685" s="155" t="s">
        <v>247</v>
      </c>
    </row>
    <row r="1686" spans="25:33">
      <c r="Y1686" s="47">
        <v>4758</v>
      </c>
      <c r="Z1686" s="52" t="s">
        <v>408</v>
      </c>
      <c r="AA1686" s="52" t="s">
        <v>247</v>
      </c>
      <c r="AB1686" s="52" t="s">
        <v>247</v>
      </c>
      <c r="AC1686" s="52" t="s">
        <v>247</v>
      </c>
      <c r="AD1686" s="52" t="s">
        <v>1</v>
      </c>
      <c r="AE1686" s="52" t="s">
        <v>376</v>
      </c>
      <c r="AF1686" s="155" t="s">
        <v>247</v>
      </c>
      <c r="AG1686" s="155" t="s">
        <v>247</v>
      </c>
    </row>
    <row r="1687" spans="25:33">
      <c r="Y1687" s="47">
        <v>4759</v>
      </c>
      <c r="Z1687" s="52" t="s">
        <v>408</v>
      </c>
      <c r="AA1687" s="52" t="s">
        <v>247</v>
      </c>
      <c r="AB1687" s="52" t="s">
        <v>247</v>
      </c>
      <c r="AC1687" s="52" t="s">
        <v>247</v>
      </c>
      <c r="AD1687" s="52" t="s">
        <v>1</v>
      </c>
      <c r="AE1687" s="52" t="s">
        <v>376</v>
      </c>
      <c r="AF1687" s="155" t="s">
        <v>247</v>
      </c>
      <c r="AG1687" s="155" t="s">
        <v>247</v>
      </c>
    </row>
    <row r="1688" spans="25:33">
      <c r="Y1688" s="47">
        <v>4760</v>
      </c>
      <c r="Z1688" s="52" t="s">
        <v>408</v>
      </c>
      <c r="AA1688" s="52" t="s">
        <v>247</v>
      </c>
      <c r="AB1688" s="52" t="s">
        <v>247</v>
      </c>
      <c r="AC1688" s="52" t="s">
        <v>247</v>
      </c>
      <c r="AD1688" s="52" t="s">
        <v>1</v>
      </c>
      <c r="AE1688" s="52" t="s">
        <v>376</v>
      </c>
      <c r="AF1688" s="155" t="s">
        <v>247</v>
      </c>
      <c r="AG1688" s="155" t="s">
        <v>247</v>
      </c>
    </row>
    <row r="1689" spans="25:33">
      <c r="Y1689" s="47">
        <v>4761</v>
      </c>
      <c r="Z1689" s="52" t="s">
        <v>408</v>
      </c>
      <c r="AA1689" s="52" t="s">
        <v>247</v>
      </c>
      <c r="AB1689" s="52" t="s">
        <v>247</v>
      </c>
      <c r="AC1689" s="52" t="s">
        <v>247</v>
      </c>
      <c r="AD1689" s="52" t="s">
        <v>1</v>
      </c>
      <c r="AE1689" s="52" t="s">
        <v>376</v>
      </c>
      <c r="AF1689" s="155" t="s">
        <v>247</v>
      </c>
      <c r="AG1689" s="155" t="s">
        <v>247</v>
      </c>
    </row>
    <row r="1690" spans="25:33">
      <c r="Y1690" s="47">
        <v>4762</v>
      </c>
      <c r="Z1690" s="52" t="s">
        <v>408</v>
      </c>
      <c r="AA1690" s="52" t="s">
        <v>247</v>
      </c>
      <c r="AB1690" s="52" t="s">
        <v>247</v>
      </c>
      <c r="AC1690" s="52" t="s">
        <v>247</v>
      </c>
      <c r="AD1690" s="52" t="s">
        <v>1</v>
      </c>
      <c r="AE1690" s="52" t="s">
        <v>376</v>
      </c>
      <c r="AF1690" s="155" t="s">
        <v>247</v>
      </c>
      <c r="AG1690" s="155" t="s">
        <v>247</v>
      </c>
    </row>
    <row r="1691" spans="25:33">
      <c r="Y1691" s="47">
        <v>4763</v>
      </c>
      <c r="Z1691" s="52" t="s">
        <v>408</v>
      </c>
      <c r="AA1691" s="52" t="s">
        <v>247</v>
      </c>
      <c r="AB1691" s="52" t="s">
        <v>247</v>
      </c>
      <c r="AC1691" s="52" t="s">
        <v>247</v>
      </c>
      <c r="AD1691" s="52" t="s">
        <v>1</v>
      </c>
      <c r="AE1691" s="52" t="s">
        <v>376</v>
      </c>
      <c r="AF1691" s="155" t="s">
        <v>247</v>
      </c>
      <c r="AG1691" s="155" t="s">
        <v>247</v>
      </c>
    </row>
    <row r="1692" spans="25:33">
      <c r="Y1692" s="47">
        <v>4764</v>
      </c>
      <c r="Z1692" s="52" t="s">
        <v>408</v>
      </c>
      <c r="AA1692" s="52" t="s">
        <v>247</v>
      </c>
      <c r="AB1692" s="52" t="s">
        <v>247</v>
      </c>
      <c r="AC1692" s="52" t="s">
        <v>247</v>
      </c>
      <c r="AD1692" s="52" t="s">
        <v>1</v>
      </c>
      <c r="AE1692" s="52" t="s">
        <v>376</v>
      </c>
      <c r="AF1692" s="155" t="s">
        <v>247</v>
      </c>
      <c r="AG1692" s="155" t="s">
        <v>247</v>
      </c>
    </row>
    <row r="1693" spans="25:33">
      <c r="Y1693" s="47">
        <v>4765</v>
      </c>
      <c r="Z1693" s="52" t="s">
        <v>408</v>
      </c>
      <c r="AA1693" s="52" t="s">
        <v>247</v>
      </c>
      <c r="AB1693" s="52" t="s">
        <v>247</v>
      </c>
      <c r="AC1693" s="52" t="s">
        <v>247</v>
      </c>
      <c r="AD1693" s="52" t="s">
        <v>1</v>
      </c>
      <c r="AE1693" s="52" t="s">
        <v>376</v>
      </c>
      <c r="AF1693" s="155" t="s">
        <v>247</v>
      </c>
      <c r="AG1693" s="155" t="s">
        <v>247</v>
      </c>
    </row>
    <row r="1694" spans="25:33">
      <c r="Y1694" s="47">
        <v>4766</v>
      </c>
      <c r="Z1694" s="52" t="s">
        <v>408</v>
      </c>
      <c r="AA1694" s="52" t="s">
        <v>247</v>
      </c>
      <c r="AB1694" s="52" t="s">
        <v>247</v>
      </c>
      <c r="AC1694" s="52" t="s">
        <v>247</v>
      </c>
      <c r="AD1694" s="52" t="s">
        <v>1</v>
      </c>
      <c r="AE1694" s="52" t="s">
        <v>376</v>
      </c>
      <c r="AF1694" s="155" t="s">
        <v>247</v>
      </c>
      <c r="AG1694" s="155" t="s">
        <v>247</v>
      </c>
    </row>
    <row r="1695" spans="25:33">
      <c r="Y1695" s="47">
        <v>4767</v>
      </c>
      <c r="Z1695" s="52" t="s">
        <v>408</v>
      </c>
      <c r="AA1695" s="52" t="s">
        <v>247</v>
      </c>
      <c r="AB1695" s="52" t="s">
        <v>247</v>
      </c>
      <c r="AC1695" s="52" t="s">
        <v>247</v>
      </c>
      <c r="AD1695" s="52" t="s">
        <v>1</v>
      </c>
      <c r="AE1695" s="52" t="s">
        <v>376</v>
      </c>
      <c r="AF1695" s="155" t="s">
        <v>247</v>
      </c>
      <c r="AG1695" s="155" t="s">
        <v>247</v>
      </c>
    </row>
    <row r="1696" spans="25:33">
      <c r="Y1696" s="47">
        <v>4768</v>
      </c>
      <c r="Z1696" s="52" t="s">
        <v>408</v>
      </c>
      <c r="AA1696" s="52" t="s">
        <v>247</v>
      </c>
      <c r="AB1696" s="52" t="s">
        <v>247</v>
      </c>
      <c r="AC1696" s="52" t="s">
        <v>247</v>
      </c>
      <c r="AD1696" s="52" t="s">
        <v>1</v>
      </c>
      <c r="AE1696" s="52" t="s">
        <v>376</v>
      </c>
      <c r="AF1696" s="155" t="s">
        <v>247</v>
      </c>
      <c r="AG1696" s="155" t="s">
        <v>247</v>
      </c>
    </row>
    <row r="1697" spans="25:33">
      <c r="Y1697" s="47">
        <v>4769</v>
      </c>
      <c r="Z1697" s="52" t="s">
        <v>408</v>
      </c>
      <c r="AA1697" s="52" t="s">
        <v>247</v>
      </c>
      <c r="AB1697" s="52" t="s">
        <v>247</v>
      </c>
      <c r="AC1697" s="52" t="s">
        <v>247</v>
      </c>
      <c r="AD1697" s="52" t="s">
        <v>1</v>
      </c>
      <c r="AE1697" s="52" t="s">
        <v>376</v>
      </c>
      <c r="AF1697" s="155" t="s">
        <v>247</v>
      </c>
      <c r="AG1697" s="155" t="s">
        <v>247</v>
      </c>
    </row>
    <row r="1698" spans="25:33">
      <c r="Y1698" s="47">
        <v>4770</v>
      </c>
      <c r="Z1698" s="52" t="s">
        <v>408</v>
      </c>
      <c r="AA1698" s="52" t="s">
        <v>247</v>
      </c>
      <c r="AB1698" s="52" t="s">
        <v>247</v>
      </c>
      <c r="AC1698" s="52" t="s">
        <v>247</v>
      </c>
      <c r="AD1698" s="52" t="s">
        <v>1</v>
      </c>
      <c r="AE1698" s="52" t="s">
        <v>376</v>
      </c>
      <c r="AF1698" s="155" t="s">
        <v>247</v>
      </c>
      <c r="AG1698" s="155" t="s">
        <v>247</v>
      </c>
    </row>
    <row r="1699" spans="25:33">
      <c r="Y1699" s="47">
        <v>4771</v>
      </c>
      <c r="Z1699" s="52" t="s">
        <v>408</v>
      </c>
      <c r="AA1699" s="52" t="s">
        <v>247</v>
      </c>
      <c r="AB1699" s="52" t="s">
        <v>247</v>
      </c>
      <c r="AC1699" s="52" t="s">
        <v>247</v>
      </c>
      <c r="AD1699" s="52" t="s">
        <v>1</v>
      </c>
      <c r="AE1699" s="52" t="s">
        <v>376</v>
      </c>
      <c r="AF1699" s="155" t="s">
        <v>247</v>
      </c>
      <c r="AG1699" s="155" t="s">
        <v>247</v>
      </c>
    </row>
    <row r="1700" spans="25:33">
      <c r="Y1700" s="47">
        <v>4772</v>
      </c>
      <c r="Z1700" s="52" t="s">
        <v>408</v>
      </c>
      <c r="AA1700" s="52" t="s">
        <v>247</v>
      </c>
      <c r="AB1700" s="52" t="s">
        <v>247</v>
      </c>
      <c r="AC1700" s="52" t="s">
        <v>247</v>
      </c>
      <c r="AD1700" s="52" t="s">
        <v>1</v>
      </c>
      <c r="AE1700" s="52" t="s">
        <v>376</v>
      </c>
      <c r="AF1700" s="155" t="s">
        <v>247</v>
      </c>
      <c r="AG1700" s="155" t="s">
        <v>247</v>
      </c>
    </row>
    <row r="1701" spans="25:33">
      <c r="Y1701" s="47">
        <v>4773</v>
      </c>
      <c r="Z1701" s="52" t="s">
        <v>408</v>
      </c>
      <c r="AA1701" s="52" t="s">
        <v>247</v>
      </c>
      <c r="AB1701" s="52" t="s">
        <v>247</v>
      </c>
      <c r="AC1701" s="52" t="s">
        <v>247</v>
      </c>
      <c r="AD1701" s="52" t="s">
        <v>1</v>
      </c>
      <c r="AE1701" s="52" t="s">
        <v>376</v>
      </c>
      <c r="AF1701" s="155" t="s">
        <v>247</v>
      </c>
      <c r="AG1701" s="155" t="s">
        <v>247</v>
      </c>
    </row>
    <row r="1702" spans="25:33">
      <c r="Y1702" s="47">
        <v>4774</v>
      </c>
      <c r="Z1702" s="52" t="s">
        <v>408</v>
      </c>
      <c r="AA1702" s="52" t="s">
        <v>247</v>
      </c>
      <c r="AB1702" s="52" t="s">
        <v>247</v>
      </c>
      <c r="AC1702" s="52" t="s">
        <v>247</v>
      </c>
      <c r="AD1702" s="52" t="s">
        <v>1</v>
      </c>
      <c r="AE1702" s="52" t="s">
        <v>376</v>
      </c>
      <c r="AF1702" s="155" t="s">
        <v>247</v>
      </c>
      <c r="AG1702" s="155" t="s">
        <v>247</v>
      </c>
    </row>
    <row r="1703" spans="25:33">
      <c r="Y1703" s="47">
        <v>4775</v>
      </c>
      <c r="Z1703" s="52" t="s">
        <v>408</v>
      </c>
      <c r="AA1703" s="52" t="s">
        <v>247</v>
      </c>
      <c r="AB1703" s="52" t="s">
        <v>247</v>
      </c>
      <c r="AC1703" s="52" t="s">
        <v>247</v>
      </c>
      <c r="AD1703" s="52" t="s">
        <v>1</v>
      </c>
      <c r="AE1703" s="52" t="s">
        <v>376</v>
      </c>
      <c r="AF1703" s="155" t="s">
        <v>247</v>
      </c>
      <c r="AG1703" s="155" t="s">
        <v>247</v>
      </c>
    </row>
    <row r="1704" spans="25:33">
      <c r="Y1704" s="47">
        <v>4776</v>
      </c>
      <c r="Z1704" s="52" t="s">
        <v>408</v>
      </c>
      <c r="AA1704" s="52" t="s">
        <v>247</v>
      </c>
      <c r="AB1704" s="52" t="s">
        <v>247</v>
      </c>
      <c r="AC1704" s="52" t="s">
        <v>247</v>
      </c>
      <c r="AD1704" s="52" t="s">
        <v>1</v>
      </c>
      <c r="AE1704" s="52" t="s">
        <v>376</v>
      </c>
      <c r="AF1704" s="155" t="s">
        <v>247</v>
      </c>
      <c r="AG1704" s="155" t="s">
        <v>247</v>
      </c>
    </row>
    <row r="1705" spans="25:33">
      <c r="Y1705" s="47">
        <v>4777</v>
      </c>
      <c r="Z1705" s="52" t="s">
        <v>408</v>
      </c>
      <c r="AA1705" s="52" t="s">
        <v>247</v>
      </c>
      <c r="AB1705" s="52" t="s">
        <v>247</v>
      </c>
      <c r="AC1705" s="52" t="s">
        <v>247</v>
      </c>
      <c r="AD1705" s="52" t="s">
        <v>1</v>
      </c>
      <c r="AE1705" s="52" t="s">
        <v>376</v>
      </c>
      <c r="AF1705" s="155" t="s">
        <v>247</v>
      </c>
      <c r="AG1705" s="155" t="s">
        <v>247</v>
      </c>
    </row>
    <row r="1706" spans="25:33">
      <c r="Y1706" s="47">
        <v>4778</v>
      </c>
      <c r="Z1706" s="52" t="s">
        <v>408</v>
      </c>
      <c r="AA1706" s="52" t="s">
        <v>247</v>
      </c>
      <c r="AB1706" s="52" t="s">
        <v>247</v>
      </c>
      <c r="AC1706" s="52" t="s">
        <v>247</v>
      </c>
      <c r="AD1706" s="52" t="s">
        <v>1</v>
      </c>
      <c r="AE1706" s="52" t="s">
        <v>376</v>
      </c>
      <c r="AF1706" s="155" t="s">
        <v>247</v>
      </c>
      <c r="AG1706" s="155" t="s">
        <v>247</v>
      </c>
    </row>
    <row r="1707" spans="25:33">
      <c r="Y1707" s="47">
        <v>4779</v>
      </c>
      <c r="Z1707" s="52" t="s">
        <v>408</v>
      </c>
      <c r="AA1707" s="52" t="s">
        <v>247</v>
      </c>
      <c r="AB1707" s="52" t="s">
        <v>247</v>
      </c>
      <c r="AC1707" s="52" t="s">
        <v>247</v>
      </c>
      <c r="AD1707" s="52" t="s">
        <v>1</v>
      </c>
      <c r="AE1707" s="52" t="s">
        <v>376</v>
      </c>
      <c r="AF1707" s="155" t="s">
        <v>247</v>
      </c>
      <c r="AG1707" s="155" t="s">
        <v>247</v>
      </c>
    </row>
    <row r="1708" spans="25:33">
      <c r="Y1708" s="47">
        <v>4780</v>
      </c>
      <c r="Z1708" s="52" t="s">
        <v>408</v>
      </c>
      <c r="AA1708" s="52" t="s">
        <v>247</v>
      </c>
      <c r="AB1708" s="52" t="s">
        <v>247</v>
      </c>
      <c r="AC1708" s="52" t="s">
        <v>247</v>
      </c>
      <c r="AD1708" s="52" t="s">
        <v>1</v>
      </c>
      <c r="AE1708" s="52" t="s">
        <v>376</v>
      </c>
      <c r="AF1708" s="155" t="s">
        <v>247</v>
      </c>
      <c r="AG1708" s="155" t="s">
        <v>247</v>
      </c>
    </row>
    <row r="1709" spans="25:33">
      <c r="Y1709" s="47">
        <v>4781</v>
      </c>
      <c r="Z1709" s="52" t="s">
        <v>408</v>
      </c>
      <c r="AA1709" s="52" t="s">
        <v>247</v>
      </c>
      <c r="AB1709" s="52" t="s">
        <v>247</v>
      </c>
      <c r="AC1709" s="52" t="s">
        <v>247</v>
      </c>
      <c r="AD1709" s="52" t="s">
        <v>1</v>
      </c>
      <c r="AE1709" s="52" t="s">
        <v>376</v>
      </c>
      <c r="AF1709" s="155" t="s">
        <v>247</v>
      </c>
      <c r="AG1709" s="155" t="s">
        <v>247</v>
      </c>
    </row>
    <row r="1710" spans="25:33">
      <c r="Y1710" s="47">
        <v>4782</v>
      </c>
      <c r="Z1710" s="52" t="s">
        <v>408</v>
      </c>
      <c r="AA1710" s="52" t="s">
        <v>247</v>
      </c>
      <c r="AB1710" s="52" t="s">
        <v>247</v>
      </c>
      <c r="AC1710" s="52" t="s">
        <v>247</v>
      </c>
      <c r="AD1710" s="52" t="s">
        <v>1</v>
      </c>
      <c r="AE1710" s="52" t="s">
        <v>376</v>
      </c>
      <c r="AF1710" s="155" t="s">
        <v>247</v>
      </c>
      <c r="AG1710" s="155" t="s">
        <v>247</v>
      </c>
    </row>
    <row r="1711" spans="25:33">
      <c r="Y1711" s="47">
        <v>4783</v>
      </c>
      <c r="Z1711" s="52" t="s">
        <v>408</v>
      </c>
      <c r="AA1711" s="52" t="s">
        <v>247</v>
      </c>
      <c r="AB1711" s="52" t="s">
        <v>247</v>
      </c>
      <c r="AC1711" s="52" t="s">
        <v>247</v>
      </c>
      <c r="AD1711" s="52" t="s">
        <v>1</v>
      </c>
      <c r="AE1711" s="52" t="s">
        <v>376</v>
      </c>
      <c r="AF1711" s="155" t="s">
        <v>247</v>
      </c>
      <c r="AG1711" s="155" t="s">
        <v>247</v>
      </c>
    </row>
    <row r="1712" spans="25:33">
      <c r="Y1712" s="47">
        <v>4784</v>
      </c>
      <c r="Z1712" s="52" t="s">
        <v>408</v>
      </c>
      <c r="AA1712" s="52" t="s">
        <v>247</v>
      </c>
      <c r="AB1712" s="52" t="s">
        <v>247</v>
      </c>
      <c r="AC1712" s="52" t="s">
        <v>247</v>
      </c>
      <c r="AD1712" s="52" t="s">
        <v>1</v>
      </c>
      <c r="AE1712" s="52" t="s">
        <v>376</v>
      </c>
      <c r="AF1712" s="155" t="s">
        <v>247</v>
      </c>
      <c r="AG1712" s="155" t="s">
        <v>247</v>
      </c>
    </row>
    <row r="1713" spans="25:33">
      <c r="Y1713" s="47">
        <v>4785</v>
      </c>
      <c r="Z1713" s="52" t="s">
        <v>408</v>
      </c>
      <c r="AA1713" s="52" t="s">
        <v>247</v>
      </c>
      <c r="AB1713" s="52" t="s">
        <v>247</v>
      </c>
      <c r="AC1713" s="52" t="s">
        <v>247</v>
      </c>
      <c r="AD1713" s="52" t="s">
        <v>1</v>
      </c>
      <c r="AE1713" s="52" t="s">
        <v>376</v>
      </c>
      <c r="AF1713" s="155" t="s">
        <v>247</v>
      </c>
      <c r="AG1713" s="155" t="s">
        <v>247</v>
      </c>
    </row>
    <row r="1714" spans="25:33">
      <c r="Y1714" s="47">
        <v>4786</v>
      </c>
      <c r="Z1714" s="52" t="s">
        <v>408</v>
      </c>
      <c r="AA1714" s="52" t="s">
        <v>247</v>
      </c>
      <c r="AB1714" s="52" t="s">
        <v>247</v>
      </c>
      <c r="AC1714" s="52" t="s">
        <v>247</v>
      </c>
      <c r="AD1714" s="52" t="s">
        <v>1</v>
      </c>
      <c r="AE1714" s="52" t="s">
        <v>376</v>
      </c>
      <c r="AF1714" s="155" t="s">
        <v>247</v>
      </c>
      <c r="AG1714" s="155" t="s">
        <v>247</v>
      </c>
    </row>
    <row r="1715" spans="25:33">
      <c r="Y1715" s="47">
        <v>4787</v>
      </c>
      <c r="Z1715" s="52" t="s">
        <v>408</v>
      </c>
      <c r="AA1715" s="52" t="s">
        <v>247</v>
      </c>
      <c r="AB1715" s="52" t="s">
        <v>247</v>
      </c>
      <c r="AC1715" s="52" t="s">
        <v>247</v>
      </c>
      <c r="AD1715" s="52" t="s">
        <v>1</v>
      </c>
      <c r="AE1715" s="52" t="s">
        <v>376</v>
      </c>
      <c r="AF1715" s="155" t="s">
        <v>247</v>
      </c>
      <c r="AG1715" s="155" t="s">
        <v>247</v>
      </c>
    </row>
    <row r="1716" spans="25:33">
      <c r="Y1716" s="47">
        <v>4788</v>
      </c>
      <c r="Z1716" s="52" t="s">
        <v>408</v>
      </c>
      <c r="AA1716" s="52" t="s">
        <v>247</v>
      </c>
      <c r="AB1716" s="52" t="s">
        <v>247</v>
      </c>
      <c r="AC1716" s="52" t="s">
        <v>247</v>
      </c>
      <c r="AD1716" s="52" t="s">
        <v>1</v>
      </c>
      <c r="AE1716" s="52" t="s">
        <v>376</v>
      </c>
      <c r="AF1716" s="155" t="s">
        <v>247</v>
      </c>
      <c r="AG1716" s="155" t="s">
        <v>247</v>
      </c>
    </row>
    <row r="1717" spans="25:33">
      <c r="Y1717" s="47">
        <v>4789</v>
      </c>
      <c r="Z1717" s="52" t="s">
        <v>408</v>
      </c>
      <c r="AA1717" s="52" t="s">
        <v>247</v>
      </c>
      <c r="AB1717" s="52" t="s">
        <v>247</v>
      </c>
      <c r="AC1717" s="52" t="s">
        <v>247</v>
      </c>
      <c r="AD1717" s="52" t="s">
        <v>1</v>
      </c>
      <c r="AE1717" s="52" t="s">
        <v>376</v>
      </c>
      <c r="AF1717" s="155" t="s">
        <v>247</v>
      </c>
      <c r="AG1717" s="155" t="s">
        <v>247</v>
      </c>
    </row>
    <row r="1718" spans="25:33">
      <c r="Y1718" s="47">
        <v>4790</v>
      </c>
      <c r="Z1718" s="52" t="s">
        <v>408</v>
      </c>
      <c r="AA1718" s="52" t="s">
        <v>247</v>
      </c>
      <c r="AB1718" s="52" t="s">
        <v>247</v>
      </c>
      <c r="AC1718" s="52" t="s">
        <v>247</v>
      </c>
      <c r="AD1718" s="52" t="s">
        <v>1</v>
      </c>
      <c r="AE1718" s="52" t="s">
        <v>376</v>
      </c>
      <c r="AF1718" s="155" t="s">
        <v>247</v>
      </c>
      <c r="AG1718" s="155" t="s">
        <v>247</v>
      </c>
    </row>
    <row r="1719" spans="25:33">
      <c r="Y1719" s="47">
        <v>4791</v>
      </c>
      <c r="Z1719" s="52" t="s">
        <v>408</v>
      </c>
      <c r="AA1719" s="52" t="s">
        <v>247</v>
      </c>
      <c r="AB1719" s="52" t="s">
        <v>247</v>
      </c>
      <c r="AC1719" s="52" t="s">
        <v>247</v>
      </c>
      <c r="AD1719" s="52" t="s">
        <v>1</v>
      </c>
      <c r="AE1719" s="52" t="s">
        <v>376</v>
      </c>
      <c r="AF1719" s="155" t="s">
        <v>247</v>
      </c>
      <c r="AG1719" s="155" t="s">
        <v>247</v>
      </c>
    </row>
    <row r="1720" spans="25:33">
      <c r="Y1720" s="47">
        <v>4792</v>
      </c>
      <c r="Z1720" s="52" t="s">
        <v>408</v>
      </c>
      <c r="AA1720" s="52" t="s">
        <v>247</v>
      </c>
      <c r="AB1720" s="52" t="s">
        <v>247</v>
      </c>
      <c r="AC1720" s="52" t="s">
        <v>247</v>
      </c>
      <c r="AD1720" s="52" t="s">
        <v>1</v>
      </c>
      <c r="AE1720" s="52" t="s">
        <v>376</v>
      </c>
      <c r="AF1720" s="155" t="s">
        <v>247</v>
      </c>
      <c r="AG1720" s="155" t="s">
        <v>247</v>
      </c>
    </row>
    <row r="1721" spans="25:33">
      <c r="Y1721" s="47">
        <v>4793</v>
      </c>
      <c r="Z1721" s="52" t="s">
        <v>408</v>
      </c>
      <c r="AA1721" s="52" t="s">
        <v>247</v>
      </c>
      <c r="AB1721" s="52" t="s">
        <v>247</v>
      </c>
      <c r="AC1721" s="52" t="s">
        <v>247</v>
      </c>
      <c r="AD1721" s="52" t="s">
        <v>1</v>
      </c>
      <c r="AE1721" s="52" t="s">
        <v>376</v>
      </c>
      <c r="AF1721" s="155" t="s">
        <v>247</v>
      </c>
      <c r="AG1721" s="155" t="s">
        <v>247</v>
      </c>
    </row>
    <row r="1722" spans="25:33">
      <c r="Y1722" s="47">
        <v>4794</v>
      </c>
      <c r="Z1722" s="52" t="s">
        <v>408</v>
      </c>
      <c r="AA1722" s="52" t="s">
        <v>247</v>
      </c>
      <c r="AB1722" s="52" t="s">
        <v>247</v>
      </c>
      <c r="AC1722" s="52" t="s">
        <v>247</v>
      </c>
      <c r="AD1722" s="52" t="s">
        <v>1</v>
      </c>
      <c r="AE1722" s="52" t="s">
        <v>376</v>
      </c>
      <c r="AF1722" s="155" t="s">
        <v>247</v>
      </c>
      <c r="AG1722" s="155" t="s">
        <v>247</v>
      </c>
    </row>
    <row r="1723" spans="25:33">
      <c r="Y1723" s="47">
        <v>4795</v>
      </c>
      <c r="Z1723" s="52" t="s">
        <v>408</v>
      </c>
      <c r="AA1723" s="52" t="s">
        <v>247</v>
      </c>
      <c r="AB1723" s="52" t="s">
        <v>247</v>
      </c>
      <c r="AC1723" s="52" t="s">
        <v>247</v>
      </c>
      <c r="AD1723" s="52" t="s">
        <v>1</v>
      </c>
      <c r="AE1723" s="52" t="s">
        <v>376</v>
      </c>
      <c r="AF1723" s="155" t="s">
        <v>247</v>
      </c>
      <c r="AG1723" s="155" t="s">
        <v>247</v>
      </c>
    </row>
    <row r="1724" spans="25:33">
      <c r="Y1724" s="47">
        <v>4796</v>
      </c>
      <c r="Z1724" s="52" t="s">
        <v>408</v>
      </c>
      <c r="AA1724" s="52" t="s">
        <v>247</v>
      </c>
      <c r="AB1724" s="52" t="s">
        <v>247</v>
      </c>
      <c r="AC1724" s="52" t="s">
        <v>247</v>
      </c>
      <c r="AD1724" s="52" t="s">
        <v>1</v>
      </c>
      <c r="AE1724" s="52" t="s">
        <v>376</v>
      </c>
      <c r="AF1724" s="155" t="s">
        <v>247</v>
      </c>
      <c r="AG1724" s="155" t="s">
        <v>247</v>
      </c>
    </row>
    <row r="1725" spans="25:33">
      <c r="Y1725" s="47">
        <v>4797</v>
      </c>
      <c r="Z1725" s="52" t="s">
        <v>408</v>
      </c>
      <c r="AA1725" s="52" t="s">
        <v>247</v>
      </c>
      <c r="AB1725" s="52" t="s">
        <v>247</v>
      </c>
      <c r="AC1725" s="52" t="s">
        <v>247</v>
      </c>
      <c r="AD1725" s="52" t="s">
        <v>1</v>
      </c>
      <c r="AE1725" s="52" t="s">
        <v>376</v>
      </c>
      <c r="AF1725" s="155" t="s">
        <v>247</v>
      </c>
      <c r="AG1725" s="155" t="s">
        <v>247</v>
      </c>
    </row>
    <row r="1726" spans="25:33">
      <c r="Y1726" s="47">
        <v>4798</v>
      </c>
      <c r="Z1726" s="52" t="s">
        <v>408</v>
      </c>
      <c r="AA1726" s="52" t="s">
        <v>247</v>
      </c>
      <c r="AB1726" s="52" t="s">
        <v>247</v>
      </c>
      <c r="AC1726" s="52" t="s">
        <v>247</v>
      </c>
      <c r="AD1726" s="52" t="s">
        <v>1</v>
      </c>
      <c r="AE1726" s="52" t="s">
        <v>376</v>
      </c>
      <c r="AF1726" s="155" t="s">
        <v>247</v>
      </c>
      <c r="AG1726" s="155" t="s">
        <v>247</v>
      </c>
    </row>
    <row r="1727" spans="25:33">
      <c r="Y1727" s="47">
        <v>4799</v>
      </c>
      <c r="Z1727" s="52" t="s">
        <v>408</v>
      </c>
      <c r="AA1727" s="52" t="s">
        <v>247</v>
      </c>
      <c r="AB1727" s="52" t="s">
        <v>247</v>
      </c>
      <c r="AC1727" s="52" t="s">
        <v>247</v>
      </c>
      <c r="AD1727" s="52" t="s">
        <v>1</v>
      </c>
      <c r="AE1727" s="52" t="s">
        <v>376</v>
      </c>
      <c r="AF1727" s="155" t="s">
        <v>247</v>
      </c>
      <c r="AG1727" s="155" t="s">
        <v>247</v>
      </c>
    </row>
    <row r="1728" spans="25:33">
      <c r="Y1728" s="47">
        <v>4800</v>
      </c>
      <c r="Z1728" s="52" t="s">
        <v>408</v>
      </c>
      <c r="AA1728" s="52" t="s">
        <v>247</v>
      </c>
      <c r="AB1728" s="52" t="s">
        <v>247</v>
      </c>
      <c r="AC1728" s="52" t="s">
        <v>247</v>
      </c>
      <c r="AD1728" s="52" t="s">
        <v>1</v>
      </c>
      <c r="AE1728" s="52" t="s">
        <v>376</v>
      </c>
      <c r="AF1728" s="155" t="s">
        <v>247</v>
      </c>
      <c r="AG1728" s="155" t="s">
        <v>247</v>
      </c>
    </row>
    <row r="1729" spans="25:33">
      <c r="Y1729" s="47">
        <v>4801</v>
      </c>
      <c r="Z1729" s="52" t="s">
        <v>408</v>
      </c>
      <c r="AA1729" s="52" t="s">
        <v>247</v>
      </c>
      <c r="AB1729" s="52" t="s">
        <v>247</v>
      </c>
      <c r="AC1729" s="52" t="s">
        <v>247</v>
      </c>
      <c r="AD1729" s="52" t="s">
        <v>1</v>
      </c>
      <c r="AE1729" s="52" t="s">
        <v>376</v>
      </c>
      <c r="AF1729" s="155" t="s">
        <v>247</v>
      </c>
      <c r="AG1729" s="155" t="s">
        <v>247</v>
      </c>
    </row>
    <row r="1730" spans="25:33">
      <c r="Y1730" s="47">
        <v>4802</v>
      </c>
      <c r="Z1730" s="52" t="s">
        <v>408</v>
      </c>
      <c r="AA1730" s="52" t="s">
        <v>247</v>
      </c>
      <c r="AB1730" s="52" t="s">
        <v>247</v>
      </c>
      <c r="AC1730" s="52" t="s">
        <v>247</v>
      </c>
      <c r="AD1730" s="52" t="s">
        <v>1</v>
      </c>
      <c r="AE1730" s="52" t="s">
        <v>376</v>
      </c>
      <c r="AF1730" s="155" t="s">
        <v>247</v>
      </c>
      <c r="AG1730" s="155" t="s">
        <v>247</v>
      </c>
    </row>
    <row r="1731" spans="25:33">
      <c r="Y1731" s="47">
        <v>4803</v>
      </c>
      <c r="Z1731" s="52" t="s">
        <v>408</v>
      </c>
      <c r="AA1731" s="52" t="s">
        <v>247</v>
      </c>
      <c r="AB1731" s="52" t="s">
        <v>247</v>
      </c>
      <c r="AC1731" s="52" t="s">
        <v>247</v>
      </c>
      <c r="AD1731" s="52" t="s">
        <v>1</v>
      </c>
      <c r="AE1731" s="52" t="s">
        <v>376</v>
      </c>
      <c r="AF1731" s="155" t="s">
        <v>247</v>
      </c>
      <c r="AG1731" s="155" t="s">
        <v>247</v>
      </c>
    </row>
    <row r="1732" spans="25:33">
      <c r="Y1732" s="47">
        <v>4804</v>
      </c>
      <c r="Z1732" s="52" t="s">
        <v>408</v>
      </c>
      <c r="AA1732" s="52" t="s">
        <v>247</v>
      </c>
      <c r="AB1732" s="52" t="s">
        <v>247</v>
      </c>
      <c r="AC1732" s="52" t="s">
        <v>247</v>
      </c>
      <c r="AD1732" s="52" t="s">
        <v>1</v>
      </c>
      <c r="AE1732" s="52" t="s">
        <v>376</v>
      </c>
      <c r="AF1732" s="155" t="s">
        <v>247</v>
      </c>
      <c r="AG1732" s="155" t="s">
        <v>247</v>
      </c>
    </row>
    <row r="1733" spans="25:33">
      <c r="Y1733" s="47">
        <v>4805</v>
      </c>
      <c r="Z1733" s="52" t="s">
        <v>408</v>
      </c>
      <c r="AA1733" s="52" t="s">
        <v>247</v>
      </c>
      <c r="AB1733" s="52" t="s">
        <v>247</v>
      </c>
      <c r="AC1733" s="52" t="s">
        <v>247</v>
      </c>
      <c r="AD1733" s="52" t="s">
        <v>1</v>
      </c>
      <c r="AE1733" s="52" t="s">
        <v>376</v>
      </c>
      <c r="AF1733" s="155" t="s">
        <v>247</v>
      </c>
      <c r="AG1733" s="155" t="s">
        <v>247</v>
      </c>
    </row>
    <row r="1734" spans="25:33">
      <c r="Y1734" s="47">
        <v>4806</v>
      </c>
      <c r="Z1734" s="52" t="s">
        <v>408</v>
      </c>
      <c r="AA1734" s="52" t="s">
        <v>247</v>
      </c>
      <c r="AB1734" s="52" t="s">
        <v>247</v>
      </c>
      <c r="AC1734" s="52" t="s">
        <v>247</v>
      </c>
      <c r="AD1734" s="52" t="s">
        <v>1</v>
      </c>
      <c r="AE1734" s="52" t="s">
        <v>376</v>
      </c>
      <c r="AF1734" s="155" t="s">
        <v>247</v>
      </c>
      <c r="AG1734" s="155" t="s">
        <v>247</v>
      </c>
    </row>
    <row r="1735" spans="25:33">
      <c r="Y1735" s="47">
        <v>4807</v>
      </c>
      <c r="Z1735" s="52" t="s">
        <v>408</v>
      </c>
      <c r="AA1735" s="52" t="s">
        <v>247</v>
      </c>
      <c r="AB1735" s="52" t="s">
        <v>247</v>
      </c>
      <c r="AC1735" s="52" t="s">
        <v>247</v>
      </c>
      <c r="AD1735" s="52" t="s">
        <v>1</v>
      </c>
      <c r="AE1735" s="52" t="s">
        <v>376</v>
      </c>
      <c r="AF1735" s="155" t="s">
        <v>247</v>
      </c>
      <c r="AG1735" s="155" t="s">
        <v>247</v>
      </c>
    </row>
    <row r="1736" spans="25:33">
      <c r="Y1736" s="47">
        <v>4808</v>
      </c>
      <c r="Z1736" s="52" t="s">
        <v>408</v>
      </c>
      <c r="AA1736" s="52" t="s">
        <v>247</v>
      </c>
      <c r="AB1736" s="52" t="s">
        <v>247</v>
      </c>
      <c r="AC1736" s="52" t="s">
        <v>247</v>
      </c>
      <c r="AD1736" s="52" t="s">
        <v>1</v>
      </c>
      <c r="AE1736" s="52" t="s">
        <v>376</v>
      </c>
      <c r="AF1736" s="155" t="s">
        <v>247</v>
      </c>
      <c r="AG1736" s="155" t="s">
        <v>247</v>
      </c>
    </row>
    <row r="1737" spans="25:33">
      <c r="Y1737" s="47">
        <v>4809</v>
      </c>
      <c r="Z1737" s="52" t="s">
        <v>408</v>
      </c>
      <c r="AA1737" s="52" t="s">
        <v>247</v>
      </c>
      <c r="AB1737" s="52" t="s">
        <v>247</v>
      </c>
      <c r="AC1737" s="52" t="s">
        <v>247</v>
      </c>
      <c r="AD1737" s="52" t="s">
        <v>1</v>
      </c>
      <c r="AE1737" s="52" t="s">
        <v>376</v>
      </c>
      <c r="AF1737" s="155" t="s">
        <v>247</v>
      </c>
      <c r="AG1737" s="155" t="s">
        <v>247</v>
      </c>
    </row>
    <row r="1738" spans="25:33">
      <c r="Y1738" s="47">
        <v>4810</v>
      </c>
      <c r="Z1738" s="52" t="s">
        <v>408</v>
      </c>
      <c r="AA1738" s="52" t="s">
        <v>247</v>
      </c>
      <c r="AB1738" s="52" t="s">
        <v>247</v>
      </c>
      <c r="AC1738" s="52" t="s">
        <v>247</v>
      </c>
      <c r="AD1738" s="52" t="s">
        <v>1</v>
      </c>
      <c r="AE1738" s="52" t="s">
        <v>376</v>
      </c>
      <c r="AF1738" s="155" t="s">
        <v>247</v>
      </c>
      <c r="AG1738" s="155" t="s">
        <v>247</v>
      </c>
    </row>
    <row r="1739" spans="25:33">
      <c r="Y1739" s="47">
        <v>4811</v>
      </c>
      <c r="Z1739" s="52" t="s">
        <v>408</v>
      </c>
      <c r="AA1739" s="52" t="s">
        <v>247</v>
      </c>
      <c r="AB1739" s="52" t="s">
        <v>247</v>
      </c>
      <c r="AC1739" s="52" t="s">
        <v>247</v>
      </c>
      <c r="AD1739" s="52" t="s">
        <v>1</v>
      </c>
      <c r="AE1739" s="52" t="s">
        <v>376</v>
      </c>
      <c r="AF1739" s="155" t="s">
        <v>247</v>
      </c>
      <c r="AG1739" s="155" t="s">
        <v>247</v>
      </c>
    </row>
    <row r="1740" spans="25:33">
      <c r="Y1740" s="47">
        <v>4812</v>
      </c>
      <c r="Z1740" s="52" t="s">
        <v>408</v>
      </c>
      <c r="AA1740" s="52" t="s">
        <v>247</v>
      </c>
      <c r="AB1740" s="52" t="s">
        <v>247</v>
      </c>
      <c r="AC1740" s="52" t="s">
        <v>247</v>
      </c>
      <c r="AD1740" s="52" t="s">
        <v>1</v>
      </c>
      <c r="AE1740" s="52" t="s">
        <v>376</v>
      </c>
      <c r="AF1740" s="155" t="s">
        <v>247</v>
      </c>
      <c r="AG1740" s="155" t="s">
        <v>247</v>
      </c>
    </row>
    <row r="1741" spans="25:33">
      <c r="Y1741" s="47">
        <v>4813</v>
      </c>
      <c r="Z1741" s="52" t="s">
        <v>408</v>
      </c>
      <c r="AA1741" s="52" t="s">
        <v>247</v>
      </c>
      <c r="AB1741" s="52" t="s">
        <v>247</v>
      </c>
      <c r="AC1741" s="52" t="s">
        <v>247</v>
      </c>
      <c r="AD1741" s="52" t="s">
        <v>1</v>
      </c>
      <c r="AE1741" s="52" t="s">
        <v>376</v>
      </c>
      <c r="AF1741" s="155" t="s">
        <v>247</v>
      </c>
      <c r="AG1741" s="155" t="s">
        <v>247</v>
      </c>
    </row>
    <row r="1742" spans="25:33">
      <c r="Y1742" s="47">
        <v>4814</v>
      </c>
      <c r="Z1742" s="52" t="s">
        <v>408</v>
      </c>
      <c r="AA1742" s="52" t="s">
        <v>247</v>
      </c>
      <c r="AB1742" s="52" t="s">
        <v>247</v>
      </c>
      <c r="AC1742" s="52" t="s">
        <v>247</v>
      </c>
      <c r="AD1742" s="52" t="s">
        <v>1</v>
      </c>
      <c r="AE1742" s="52" t="s">
        <v>376</v>
      </c>
      <c r="AF1742" s="155" t="s">
        <v>247</v>
      </c>
      <c r="AG1742" s="155" t="s">
        <v>247</v>
      </c>
    </row>
    <row r="1743" spans="25:33">
      <c r="Y1743" s="47">
        <v>4815</v>
      </c>
      <c r="Z1743" s="52" t="s">
        <v>408</v>
      </c>
      <c r="AA1743" s="52" t="s">
        <v>247</v>
      </c>
      <c r="AB1743" s="52" t="s">
        <v>247</v>
      </c>
      <c r="AC1743" s="52" t="s">
        <v>247</v>
      </c>
      <c r="AD1743" s="52" t="s">
        <v>1</v>
      </c>
      <c r="AE1743" s="52" t="s">
        <v>376</v>
      </c>
      <c r="AF1743" s="155" t="s">
        <v>247</v>
      </c>
      <c r="AG1743" s="155" t="s">
        <v>247</v>
      </c>
    </row>
    <row r="1744" spans="25:33">
      <c r="Y1744" s="47">
        <v>4816</v>
      </c>
      <c r="Z1744" s="52" t="s">
        <v>408</v>
      </c>
      <c r="AA1744" s="52" t="s">
        <v>247</v>
      </c>
      <c r="AB1744" s="52" t="s">
        <v>247</v>
      </c>
      <c r="AC1744" s="52" t="s">
        <v>247</v>
      </c>
      <c r="AD1744" s="52" t="s">
        <v>1</v>
      </c>
      <c r="AE1744" s="52" t="s">
        <v>376</v>
      </c>
      <c r="AF1744" s="155" t="s">
        <v>247</v>
      </c>
      <c r="AG1744" s="155" t="s">
        <v>247</v>
      </c>
    </row>
    <row r="1745" spans="25:33">
      <c r="Y1745" s="47">
        <v>4817</v>
      </c>
      <c r="Z1745" s="52" t="s">
        <v>408</v>
      </c>
      <c r="AA1745" s="52" t="s">
        <v>247</v>
      </c>
      <c r="AB1745" s="52" t="s">
        <v>247</v>
      </c>
      <c r="AC1745" s="52" t="s">
        <v>247</v>
      </c>
      <c r="AD1745" s="52" t="s">
        <v>1</v>
      </c>
      <c r="AE1745" s="52" t="s">
        <v>376</v>
      </c>
      <c r="AF1745" s="155" t="s">
        <v>247</v>
      </c>
      <c r="AG1745" s="155" t="s">
        <v>247</v>
      </c>
    </row>
    <row r="1746" spans="25:33">
      <c r="Y1746" s="47">
        <v>4818</v>
      </c>
      <c r="Z1746" s="52" t="s">
        <v>408</v>
      </c>
      <c r="AA1746" s="52" t="s">
        <v>247</v>
      </c>
      <c r="AB1746" s="52" t="s">
        <v>247</v>
      </c>
      <c r="AC1746" s="52" t="s">
        <v>247</v>
      </c>
      <c r="AD1746" s="52" t="s">
        <v>1</v>
      </c>
      <c r="AE1746" s="52" t="s">
        <v>376</v>
      </c>
      <c r="AF1746" s="155" t="s">
        <v>247</v>
      </c>
      <c r="AG1746" s="155" t="s">
        <v>247</v>
      </c>
    </row>
    <row r="1747" spans="25:33">
      <c r="Y1747" s="47">
        <v>4819</v>
      </c>
      <c r="Z1747" s="52" t="s">
        <v>408</v>
      </c>
      <c r="AA1747" s="52" t="s">
        <v>247</v>
      </c>
      <c r="AB1747" s="52" t="s">
        <v>247</v>
      </c>
      <c r="AC1747" s="52" t="s">
        <v>247</v>
      </c>
      <c r="AD1747" s="52" t="s">
        <v>1</v>
      </c>
      <c r="AE1747" s="52" t="s">
        <v>376</v>
      </c>
      <c r="AF1747" s="155" t="s">
        <v>247</v>
      </c>
      <c r="AG1747" s="155" t="s">
        <v>247</v>
      </c>
    </row>
    <row r="1748" spans="25:33">
      <c r="Y1748" s="47">
        <v>4820</v>
      </c>
      <c r="Z1748" s="52" t="s">
        <v>408</v>
      </c>
      <c r="AA1748" s="52" t="s">
        <v>247</v>
      </c>
      <c r="AB1748" s="52" t="s">
        <v>247</v>
      </c>
      <c r="AC1748" s="52" t="s">
        <v>247</v>
      </c>
      <c r="AD1748" s="52" t="s">
        <v>1</v>
      </c>
      <c r="AE1748" s="52" t="s">
        <v>376</v>
      </c>
      <c r="AF1748" s="155" t="s">
        <v>247</v>
      </c>
      <c r="AG1748" s="155" t="s">
        <v>247</v>
      </c>
    </row>
    <row r="1749" spans="25:33">
      <c r="Y1749" s="47">
        <v>4821</v>
      </c>
      <c r="Z1749" s="52" t="s">
        <v>408</v>
      </c>
      <c r="AA1749" s="52" t="s">
        <v>247</v>
      </c>
      <c r="AB1749" s="52" t="s">
        <v>247</v>
      </c>
      <c r="AC1749" s="52" t="s">
        <v>247</v>
      </c>
      <c r="AD1749" s="52" t="s">
        <v>1</v>
      </c>
      <c r="AE1749" s="52" t="s">
        <v>376</v>
      </c>
      <c r="AF1749" s="155" t="s">
        <v>247</v>
      </c>
      <c r="AG1749" s="155" t="s">
        <v>247</v>
      </c>
    </row>
    <row r="1750" spans="25:33">
      <c r="Y1750" s="47">
        <v>4822</v>
      </c>
      <c r="Z1750" s="52" t="s">
        <v>408</v>
      </c>
      <c r="AA1750" s="52" t="s">
        <v>247</v>
      </c>
      <c r="AB1750" s="52" t="s">
        <v>247</v>
      </c>
      <c r="AC1750" s="52" t="s">
        <v>247</v>
      </c>
      <c r="AD1750" s="52" t="s">
        <v>1</v>
      </c>
      <c r="AE1750" s="52" t="s">
        <v>376</v>
      </c>
      <c r="AF1750" s="155" t="s">
        <v>247</v>
      </c>
      <c r="AG1750" s="155" t="s">
        <v>247</v>
      </c>
    </row>
    <row r="1751" spans="25:33">
      <c r="Y1751" s="47">
        <v>4823</v>
      </c>
      <c r="Z1751" s="52" t="s">
        <v>408</v>
      </c>
      <c r="AA1751" s="52" t="s">
        <v>247</v>
      </c>
      <c r="AB1751" s="52" t="s">
        <v>247</v>
      </c>
      <c r="AC1751" s="52" t="s">
        <v>247</v>
      </c>
      <c r="AD1751" s="52" t="s">
        <v>1</v>
      </c>
      <c r="AE1751" s="52" t="s">
        <v>376</v>
      </c>
      <c r="AF1751" s="155" t="s">
        <v>247</v>
      </c>
      <c r="AG1751" s="155" t="s">
        <v>247</v>
      </c>
    </row>
    <row r="1752" spans="25:33">
      <c r="Y1752" s="47">
        <v>4824</v>
      </c>
      <c r="Z1752" s="52" t="s">
        <v>408</v>
      </c>
      <c r="AA1752" s="52" t="s">
        <v>247</v>
      </c>
      <c r="AB1752" s="52" t="s">
        <v>247</v>
      </c>
      <c r="AC1752" s="52" t="s">
        <v>247</v>
      </c>
      <c r="AD1752" s="52" t="s">
        <v>1</v>
      </c>
      <c r="AE1752" s="52" t="s">
        <v>376</v>
      </c>
      <c r="AF1752" s="155" t="s">
        <v>247</v>
      </c>
      <c r="AG1752" s="155" t="s">
        <v>247</v>
      </c>
    </row>
    <row r="1753" spans="25:33">
      <c r="Y1753" s="47">
        <v>4825</v>
      </c>
      <c r="Z1753" s="52" t="s">
        <v>409</v>
      </c>
      <c r="AA1753" s="52" t="s">
        <v>247</v>
      </c>
      <c r="AB1753" s="52" t="s">
        <v>247</v>
      </c>
      <c r="AC1753" s="52" t="s">
        <v>247</v>
      </c>
      <c r="AD1753" s="52" t="s">
        <v>1</v>
      </c>
      <c r="AE1753" s="52" t="s">
        <v>376</v>
      </c>
      <c r="AF1753" s="155" t="s">
        <v>247</v>
      </c>
      <c r="AG1753" s="155" t="s">
        <v>247</v>
      </c>
    </row>
    <row r="1754" spans="25:33">
      <c r="Y1754" s="47">
        <v>4826</v>
      </c>
      <c r="Z1754" s="52" t="s">
        <v>409</v>
      </c>
      <c r="AA1754" s="52" t="s">
        <v>247</v>
      </c>
      <c r="AB1754" s="52" t="s">
        <v>247</v>
      </c>
      <c r="AC1754" s="52" t="s">
        <v>247</v>
      </c>
      <c r="AD1754" s="52" t="s">
        <v>1</v>
      </c>
      <c r="AE1754" s="52" t="s">
        <v>376</v>
      </c>
      <c r="AF1754" s="155" t="s">
        <v>247</v>
      </c>
      <c r="AG1754" s="155" t="s">
        <v>247</v>
      </c>
    </row>
    <row r="1755" spans="25:33">
      <c r="Y1755" s="47">
        <v>4827</v>
      </c>
      <c r="Z1755" s="52" t="s">
        <v>409</v>
      </c>
      <c r="AA1755" s="52" t="s">
        <v>247</v>
      </c>
      <c r="AB1755" s="52" t="s">
        <v>247</v>
      </c>
      <c r="AC1755" s="52" t="s">
        <v>247</v>
      </c>
      <c r="AD1755" s="52" t="s">
        <v>1</v>
      </c>
      <c r="AE1755" s="52" t="s">
        <v>376</v>
      </c>
      <c r="AF1755" s="155" t="s">
        <v>247</v>
      </c>
      <c r="AG1755" s="155" t="s">
        <v>247</v>
      </c>
    </row>
    <row r="1756" spans="25:33">
      <c r="Y1756" s="47">
        <v>4828</v>
      </c>
      <c r="Z1756" s="52" t="s">
        <v>409</v>
      </c>
      <c r="AA1756" s="52" t="s">
        <v>247</v>
      </c>
      <c r="AB1756" s="52" t="s">
        <v>247</v>
      </c>
      <c r="AC1756" s="52" t="s">
        <v>247</v>
      </c>
      <c r="AD1756" s="52" t="s">
        <v>1</v>
      </c>
      <c r="AE1756" s="52" t="s">
        <v>376</v>
      </c>
      <c r="AF1756" s="155" t="s">
        <v>247</v>
      </c>
      <c r="AG1756" s="155" t="s">
        <v>247</v>
      </c>
    </row>
    <row r="1757" spans="25:33">
      <c r="Y1757" s="47">
        <v>4829</v>
      </c>
      <c r="Z1757" s="52" t="s">
        <v>409</v>
      </c>
      <c r="AA1757" s="52" t="s">
        <v>247</v>
      </c>
      <c r="AB1757" s="52" t="s">
        <v>247</v>
      </c>
      <c r="AC1757" s="52" t="s">
        <v>247</v>
      </c>
      <c r="AD1757" s="52" t="s">
        <v>1</v>
      </c>
      <c r="AE1757" s="52" t="s">
        <v>376</v>
      </c>
      <c r="AF1757" s="155" t="s">
        <v>247</v>
      </c>
      <c r="AG1757" s="155" t="s">
        <v>247</v>
      </c>
    </row>
    <row r="1758" spans="25:33">
      <c r="Y1758" s="47">
        <v>4830</v>
      </c>
      <c r="Z1758" s="52" t="s">
        <v>409</v>
      </c>
      <c r="AA1758" s="52" t="s">
        <v>247</v>
      </c>
      <c r="AB1758" s="52" t="s">
        <v>247</v>
      </c>
      <c r="AC1758" s="52" t="s">
        <v>247</v>
      </c>
      <c r="AD1758" s="52" t="s">
        <v>1</v>
      </c>
      <c r="AE1758" s="52" t="s">
        <v>376</v>
      </c>
      <c r="AF1758" s="155" t="s">
        <v>247</v>
      </c>
      <c r="AG1758" s="155" t="s">
        <v>247</v>
      </c>
    </row>
    <row r="1759" spans="25:33">
      <c r="Y1759" s="47">
        <v>4849</v>
      </c>
      <c r="Z1759" s="52" t="s">
        <v>408</v>
      </c>
      <c r="AA1759" s="52" t="s">
        <v>247</v>
      </c>
      <c r="AB1759" s="52" t="s">
        <v>247</v>
      </c>
      <c r="AC1759" s="52" t="s">
        <v>247</v>
      </c>
      <c r="AD1759" s="52" t="s">
        <v>1</v>
      </c>
      <c r="AE1759" s="52" t="s">
        <v>376</v>
      </c>
      <c r="AF1759" s="155" t="s">
        <v>247</v>
      </c>
      <c r="AG1759" s="155" t="s">
        <v>247</v>
      </c>
    </row>
    <row r="1760" spans="25:33">
      <c r="Y1760" s="47">
        <v>4850</v>
      </c>
      <c r="Z1760" s="52" t="s">
        <v>408</v>
      </c>
      <c r="AA1760" s="52" t="s">
        <v>247</v>
      </c>
      <c r="AB1760" s="52" t="s">
        <v>247</v>
      </c>
      <c r="AC1760" s="52" t="s">
        <v>247</v>
      </c>
      <c r="AD1760" s="52" t="s">
        <v>1</v>
      </c>
      <c r="AE1760" s="52" t="s">
        <v>376</v>
      </c>
      <c r="AF1760" s="155" t="s">
        <v>247</v>
      </c>
      <c r="AG1760" s="155" t="s">
        <v>247</v>
      </c>
    </row>
    <row r="1761" spans="25:33">
      <c r="Y1761" s="47">
        <v>4851</v>
      </c>
      <c r="Z1761" s="52" t="s">
        <v>408</v>
      </c>
      <c r="AA1761" s="52" t="s">
        <v>247</v>
      </c>
      <c r="AB1761" s="52" t="s">
        <v>247</v>
      </c>
      <c r="AC1761" s="52" t="s">
        <v>247</v>
      </c>
      <c r="AD1761" s="52" t="s">
        <v>1</v>
      </c>
      <c r="AE1761" s="52" t="s">
        <v>376</v>
      </c>
      <c r="AF1761" s="155" t="s">
        <v>247</v>
      </c>
      <c r="AG1761" s="155" t="s">
        <v>247</v>
      </c>
    </row>
    <row r="1762" spans="25:33">
      <c r="Y1762" s="47">
        <v>4852</v>
      </c>
      <c r="Z1762" s="52" t="s">
        <v>408</v>
      </c>
      <c r="AA1762" s="52" t="s">
        <v>247</v>
      </c>
      <c r="AB1762" s="52" t="s">
        <v>247</v>
      </c>
      <c r="AC1762" s="52" t="s">
        <v>247</v>
      </c>
      <c r="AD1762" s="52" t="s">
        <v>1</v>
      </c>
      <c r="AE1762" s="52" t="s">
        <v>376</v>
      </c>
      <c r="AF1762" s="155" t="s">
        <v>247</v>
      </c>
      <c r="AG1762" s="155" t="s">
        <v>247</v>
      </c>
    </row>
    <row r="1763" spans="25:33">
      <c r="Y1763" s="47">
        <v>4853</v>
      </c>
      <c r="Z1763" s="52" t="s">
        <v>408</v>
      </c>
      <c r="AA1763" s="52" t="s">
        <v>247</v>
      </c>
      <c r="AB1763" s="52" t="s">
        <v>247</v>
      </c>
      <c r="AC1763" s="52" t="s">
        <v>247</v>
      </c>
      <c r="AD1763" s="52" t="s">
        <v>1</v>
      </c>
      <c r="AE1763" s="52" t="s">
        <v>376</v>
      </c>
      <c r="AF1763" s="155" t="s">
        <v>247</v>
      </c>
      <c r="AG1763" s="155" t="s">
        <v>247</v>
      </c>
    </row>
    <row r="1764" spans="25:33">
      <c r="Y1764" s="47">
        <v>4854</v>
      </c>
      <c r="Z1764" s="52" t="s">
        <v>408</v>
      </c>
      <c r="AA1764" s="52" t="s">
        <v>247</v>
      </c>
      <c r="AB1764" s="52" t="s">
        <v>247</v>
      </c>
      <c r="AC1764" s="52" t="s">
        <v>247</v>
      </c>
      <c r="AD1764" s="52" t="s">
        <v>1</v>
      </c>
      <c r="AE1764" s="52" t="s">
        <v>376</v>
      </c>
      <c r="AF1764" s="155" t="s">
        <v>247</v>
      </c>
      <c r="AG1764" s="155" t="s">
        <v>247</v>
      </c>
    </row>
    <row r="1765" spans="25:33">
      <c r="Y1765" s="47">
        <v>4855</v>
      </c>
      <c r="Z1765" s="52" t="s">
        <v>408</v>
      </c>
      <c r="AA1765" s="52" t="s">
        <v>247</v>
      </c>
      <c r="AB1765" s="52" t="s">
        <v>247</v>
      </c>
      <c r="AC1765" s="52" t="s">
        <v>247</v>
      </c>
      <c r="AD1765" s="52" t="s">
        <v>1</v>
      </c>
      <c r="AE1765" s="52" t="s">
        <v>376</v>
      </c>
      <c r="AF1765" s="155" t="s">
        <v>247</v>
      </c>
      <c r="AG1765" s="155" t="s">
        <v>247</v>
      </c>
    </row>
    <row r="1766" spans="25:33">
      <c r="Y1766" s="47">
        <v>4856</v>
      </c>
      <c r="Z1766" s="52" t="s">
        <v>408</v>
      </c>
      <c r="AA1766" s="52" t="s">
        <v>247</v>
      </c>
      <c r="AB1766" s="52" t="s">
        <v>247</v>
      </c>
      <c r="AC1766" s="52" t="s">
        <v>247</v>
      </c>
      <c r="AD1766" s="52" t="s">
        <v>1</v>
      </c>
      <c r="AE1766" s="52" t="s">
        <v>376</v>
      </c>
      <c r="AF1766" s="155" t="s">
        <v>247</v>
      </c>
      <c r="AG1766" s="155" t="s">
        <v>247</v>
      </c>
    </row>
    <row r="1767" spans="25:33">
      <c r="Y1767" s="47">
        <v>4857</v>
      </c>
      <c r="Z1767" s="52" t="s">
        <v>408</v>
      </c>
      <c r="AA1767" s="52" t="s">
        <v>247</v>
      </c>
      <c r="AB1767" s="52" t="s">
        <v>247</v>
      </c>
      <c r="AC1767" s="52" t="s">
        <v>247</v>
      </c>
      <c r="AD1767" s="52" t="s">
        <v>1</v>
      </c>
      <c r="AE1767" s="52" t="s">
        <v>376</v>
      </c>
      <c r="AF1767" s="155" t="s">
        <v>247</v>
      </c>
      <c r="AG1767" s="155" t="s">
        <v>247</v>
      </c>
    </row>
    <row r="1768" spans="25:33">
      <c r="Y1768" s="47">
        <v>4858</v>
      </c>
      <c r="Z1768" s="52" t="s">
        <v>408</v>
      </c>
      <c r="AA1768" s="52" t="s">
        <v>247</v>
      </c>
      <c r="AB1768" s="52" t="s">
        <v>247</v>
      </c>
      <c r="AC1768" s="52" t="s">
        <v>247</v>
      </c>
      <c r="AD1768" s="52" t="s">
        <v>1</v>
      </c>
      <c r="AE1768" s="52" t="s">
        <v>376</v>
      </c>
      <c r="AF1768" s="155" t="s">
        <v>247</v>
      </c>
      <c r="AG1768" s="155" t="s">
        <v>247</v>
      </c>
    </row>
    <row r="1769" spans="25:33">
      <c r="Y1769" s="47">
        <v>4859</v>
      </c>
      <c r="Z1769" s="52" t="s">
        <v>408</v>
      </c>
      <c r="AA1769" s="52" t="s">
        <v>247</v>
      </c>
      <c r="AB1769" s="52" t="s">
        <v>247</v>
      </c>
      <c r="AC1769" s="52" t="s">
        <v>247</v>
      </c>
      <c r="AD1769" s="52" t="s">
        <v>1</v>
      </c>
      <c r="AE1769" s="52" t="s">
        <v>376</v>
      </c>
      <c r="AF1769" s="155" t="s">
        <v>247</v>
      </c>
      <c r="AG1769" s="155" t="s">
        <v>247</v>
      </c>
    </row>
    <row r="1770" spans="25:33">
      <c r="Y1770" s="47">
        <v>4860</v>
      </c>
      <c r="Z1770" s="52" t="s">
        <v>408</v>
      </c>
      <c r="AA1770" s="52" t="s">
        <v>247</v>
      </c>
      <c r="AB1770" s="52" t="s">
        <v>247</v>
      </c>
      <c r="AC1770" s="52" t="s">
        <v>247</v>
      </c>
      <c r="AD1770" s="52" t="s">
        <v>1</v>
      </c>
      <c r="AE1770" s="52" t="s">
        <v>376</v>
      </c>
      <c r="AF1770" s="155" t="s">
        <v>247</v>
      </c>
      <c r="AG1770" s="155" t="s">
        <v>247</v>
      </c>
    </row>
    <row r="1771" spans="25:33">
      <c r="Y1771" s="47">
        <v>4861</v>
      </c>
      <c r="Z1771" s="52" t="s">
        <v>408</v>
      </c>
      <c r="AA1771" s="52" t="s">
        <v>247</v>
      </c>
      <c r="AB1771" s="52" t="s">
        <v>247</v>
      </c>
      <c r="AC1771" s="52" t="s">
        <v>247</v>
      </c>
      <c r="AD1771" s="52" t="s">
        <v>1</v>
      </c>
      <c r="AE1771" s="52" t="s">
        <v>376</v>
      </c>
      <c r="AF1771" s="155" t="s">
        <v>247</v>
      </c>
      <c r="AG1771" s="155" t="s">
        <v>247</v>
      </c>
    </row>
    <row r="1772" spans="25:33">
      <c r="Y1772" s="47">
        <v>4862</v>
      </c>
      <c r="Z1772" s="52" t="s">
        <v>408</v>
      </c>
      <c r="AA1772" s="52" t="s">
        <v>247</v>
      </c>
      <c r="AB1772" s="52" t="s">
        <v>247</v>
      </c>
      <c r="AC1772" s="52" t="s">
        <v>247</v>
      </c>
      <c r="AD1772" s="52" t="s">
        <v>1</v>
      </c>
      <c r="AE1772" s="52" t="s">
        <v>376</v>
      </c>
      <c r="AF1772" s="155" t="s">
        <v>247</v>
      </c>
      <c r="AG1772" s="155" t="s">
        <v>247</v>
      </c>
    </row>
    <row r="1773" spans="25:33">
      <c r="Y1773" s="47">
        <v>4863</v>
      </c>
      <c r="Z1773" s="52" t="s">
        <v>408</v>
      </c>
      <c r="AA1773" s="52" t="s">
        <v>247</v>
      </c>
      <c r="AB1773" s="52" t="s">
        <v>247</v>
      </c>
      <c r="AC1773" s="52" t="s">
        <v>247</v>
      </c>
      <c r="AD1773" s="52" t="s">
        <v>1</v>
      </c>
      <c r="AE1773" s="52" t="s">
        <v>376</v>
      </c>
      <c r="AF1773" s="155" t="s">
        <v>247</v>
      </c>
      <c r="AG1773" s="155" t="s">
        <v>247</v>
      </c>
    </row>
    <row r="1774" spans="25:33">
      <c r="Y1774" s="47">
        <v>4864</v>
      </c>
      <c r="Z1774" s="52" t="s">
        <v>408</v>
      </c>
      <c r="AA1774" s="52" t="s">
        <v>247</v>
      </c>
      <c r="AB1774" s="52" t="s">
        <v>247</v>
      </c>
      <c r="AC1774" s="52" t="s">
        <v>247</v>
      </c>
      <c r="AD1774" s="52" t="s">
        <v>1</v>
      </c>
      <c r="AE1774" s="52" t="s">
        <v>376</v>
      </c>
      <c r="AF1774" s="155" t="s">
        <v>247</v>
      </c>
      <c r="AG1774" s="155" t="s">
        <v>247</v>
      </c>
    </row>
    <row r="1775" spans="25:33">
      <c r="Y1775" s="47">
        <v>4865</v>
      </c>
      <c r="Z1775" s="52" t="s">
        <v>408</v>
      </c>
      <c r="AA1775" s="52" t="s">
        <v>247</v>
      </c>
      <c r="AB1775" s="52" t="s">
        <v>247</v>
      </c>
      <c r="AC1775" s="52" t="s">
        <v>247</v>
      </c>
      <c r="AD1775" s="52" t="s">
        <v>1</v>
      </c>
      <c r="AE1775" s="52" t="s">
        <v>376</v>
      </c>
      <c r="AF1775" s="155" t="s">
        <v>247</v>
      </c>
      <c r="AG1775" s="155" t="s">
        <v>247</v>
      </c>
    </row>
    <row r="1776" spans="25:33">
      <c r="Y1776" s="47">
        <v>4866</v>
      </c>
      <c r="Z1776" s="52" t="s">
        <v>408</v>
      </c>
      <c r="AA1776" s="52" t="s">
        <v>247</v>
      </c>
      <c r="AB1776" s="52" t="s">
        <v>247</v>
      </c>
      <c r="AC1776" s="52" t="s">
        <v>247</v>
      </c>
      <c r="AD1776" s="52" t="s">
        <v>1</v>
      </c>
      <c r="AE1776" s="52" t="s">
        <v>376</v>
      </c>
      <c r="AF1776" s="155" t="s">
        <v>247</v>
      </c>
      <c r="AG1776" s="155" t="s">
        <v>247</v>
      </c>
    </row>
    <row r="1777" spans="25:33">
      <c r="Y1777" s="47">
        <v>4867</v>
      </c>
      <c r="Z1777" s="52" t="s">
        <v>408</v>
      </c>
      <c r="AA1777" s="52" t="s">
        <v>247</v>
      </c>
      <c r="AB1777" s="52" t="s">
        <v>247</v>
      </c>
      <c r="AC1777" s="52" t="s">
        <v>247</v>
      </c>
      <c r="AD1777" s="52" t="s">
        <v>1</v>
      </c>
      <c r="AE1777" s="52" t="s">
        <v>376</v>
      </c>
      <c r="AF1777" s="155" t="s">
        <v>247</v>
      </c>
      <c r="AG1777" s="155" t="s">
        <v>247</v>
      </c>
    </row>
    <row r="1778" spans="25:33">
      <c r="Y1778" s="47">
        <v>4868</v>
      </c>
      <c r="Z1778" s="52" t="s">
        <v>408</v>
      </c>
      <c r="AA1778" s="52" t="s">
        <v>247</v>
      </c>
      <c r="AB1778" s="52" t="s">
        <v>247</v>
      </c>
      <c r="AC1778" s="52" t="s">
        <v>247</v>
      </c>
      <c r="AD1778" s="52" t="s">
        <v>1</v>
      </c>
      <c r="AE1778" s="52" t="s">
        <v>376</v>
      </c>
      <c r="AF1778" s="155" t="s">
        <v>247</v>
      </c>
      <c r="AG1778" s="155" t="s">
        <v>247</v>
      </c>
    </row>
    <row r="1779" spans="25:33">
      <c r="Y1779" s="47">
        <v>4869</v>
      </c>
      <c r="Z1779" s="52" t="s">
        <v>408</v>
      </c>
      <c r="AA1779" s="52" t="s">
        <v>247</v>
      </c>
      <c r="AB1779" s="52" t="s">
        <v>247</v>
      </c>
      <c r="AC1779" s="52" t="s">
        <v>247</v>
      </c>
      <c r="AD1779" s="52" t="s">
        <v>1</v>
      </c>
      <c r="AE1779" s="52" t="s">
        <v>376</v>
      </c>
      <c r="AF1779" s="155" t="s">
        <v>247</v>
      </c>
      <c r="AG1779" s="155" t="s">
        <v>247</v>
      </c>
    </row>
    <row r="1780" spans="25:33">
      <c r="Y1780" s="47">
        <v>4870</v>
      </c>
      <c r="Z1780" s="52" t="s">
        <v>408</v>
      </c>
      <c r="AA1780" s="52" t="s">
        <v>247</v>
      </c>
      <c r="AB1780" s="52" t="s">
        <v>247</v>
      </c>
      <c r="AC1780" s="52" t="s">
        <v>247</v>
      </c>
      <c r="AD1780" s="52" t="s">
        <v>1</v>
      </c>
      <c r="AE1780" s="52" t="s">
        <v>376</v>
      </c>
      <c r="AF1780" s="155" t="s">
        <v>247</v>
      </c>
      <c r="AG1780" s="155" t="s">
        <v>247</v>
      </c>
    </row>
    <row r="1781" spans="25:33">
      <c r="Y1781" s="47">
        <v>4871</v>
      </c>
      <c r="Z1781" s="52" t="s">
        <v>408</v>
      </c>
      <c r="AA1781" s="52" t="s">
        <v>247</v>
      </c>
      <c r="AB1781" s="52" t="s">
        <v>247</v>
      </c>
      <c r="AC1781" s="52" t="s">
        <v>247</v>
      </c>
      <c r="AD1781" s="52" t="s">
        <v>1</v>
      </c>
      <c r="AE1781" s="52" t="s">
        <v>376</v>
      </c>
      <c r="AF1781" s="155" t="s">
        <v>247</v>
      </c>
      <c r="AG1781" s="155" t="s">
        <v>247</v>
      </c>
    </row>
    <row r="1782" spans="25:33">
      <c r="Y1782" s="47">
        <v>4872</v>
      </c>
      <c r="Z1782" s="52" t="s">
        <v>408</v>
      </c>
      <c r="AA1782" s="52" t="s">
        <v>247</v>
      </c>
      <c r="AB1782" s="52" t="s">
        <v>247</v>
      </c>
      <c r="AC1782" s="52" t="s">
        <v>247</v>
      </c>
      <c r="AD1782" s="52" t="s">
        <v>1</v>
      </c>
      <c r="AE1782" s="52" t="s">
        <v>376</v>
      </c>
      <c r="AF1782" s="155" t="s">
        <v>247</v>
      </c>
      <c r="AG1782" s="155" t="s">
        <v>247</v>
      </c>
    </row>
    <row r="1783" spans="25:33">
      <c r="Y1783" s="47">
        <v>4873</v>
      </c>
      <c r="Z1783" s="52" t="s">
        <v>408</v>
      </c>
      <c r="AA1783" s="52" t="s">
        <v>247</v>
      </c>
      <c r="AB1783" s="52" t="s">
        <v>247</v>
      </c>
      <c r="AC1783" s="52" t="s">
        <v>247</v>
      </c>
      <c r="AD1783" s="52" t="s">
        <v>1</v>
      </c>
      <c r="AE1783" s="52" t="s">
        <v>376</v>
      </c>
      <c r="AF1783" s="155" t="s">
        <v>247</v>
      </c>
      <c r="AG1783" s="155" t="s">
        <v>247</v>
      </c>
    </row>
    <row r="1784" spans="25:33">
      <c r="Y1784" s="47">
        <v>4874</v>
      </c>
      <c r="Z1784" s="52" t="s">
        <v>408</v>
      </c>
      <c r="AA1784" s="52" t="s">
        <v>247</v>
      </c>
      <c r="AB1784" s="52" t="s">
        <v>247</v>
      </c>
      <c r="AC1784" s="52" t="s">
        <v>247</v>
      </c>
      <c r="AD1784" s="52" t="s">
        <v>1</v>
      </c>
      <c r="AE1784" s="52" t="s">
        <v>376</v>
      </c>
      <c r="AF1784" s="155" t="s">
        <v>247</v>
      </c>
      <c r="AG1784" s="155" t="s">
        <v>247</v>
      </c>
    </row>
    <row r="1785" spans="25:33">
      <c r="Y1785" s="47">
        <v>4875</v>
      </c>
      <c r="Z1785" s="52" t="s">
        <v>408</v>
      </c>
      <c r="AA1785" s="52" t="s">
        <v>247</v>
      </c>
      <c r="AB1785" s="52" t="s">
        <v>247</v>
      </c>
      <c r="AC1785" s="52" t="s">
        <v>247</v>
      </c>
      <c r="AD1785" s="52" t="s">
        <v>1</v>
      </c>
      <c r="AE1785" s="52" t="s">
        <v>376</v>
      </c>
      <c r="AF1785" s="155" t="s">
        <v>247</v>
      </c>
      <c r="AG1785" s="155" t="s">
        <v>247</v>
      </c>
    </row>
    <row r="1786" spans="25:33">
      <c r="Y1786" s="47">
        <v>4876</v>
      </c>
      <c r="Z1786" s="52" t="s">
        <v>408</v>
      </c>
      <c r="AA1786" s="52" t="s">
        <v>247</v>
      </c>
      <c r="AB1786" s="52" t="s">
        <v>247</v>
      </c>
      <c r="AC1786" s="52" t="s">
        <v>247</v>
      </c>
      <c r="AD1786" s="52" t="s">
        <v>1</v>
      </c>
      <c r="AE1786" s="52" t="s">
        <v>376</v>
      </c>
      <c r="AF1786" s="155" t="s">
        <v>247</v>
      </c>
      <c r="AG1786" s="155" t="s">
        <v>247</v>
      </c>
    </row>
    <row r="1787" spans="25:33">
      <c r="Y1787" s="47">
        <v>4877</v>
      </c>
      <c r="Z1787" s="52" t="s">
        <v>408</v>
      </c>
      <c r="AA1787" s="52" t="s">
        <v>247</v>
      </c>
      <c r="AB1787" s="52" t="s">
        <v>247</v>
      </c>
      <c r="AC1787" s="52" t="s">
        <v>247</v>
      </c>
      <c r="AD1787" s="52" t="s">
        <v>1</v>
      </c>
      <c r="AE1787" s="52" t="s">
        <v>376</v>
      </c>
      <c r="AF1787" s="155" t="s">
        <v>247</v>
      </c>
      <c r="AG1787" s="155" t="s">
        <v>247</v>
      </c>
    </row>
    <row r="1788" spans="25:33">
      <c r="Y1788" s="47">
        <v>4878</v>
      </c>
      <c r="Z1788" s="52" t="s">
        <v>408</v>
      </c>
      <c r="AA1788" s="52" t="s">
        <v>247</v>
      </c>
      <c r="AB1788" s="52" t="s">
        <v>247</v>
      </c>
      <c r="AC1788" s="52" t="s">
        <v>247</v>
      </c>
      <c r="AD1788" s="52" t="s">
        <v>1</v>
      </c>
      <c r="AE1788" s="52" t="s">
        <v>376</v>
      </c>
      <c r="AF1788" s="155" t="s">
        <v>247</v>
      </c>
      <c r="AG1788" s="155" t="s">
        <v>247</v>
      </c>
    </row>
    <row r="1789" spans="25:33">
      <c r="Y1789" s="47">
        <v>4879</v>
      </c>
      <c r="Z1789" s="52" t="s">
        <v>408</v>
      </c>
      <c r="AA1789" s="52" t="s">
        <v>247</v>
      </c>
      <c r="AB1789" s="52" t="s">
        <v>247</v>
      </c>
      <c r="AC1789" s="52" t="s">
        <v>247</v>
      </c>
      <c r="AD1789" s="52" t="s">
        <v>1</v>
      </c>
      <c r="AE1789" s="52" t="s">
        <v>376</v>
      </c>
      <c r="AF1789" s="155" t="s">
        <v>247</v>
      </c>
      <c r="AG1789" s="155" t="s">
        <v>247</v>
      </c>
    </row>
    <row r="1790" spans="25:33">
      <c r="Y1790" s="47">
        <v>4880</v>
      </c>
      <c r="Z1790" s="52" t="s">
        <v>408</v>
      </c>
      <c r="AA1790" s="52" t="s">
        <v>247</v>
      </c>
      <c r="AB1790" s="52" t="s">
        <v>247</v>
      </c>
      <c r="AC1790" s="52" t="s">
        <v>247</v>
      </c>
      <c r="AD1790" s="52" t="s">
        <v>1</v>
      </c>
      <c r="AE1790" s="52" t="s">
        <v>376</v>
      </c>
      <c r="AF1790" s="155" t="s">
        <v>247</v>
      </c>
      <c r="AG1790" s="155" t="s">
        <v>247</v>
      </c>
    </row>
    <row r="1791" spans="25:33">
      <c r="Y1791" s="47">
        <v>4881</v>
      </c>
      <c r="Z1791" s="52" t="s">
        <v>408</v>
      </c>
      <c r="AA1791" s="52" t="s">
        <v>247</v>
      </c>
      <c r="AB1791" s="52" t="s">
        <v>247</v>
      </c>
      <c r="AC1791" s="52" t="s">
        <v>247</v>
      </c>
      <c r="AD1791" s="52" t="s">
        <v>1</v>
      </c>
      <c r="AE1791" s="52" t="s">
        <v>376</v>
      </c>
      <c r="AF1791" s="155" t="s">
        <v>247</v>
      </c>
      <c r="AG1791" s="155" t="s">
        <v>247</v>
      </c>
    </row>
    <row r="1792" spans="25:33">
      <c r="Y1792" s="47">
        <v>4882</v>
      </c>
      <c r="Z1792" s="52" t="s">
        <v>408</v>
      </c>
      <c r="AA1792" s="52" t="s">
        <v>247</v>
      </c>
      <c r="AB1792" s="52" t="s">
        <v>247</v>
      </c>
      <c r="AC1792" s="52" t="s">
        <v>247</v>
      </c>
      <c r="AD1792" s="52" t="s">
        <v>1</v>
      </c>
      <c r="AE1792" s="52" t="s">
        <v>376</v>
      </c>
      <c r="AF1792" s="155" t="s">
        <v>247</v>
      </c>
      <c r="AG1792" s="155" t="s">
        <v>247</v>
      </c>
    </row>
    <row r="1793" spans="25:33">
      <c r="Y1793" s="47">
        <v>4883</v>
      </c>
      <c r="Z1793" s="52" t="s">
        <v>408</v>
      </c>
      <c r="AA1793" s="52" t="s">
        <v>247</v>
      </c>
      <c r="AB1793" s="52" t="s">
        <v>247</v>
      </c>
      <c r="AC1793" s="52" t="s">
        <v>247</v>
      </c>
      <c r="AD1793" s="52" t="s">
        <v>1</v>
      </c>
      <c r="AE1793" s="52" t="s">
        <v>376</v>
      </c>
      <c r="AF1793" s="155" t="s">
        <v>247</v>
      </c>
      <c r="AG1793" s="155" t="s">
        <v>247</v>
      </c>
    </row>
    <row r="1794" spans="25:33">
      <c r="Y1794" s="47">
        <v>4884</v>
      </c>
      <c r="Z1794" s="52" t="s">
        <v>408</v>
      </c>
      <c r="AA1794" s="52" t="s">
        <v>247</v>
      </c>
      <c r="AB1794" s="52" t="s">
        <v>247</v>
      </c>
      <c r="AC1794" s="52" t="s">
        <v>247</v>
      </c>
      <c r="AD1794" s="52" t="s">
        <v>1</v>
      </c>
      <c r="AE1794" s="52" t="s">
        <v>376</v>
      </c>
      <c r="AF1794" s="155" t="s">
        <v>247</v>
      </c>
      <c r="AG1794" s="155" t="s">
        <v>247</v>
      </c>
    </row>
    <row r="1795" spans="25:33">
      <c r="Y1795" s="47">
        <v>4885</v>
      </c>
      <c r="Z1795" s="52" t="s">
        <v>408</v>
      </c>
      <c r="AA1795" s="52" t="s">
        <v>247</v>
      </c>
      <c r="AB1795" s="52" t="s">
        <v>247</v>
      </c>
      <c r="AC1795" s="52" t="s">
        <v>247</v>
      </c>
      <c r="AD1795" s="52" t="s">
        <v>1</v>
      </c>
      <c r="AE1795" s="52" t="s">
        <v>376</v>
      </c>
      <c r="AF1795" s="155" t="s">
        <v>247</v>
      </c>
      <c r="AG1795" s="155" t="s">
        <v>247</v>
      </c>
    </row>
    <row r="1796" spans="25:33">
      <c r="Y1796" s="47">
        <v>4886</v>
      </c>
      <c r="Z1796" s="52" t="s">
        <v>408</v>
      </c>
      <c r="AA1796" s="52" t="s">
        <v>247</v>
      </c>
      <c r="AB1796" s="52" t="s">
        <v>247</v>
      </c>
      <c r="AC1796" s="52" t="s">
        <v>247</v>
      </c>
      <c r="AD1796" s="52" t="s">
        <v>1</v>
      </c>
      <c r="AE1796" s="52" t="s">
        <v>376</v>
      </c>
      <c r="AF1796" s="155" t="s">
        <v>247</v>
      </c>
      <c r="AG1796" s="155" t="s">
        <v>247</v>
      </c>
    </row>
    <row r="1797" spans="25:33">
      <c r="Y1797" s="47">
        <v>4887</v>
      </c>
      <c r="Z1797" s="52" t="s">
        <v>408</v>
      </c>
      <c r="AA1797" s="52" t="s">
        <v>247</v>
      </c>
      <c r="AB1797" s="52" t="s">
        <v>247</v>
      </c>
      <c r="AC1797" s="52" t="s">
        <v>247</v>
      </c>
      <c r="AD1797" s="52" t="s">
        <v>1</v>
      </c>
      <c r="AE1797" s="52" t="s">
        <v>376</v>
      </c>
      <c r="AF1797" s="155" t="s">
        <v>247</v>
      </c>
      <c r="AG1797" s="155" t="s">
        <v>247</v>
      </c>
    </row>
    <row r="1798" spans="25:33">
      <c r="Y1798" s="47">
        <v>4888</v>
      </c>
      <c r="Z1798" s="52" t="s">
        <v>408</v>
      </c>
      <c r="AA1798" s="52" t="s">
        <v>247</v>
      </c>
      <c r="AB1798" s="52" t="s">
        <v>247</v>
      </c>
      <c r="AC1798" s="52" t="s">
        <v>247</v>
      </c>
      <c r="AD1798" s="52" t="s">
        <v>1</v>
      </c>
      <c r="AE1798" s="52" t="s">
        <v>376</v>
      </c>
      <c r="AF1798" s="155" t="s">
        <v>247</v>
      </c>
      <c r="AG1798" s="155" t="s">
        <v>247</v>
      </c>
    </row>
    <row r="1799" spans="25:33">
      <c r="Y1799" s="47">
        <v>4889</v>
      </c>
      <c r="Z1799" s="52" t="s">
        <v>408</v>
      </c>
      <c r="AA1799" s="52" t="s">
        <v>247</v>
      </c>
      <c r="AB1799" s="52" t="s">
        <v>247</v>
      </c>
      <c r="AC1799" s="52" t="s">
        <v>247</v>
      </c>
      <c r="AD1799" s="52" t="s">
        <v>1</v>
      </c>
      <c r="AE1799" s="52" t="s">
        <v>376</v>
      </c>
      <c r="AF1799" s="155" t="s">
        <v>247</v>
      </c>
      <c r="AG1799" s="155" t="s">
        <v>247</v>
      </c>
    </row>
    <row r="1800" spans="25:33">
      <c r="Y1800" s="47">
        <v>4890</v>
      </c>
      <c r="Z1800" s="52" t="s">
        <v>408</v>
      </c>
      <c r="AA1800" s="52" t="s">
        <v>247</v>
      </c>
      <c r="AB1800" s="52" t="s">
        <v>247</v>
      </c>
      <c r="AC1800" s="52" t="s">
        <v>247</v>
      </c>
      <c r="AD1800" s="52" t="s">
        <v>1</v>
      </c>
      <c r="AE1800" s="52" t="s">
        <v>376</v>
      </c>
      <c r="AF1800" s="155" t="s">
        <v>247</v>
      </c>
      <c r="AG1800" s="155" t="s">
        <v>247</v>
      </c>
    </row>
    <row r="1801" spans="25:33">
      <c r="Y1801" s="47">
        <v>4891</v>
      </c>
      <c r="Z1801" s="52" t="s">
        <v>408</v>
      </c>
      <c r="AA1801" s="52" t="s">
        <v>247</v>
      </c>
      <c r="AB1801" s="52" t="s">
        <v>247</v>
      </c>
      <c r="AC1801" s="52" t="s">
        <v>247</v>
      </c>
      <c r="AD1801" s="52" t="s">
        <v>1</v>
      </c>
      <c r="AE1801" s="52" t="s">
        <v>376</v>
      </c>
      <c r="AF1801" s="155" t="s">
        <v>247</v>
      </c>
      <c r="AG1801" s="155" t="s">
        <v>247</v>
      </c>
    </row>
    <row r="1802" spans="25:33">
      <c r="Y1802" s="47">
        <v>4892</v>
      </c>
      <c r="Z1802" s="52" t="s">
        <v>408</v>
      </c>
      <c r="AA1802" s="52" t="s">
        <v>247</v>
      </c>
      <c r="AB1802" s="52" t="s">
        <v>247</v>
      </c>
      <c r="AC1802" s="52" t="s">
        <v>247</v>
      </c>
      <c r="AD1802" s="52" t="s">
        <v>1</v>
      </c>
      <c r="AE1802" s="52" t="s">
        <v>376</v>
      </c>
      <c r="AF1802" s="155" t="s">
        <v>247</v>
      </c>
      <c r="AG1802" s="155" t="s">
        <v>247</v>
      </c>
    </row>
    <row r="1803" spans="25:33">
      <c r="Y1803" s="47">
        <v>4893</v>
      </c>
      <c r="Z1803" s="52" t="s">
        <v>408</v>
      </c>
      <c r="AA1803" s="52" t="s">
        <v>247</v>
      </c>
      <c r="AB1803" s="52" t="s">
        <v>247</v>
      </c>
      <c r="AC1803" s="52" t="s">
        <v>247</v>
      </c>
      <c r="AD1803" s="52" t="s">
        <v>1</v>
      </c>
      <c r="AE1803" s="52" t="s">
        <v>376</v>
      </c>
      <c r="AF1803" s="155" t="s">
        <v>247</v>
      </c>
      <c r="AG1803" s="155" t="s">
        <v>247</v>
      </c>
    </row>
    <row r="1804" spans="25:33">
      <c r="Y1804" s="47">
        <v>4894</v>
      </c>
      <c r="Z1804" s="52" t="s">
        <v>408</v>
      </c>
      <c r="AA1804" s="52" t="s">
        <v>247</v>
      </c>
      <c r="AB1804" s="52" t="s">
        <v>247</v>
      </c>
      <c r="AC1804" s="52" t="s">
        <v>247</v>
      </c>
      <c r="AD1804" s="52" t="s">
        <v>1</v>
      </c>
      <c r="AE1804" s="52" t="s">
        <v>376</v>
      </c>
      <c r="AF1804" s="155" t="s">
        <v>247</v>
      </c>
      <c r="AG1804" s="155" t="s">
        <v>247</v>
      </c>
    </row>
    <row r="1805" spans="25:33">
      <c r="Y1805" s="47">
        <v>4895</v>
      </c>
      <c r="Z1805" s="52" t="s">
        <v>408</v>
      </c>
      <c r="AA1805" s="52" t="s">
        <v>247</v>
      </c>
      <c r="AB1805" s="52" t="s">
        <v>247</v>
      </c>
      <c r="AC1805" s="52" t="s">
        <v>247</v>
      </c>
      <c r="AD1805" s="52" t="s">
        <v>1</v>
      </c>
      <c r="AE1805" s="52" t="s">
        <v>376</v>
      </c>
      <c r="AF1805" s="155" t="s">
        <v>247</v>
      </c>
      <c r="AG1805" s="155" t="s">
        <v>247</v>
      </c>
    </row>
    <row r="1806" spans="25:33">
      <c r="Y1806" s="47">
        <v>5000</v>
      </c>
      <c r="Z1806" s="52" t="s">
        <v>410</v>
      </c>
      <c r="AA1806" s="52" t="s">
        <v>247</v>
      </c>
      <c r="AB1806" s="52" t="s">
        <v>247</v>
      </c>
      <c r="AC1806" s="52" t="s">
        <v>247</v>
      </c>
      <c r="AD1806" s="52" t="s">
        <v>1</v>
      </c>
      <c r="AE1806" s="52" t="s">
        <v>383</v>
      </c>
      <c r="AF1806" s="155" t="s">
        <v>247</v>
      </c>
      <c r="AG1806" s="155" t="s">
        <v>247</v>
      </c>
    </row>
    <row r="1807" spans="25:33">
      <c r="Y1807" s="47">
        <v>5001</v>
      </c>
      <c r="Z1807" s="52" t="s">
        <v>410</v>
      </c>
      <c r="AA1807" s="52" t="s">
        <v>247</v>
      </c>
      <c r="AB1807" s="52" t="s">
        <v>247</v>
      </c>
      <c r="AC1807" s="52" t="s">
        <v>247</v>
      </c>
      <c r="AD1807" s="52" t="s">
        <v>1</v>
      </c>
      <c r="AE1807" s="52" t="s">
        <v>383</v>
      </c>
      <c r="AF1807" s="155" t="s">
        <v>247</v>
      </c>
      <c r="AG1807" s="155" t="s">
        <v>247</v>
      </c>
    </row>
    <row r="1808" spans="25:33">
      <c r="Y1808" s="47">
        <v>5002</v>
      </c>
      <c r="Z1808" s="52" t="s">
        <v>410</v>
      </c>
      <c r="AA1808" s="52" t="s">
        <v>247</v>
      </c>
      <c r="AB1808" s="52" t="s">
        <v>247</v>
      </c>
      <c r="AC1808" s="52" t="s">
        <v>247</v>
      </c>
      <c r="AD1808" s="52" t="s">
        <v>1</v>
      </c>
      <c r="AE1808" s="52" t="s">
        <v>383</v>
      </c>
      <c r="AF1808" s="155" t="s">
        <v>247</v>
      </c>
      <c r="AG1808" s="155" t="s">
        <v>247</v>
      </c>
    </row>
    <row r="1809" spans="25:33">
      <c r="Y1809" s="47">
        <v>5003</v>
      </c>
      <c r="Z1809" s="52" t="s">
        <v>410</v>
      </c>
      <c r="AA1809" s="52" t="s">
        <v>247</v>
      </c>
      <c r="AB1809" s="52" t="s">
        <v>247</v>
      </c>
      <c r="AC1809" s="52" t="s">
        <v>247</v>
      </c>
      <c r="AD1809" s="52" t="s">
        <v>1</v>
      </c>
      <c r="AE1809" s="52" t="s">
        <v>383</v>
      </c>
      <c r="AF1809" s="155" t="s">
        <v>247</v>
      </c>
      <c r="AG1809" s="155" t="s">
        <v>247</v>
      </c>
    </row>
    <row r="1810" spans="25:33">
      <c r="Y1810" s="47">
        <v>5004</v>
      </c>
      <c r="Z1810" s="52" t="s">
        <v>410</v>
      </c>
      <c r="AA1810" s="52" t="s">
        <v>247</v>
      </c>
      <c r="AB1810" s="52" t="s">
        <v>247</v>
      </c>
      <c r="AC1810" s="52" t="s">
        <v>247</v>
      </c>
      <c r="AD1810" s="52" t="s">
        <v>1</v>
      </c>
      <c r="AE1810" s="52" t="s">
        <v>383</v>
      </c>
      <c r="AF1810" s="155" t="s">
        <v>247</v>
      </c>
      <c r="AG1810" s="155" t="s">
        <v>247</v>
      </c>
    </row>
    <row r="1811" spans="25:33">
      <c r="Y1811" s="47">
        <v>5005</v>
      </c>
      <c r="Z1811" s="52" t="s">
        <v>410</v>
      </c>
      <c r="AA1811" s="52" t="s">
        <v>247</v>
      </c>
      <c r="AB1811" s="52" t="s">
        <v>247</v>
      </c>
      <c r="AC1811" s="52" t="s">
        <v>247</v>
      </c>
      <c r="AD1811" s="52" t="s">
        <v>1</v>
      </c>
      <c r="AE1811" s="52" t="s">
        <v>383</v>
      </c>
      <c r="AF1811" s="155" t="s">
        <v>247</v>
      </c>
      <c r="AG1811" s="155" t="s">
        <v>247</v>
      </c>
    </row>
    <row r="1812" spans="25:33">
      <c r="Y1812" s="47">
        <v>5006</v>
      </c>
      <c r="Z1812" s="52" t="s">
        <v>410</v>
      </c>
      <c r="AA1812" s="52" t="s">
        <v>247</v>
      </c>
      <c r="AB1812" s="52" t="s">
        <v>247</v>
      </c>
      <c r="AC1812" s="52" t="s">
        <v>247</v>
      </c>
      <c r="AD1812" s="52" t="s">
        <v>1</v>
      </c>
      <c r="AE1812" s="52" t="s">
        <v>383</v>
      </c>
      <c r="AF1812" s="155" t="s">
        <v>247</v>
      </c>
      <c r="AG1812" s="155" t="s">
        <v>247</v>
      </c>
    </row>
    <row r="1813" spans="25:33">
      <c r="Y1813" s="47">
        <v>5007</v>
      </c>
      <c r="Z1813" s="52" t="s">
        <v>410</v>
      </c>
      <c r="AA1813" s="52" t="s">
        <v>247</v>
      </c>
      <c r="AB1813" s="52" t="s">
        <v>247</v>
      </c>
      <c r="AC1813" s="52" t="s">
        <v>247</v>
      </c>
      <c r="AD1813" s="52" t="s">
        <v>1</v>
      </c>
      <c r="AE1813" s="52" t="s">
        <v>383</v>
      </c>
      <c r="AF1813" s="155" t="s">
        <v>247</v>
      </c>
      <c r="AG1813" s="155" t="s">
        <v>247</v>
      </c>
    </row>
    <row r="1814" spans="25:33">
      <c r="Y1814" s="47">
        <v>5008</v>
      </c>
      <c r="Z1814" s="52" t="s">
        <v>410</v>
      </c>
      <c r="AA1814" s="52" t="s">
        <v>247</v>
      </c>
      <c r="AB1814" s="52" t="s">
        <v>247</v>
      </c>
      <c r="AC1814" s="52" t="s">
        <v>247</v>
      </c>
      <c r="AD1814" s="52" t="s">
        <v>1</v>
      </c>
      <c r="AE1814" s="52" t="s">
        <v>383</v>
      </c>
      <c r="AF1814" s="155" t="s">
        <v>247</v>
      </c>
      <c r="AG1814" s="155" t="s">
        <v>247</v>
      </c>
    </row>
    <row r="1815" spans="25:33">
      <c r="Y1815" s="47">
        <v>5009</v>
      </c>
      <c r="Z1815" s="52" t="s">
        <v>410</v>
      </c>
      <c r="AA1815" s="52" t="s">
        <v>247</v>
      </c>
      <c r="AB1815" s="52" t="s">
        <v>247</v>
      </c>
      <c r="AC1815" s="52" t="s">
        <v>247</v>
      </c>
      <c r="AD1815" s="52" t="s">
        <v>1</v>
      </c>
      <c r="AE1815" s="52" t="s">
        <v>383</v>
      </c>
      <c r="AF1815" s="155" t="s">
        <v>247</v>
      </c>
      <c r="AG1815" s="155" t="s">
        <v>247</v>
      </c>
    </row>
    <row r="1816" spans="25:33">
      <c r="Y1816" s="47">
        <v>5010</v>
      </c>
      <c r="Z1816" s="52" t="s">
        <v>410</v>
      </c>
      <c r="AA1816" s="52" t="s">
        <v>247</v>
      </c>
      <c r="AB1816" s="52" t="s">
        <v>247</v>
      </c>
      <c r="AC1816" s="52" t="s">
        <v>247</v>
      </c>
      <c r="AD1816" s="52" t="s">
        <v>1</v>
      </c>
      <c r="AE1816" s="52" t="s">
        <v>383</v>
      </c>
      <c r="AF1816" s="155" t="s">
        <v>247</v>
      </c>
      <c r="AG1816" s="155" t="s">
        <v>247</v>
      </c>
    </row>
    <row r="1817" spans="25:33">
      <c r="Y1817" s="47">
        <v>5011</v>
      </c>
      <c r="Z1817" s="52" t="s">
        <v>410</v>
      </c>
      <c r="AA1817" s="52" t="s">
        <v>247</v>
      </c>
      <c r="AB1817" s="52" t="s">
        <v>247</v>
      </c>
      <c r="AC1817" s="52" t="s">
        <v>247</v>
      </c>
      <c r="AD1817" s="52" t="s">
        <v>1</v>
      </c>
      <c r="AE1817" s="52" t="s">
        <v>383</v>
      </c>
      <c r="AF1817" s="155" t="s">
        <v>247</v>
      </c>
      <c r="AG1817" s="155" t="s">
        <v>247</v>
      </c>
    </row>
    <row r="1818" spans="25:33">
      <c r="Y1818" s="47">
        <v>5012</v>
      </c>
      <c r="Z1818" s="52" t="s">
        <v>410</v>
      </c>
      <c r="AA1818" s="52" t="s">
        <v>247</v>
      </c>
      <c r="AB1818" s="52" t="s">
        <v>247</v>
      </c>
      <c r="AC1818" s="52" t="s">
        <v>247</v>
      </c>
      <c r="AD1818" s="52" t="s">
        <v>1</v>
      </c>
      <c r="AE1818" s="52" t="s">
        <v>383</v>
      </c>
      <c r="AF1818" s="155" t="s">
        <v>247</v>
      </c>
      <c r="AG1818" s="155" t="s">
        <v>247</v>
      </c>
    </row>
    <row r="1819" spans="25:33">
      <c r="Y1819" s="47">
        <v>5013</v>
      </c>
      <c r="Z1819" s="52" t="s">
        <v>410</v>
      </c>
      <c r="AA1819" s="52" t="s">
        <v>247</v>
      </c>
      <c r="AB1819" s="52" t="s">
        <v>247</v>
      </c>
      <c r="AC1819" s="52" t="s">
        <v>247</v>
      </c>
      <c r="AD1819" s="52" t="s">
        <v>1</v>
      </c>
      <c r="AE1819" s="52" t="s">
        <v>383</v>
      </c>
      <c r="AF1819" s="155" t="s">
        <v>247</v>
      </c>
      <c r="AG1819" s="155" t="s">
        <v>247</v>
      </c>
    </row>
    <row r="1820" spans="25:33">
      <c r="Y1820" s="47">
        <v>5014</v>
      </c>
      <c r="Z1820" s="52" t="s">
        <v>410</v>
      </c>
      <c r="AA1820" s="52" t="s">
        <v>247</v>
      </c>
      <c r="AB1820" s="52" t="s">
        <v>247</v>
      </c>
      <c r="AC1820" s="52" t="s">
        <v>247</v>
      </c>
      <c r="AD1820" s="52" t="s">
        <v>1</v>
      </c>
      <c r="AE1820" s="52" t="s">
        <v>383</v>
      </c>
      <c r="AF1820" s="155" t="s">
        <v>247</v>
      </c>
      <c r="AG1820" s="155" t="s">
        <v>247</v>
      </c>
    </row>
    <row r="1821" spans="25:33">
      <c r="Y1821" s="47">
        <v>5015</v>
      </c>
      <c r="Z1821" s="52" t="s">
        <v>410</v>
      </c>
      <c r="AA1821" s="52" t="s">
        <v>247</v>
      </c>
      <c r="AB1821" s="52" t="s">
        <v>247</v>
      </c>
      <c r="AC1821" s="52" t="s">
        <v>247</v>
      </c>
      <c r="AD1821" s="52" t="s">
        <v>1</v>
      </c>
      <c r="AE1821" s="52" t="s">
        <v>383</v>
      </c>
      <c r="AF1821" s="155" t="s">
        <v>247</v>
      </c>
      <c r="AG1821" s="155" t="s">
        <v>247</v>
      </c>
    </row>
    <row r="1822" spans="25:33">
      <c r="Y1822" s="47">
        <v>5016</v>
      </c>
      <c r="Z1822" s="52" t="s">
        <v>410</v>
      </c>
      <c r="AA1822" s="52" t="s">
        <v>247</v>
      </c>
      <c r="AB1822" s="52" t="s">
        <v>247</v>
      </c>
      <c r="AC1822" s="52" t="s">
        <v>247</v>
      </c>
      <c r="AD1822" s="52" t="s">
        <v>1</v>
      </c>
      <c r="AE1822" s="52" t="s">
        <v>383</v>
      </c>
      <c r="AF1822" s="155" t="s">
        <v>247</v>
      </c>
      <c r="AG1822" s="155" t="s">
        <v>247</v>
      </c>
    </row>
    <row r="1823" spans="25:33">
      <c r="Y1823" s="47">
        <v>5017</v>
      </c>
      <c r="Z1823" s="52" t="s">
        <v>410</v>
      </c>
      <c r="AA1823" s="52" t="s">
        <v>247</v>
      </c>
      <c r="AB1823" s="52" t="s">
        <v>247</v>
      </c>
      <c r="AC1823" s="52" t="s">
        <v>247</v>
      </c>
      <c r="AD1823" s="52" t="s">
        <v>1</v>
      </c>
      <c r="AE1823" s="52" t="s">
        <v>383</v>
      </c>
      <c r="AF1823" s="155" t="s">
        <v>247</v>
      </c>
      <c r="AG1823" s="155" t="s">
        <v>247</v>
      </c>
    </row>
    <row r="1824" spans="25:33">
      <c r="Y1824" s="47">
        <v>5018</v>
      </c>
      <c r="Z1824" s="52" t="s">
        <v>410</v>
      </c>
      <c r="AA1824" s="52" t="s">
        <v>247</v>
      </c>
      <c r="AB1824" s="52" t="s">
        <v>247</v>
      </c>
      <c r="AC1824" s="52" t="s">
        <v>247</v>
      </c>
      <c r="AD1824" s="52" t="s">
        <v>1</v>
      </c>
      <c r="AE1824" s="52" t="s">
        <v>383</v>
      </c>
      <c r="AF1824" s="155" t="s">
        <v>247</v>
      </c>
      <c r="AG1824" s="155" t="s">
        <v>247</v>
      </c>
    </row>
    <row r="1825" spans="25:33">
      <c r="Y1825" s="47">
        <v>5019</v>
      </c>
      <c r="Z1825" s="52" t="s">
        <v>410</v>
      </c>
      <c r="AA1825" s="52" t="s">
        <v>247</v>
      </c>
      <c r="AB1825" s="52" t="s">
        <v>247</v>
      </c>
      <c r="AC1825" s="52" t="s">
        <v>247</v>
      </c>
      <c r="AD1825" s="52" t="s">
        <v>1</v>
      </c>
      <c r="AE1825" s="52" t="s">
        <v>383</v>
      </c>
      <c r="AF1825" s="155" t="s">
        <v>247</v>
      </c>
      <c r="AG1825" s="155" t="s">
        <v>247</v>
      </c>
    </row>
    <row r="1826" spans="25:33">
      <c r="Y1826" s="47">
        <v>5020</v>
      </c>
      <c r="Z1826" s="52" t="s">
        <v>410</v>
      </c>
      <c r="AA1826" s="52" t="s">
        <v>247</v>
      </c>
      <c r="AB1826" s="52" t="s">
        <v>247</v>
      </c>
      <c r="AC1826" s="52" t="s">
        <v>247</v>
      </c>
      <c r="AD1826" s="52" t="s">
        <v>1</v>
      </c>
      <c r="AE1826" s="52" t="s">
        <v>383</v>
      </c>
      <c r="AF1826" s="155" t="s">
        <v>247</v>
      </c>
      <c r="AG1826" s="155" t="s">
        <v>247</v>
      </c>
    </row>
    <row r="1827" spans="25:33">
      <c r="Y1827" s="47">
        <v>5021</v>
      </c>
      <c r="Z1827" s="52" t="s">
        <v>410</v>
      </c>
      <c r="AA1827" s="52" t="s">
        <v>247</v>
      </c>
      <c r="AB1827" s="52" t="s">
        <v>247</v>
      </c>
      <c r="AC1827" s="52" t="s">
        <v>247</v>
      </c>
      <c r="AD1827" s="52" t="s">
        <v>1</v>
      </c>
      <c r="AE1827" s="52" t="s">
        <v>383</v>
      </c>
      <c r="AF1827" s="155" t="s">
        <v>247</v>
      </c>
      <c r="AG1827" s="155" t="s">
        <v>247</v>
      </c>
    </row>
    <row r="1828" spans="25:33">
      <c r="Y1828" s="47">
        <v>5022</v>
      </c>
      <c r="Z1828" s="52" t="s">
        <v>410</v>
      </c>
      <c r="AA1828" s="52" t="s">
        <v>247</v>
      </c>
      <c r="AB1828" s="52" t="s">
        <v>247</v>
      </c>
      <c r="AC1828" s="52" t="s">
        <v>247</v>
      </c>
      <c r="AD1828" s="52" t="s">
        <v>1</v>
      </c>
      <c r="AE1828" s="52" t="s">
        <v>383</v>
      </c>
      <c r="AF1828" s="155" t="s">
        <v>247</v>
      </c>
      <c r="AG1828" s="155" t="s">
        <v>247</v>
      </c>
    </row>
    <row r="1829" spans="25:33">
      <c r="Y1829" s="47">
        <v>5023</v>
      </c>
      <c r="Z1829" s="52" t="s">
        <v>410</v>
      </c>
      <c r="AA1829" s="52" t="s">
        <v>247</v>
      </c>
      <c r="AB1829" s="52" t="s">
        <v>247</v>
      </c>
      <c r="AC1829" s="52" t="s">
        <v>247</v>
      </c>
      <c r="AD1829" s="52" t="s">
        <v>1</v>
      </c>
      <c r="AE1829" s="52" t="s">
        <v>383</v>
      </c>
      <c r="AF1829" s="155" t="s">
        <v>247</v>
      </c>
      <c r="AG1829" s="155" t="s">
        <v>247</v>
      </c>
    </row>
    <row r="1830" spans="25:33">
      <c r="Y1830" s="47">
        <v>5024</v>
      </c>
      <c r="Z1830" s="52" t="s">
        <v>410</v>
      </c>
      <c r="AA1830" s="52" t="s">
        <v>247</v>
      </c>
      <c r="AB1830" s="52" t="s">
        <v>247</v>
      </c>
      <c r="AC1830" s="52" t="s">
        <v>247</v>
      </c>
      <c r="AD1830" s="52" t="s">
        <v>1</v>
      </c>
      <c r="AE1830" s="52" t="s">
        <v>383</v>
      </c>
      <c r="AF1830" s="155" t="s">
        <v>247</v>
      </c>
      <c r="AG1830" s="155" t="s">
        <v>247</v>
      </c>
    </row>
    <row r="1831" spans="25:33">
      <c r="Y1831" s="47">
        <v>5025</v>
      </c>
      <c r="Z1831" s="52" t="s">
        <v>410</v>
      </c>
      <c r="AA1831" s="52" t="s">
        <v>247</v>
      </c>
      <c r="AB1831" s="52" t="s">
        <v>247</v>
      </c>
      <c r="AC1831" s="52" t="s">
        <v>247</v>
      </c>
      <c r="AD1831" s="52" t="s">
        <v>1</v>
      </c>
      <c r="AE1831" s="52" t="s">
        <v>383</v>
      </c>
      <c r="AF1831" s="155" t="s">
        <v>247</v>
      </c>
      <c r="AG1831" s="155" t="s">
        <v>247</v>
      </c>
    </row>
    <row r="1832" spans="25:33">
      <c r="Y1832" s="47">
        <v>5026</v>
      </c>
      <c r="Z1832" s="52" t="s">
        <v>410</v>
      </c>
      <c r="AA1832" s="52" t="s">
        <v>247</v>
      </c>
      <c r="AB1832" s="52" t="s">
        <v>247</v>
      </c>
      <c r="AC1832" s="52" t="s">
        <v>247</v>
      </c>
      <c r="AD1832" s="52" t="s">
        <v>1</v>
      </c>
      <c r="AE1832" s="52" t="s">
        <v>383</v>
      </c>
      <c r="AF1832" s="155" t="s">
        <v>247</v>
      </c>
      <c r="AG1832" s="155" t="s">
        <v>247</v>
      </c>
    </row>
    <row r="1833" spans="25:33">
      <c r="Y1833" s="47">
        <v>5027</v>
      </c>
      <c r="Z1833" s="52" t="s">
        <v>410</v>
      </c>
      <c r="AA1833" s="52" t="s">
        <v>247</v>
      </c>
      <c r="AB1833" s="52" t="s">
        <v>247</v>
      </c>
      <c r="AC1833" s="52" t="s">
        <v>247</v>
      </c>
      <c r="AD1833" s="52" t="s">
        <v>1</v>
      </c>
      <c r="AE1833" s="52" t="s">
        <v>383</v>
      </c>
      <c r="AF1833" s="155" t="s">
        <v>247</v>
      </c>
      <c r="AG1833" s="155" t="s">
        <v>247</v>
      </c>
    </row>
    <row r="1834" spans="25:33">
      <c r="Y1834" s="47">
        <v>5028</v>
      </c>
      <c r="Z1834" s="52" t="s">
        <v>410</v>
      </c>
      <c r="AA1834" s="52" t="s">
        <v>247</v>
      </c>
      <c r="AB1834" s="52" t="s">
        <v>247</v>
      </c>
      <c r="AC1834" s="52" t="s">
        <v>247</v>
      </c>
      <c r="AD1834" s="52" t="s">
        <v>1</v>
      </c>
      <c r="AE1834" s="52" t="s">
        <v>383</v>
      </c>
      <c r="AF1834" s="155" t="s">
        <v>247</v>
      </c>
      <c r="AG1834" s="155" t="s">
        <v>247</v>
      </c>
    </row>
    <row r="1835" spans="25:33">
      <c r="Y1835" s="47">
        <v>5029</v>
      </c>
      <c r="Z1835" s="52" t="s">
        <v>410</v>
      </c>
      <c r="AA1835" s="52" t="s">
        <v>247</v>
      </c>
      <c r="AB1835" s="52" t="s">
        <v>247</v>
      </c>
      <c r="AC1835" s="52" t="s">
        <v>247</v>
      </c>
      <c r="AD1835" s="52" t="s">
        <v>1</v>
      </c>
      <c r="AE1835" s="52" t="s">
        <v>383</v>
      </c>
      <c r="AF1835" s="155" t="s">
        <v>247</v>
      </c>
      <c r="AG1835" s="155" t="s">
        <v>247</v>
      </c>
    </row>
    <row r="1836" spans="25:33">
      <c r="Y1836" s="47">
        <v>5030</v>
      </c>
      <c r="Z1836" s="52" t="s">
        <v>410</v>
      </c>
      <c r="AA1836" s="52" t="s">
        <v>247</v>
      </c>
      <c r="AB1836" s="52" t="s">
        <v>247</v>
      </c>
      <c r="AC1836" s="52" t="s">
        <v>247</v>
      </c>
      <c r="AD1836" s="52" t="s">
        <v>1</v>
      </c>
      <c r="AE1836" s="52" t="s">
        <v>383</v>
      </c>
      <c r="AF1836" s="155" t="s">
        <v>247</v>
      </c>
      <c r="AG1836" s="155" t="s">
        <v>247</v>
      </c>
    </row>
    <row r="1837" spans="25:33">
      <c r="Y1837" s="47">
        <v>5031</v>
      </c>
      <c r="Z1837" s="52" t="s">
        <v>410</v>
      </c>
      <c r="AA1837" s="52" t="s">
        <v>247</v>
      </c>
      <c r="AB1837" s="52" t="s">
        <v>247</v>
      </c>
      <c r="AC1837" s="52" t="s">
        <v>247</v>
      </c>
      <c r="AD1837" s="52" t="s">
        <v>1</v>
      </c>
      <c r="AE1837" s="52" t="s">
        <v>383</v>
      </c>
      <c r="AF1837" s="155" t="s">
        <v>247</v>
      </c>
      <c r="AG1837" s="155" t="s">
        <v>247</v>
      </c>
    </row>
    <row r="1838" spans="25:33">
      <c r="Y1838" s="47">
        <v>5032</v>
      </c>
      <c r="Z1838" s="52" t="s">
        <v>410</v>
      </c>
      <c r="AA1838" s="52" t="s">
        <v>247</v>
      </c>
      <c r="AB1838" s="52" t="s">
        <v>247</v>
      </c>
      <c r="AC1838" s="52" t="s">
        <v>247</v>
      </c>
      <c r="AD1838" s="52" t="s">
        <v>1</v>
      </c>
      <c r="AE1838" s="52" t="s">
        <v>383</v>
      </c>
      <c r="AF1838" s="155" t="s">
        <v>247</v>
      </c>
      <c r="AG1838" s="155" t="s">
        <v>247</v>
      </c>
    </row>
    <row r="1839" spans="25:33">
      <c r="Y1839" s="47">
        <v>5033</v>
      </c>
      <c r="Z1839" s="52" t="s">
        <v>410</v>
      </c>
      <c r="AA1839" s="52" t="s">
        <v>247</v>
      </c>
      <c r="AB1839" s="52" t="s">
        <v>247</v>
      </c>
      <c r="AC1839" s="52" t="s">
        <v>247</v>
      </c>
      <c r="AD1839" s="52" t="s">
        <v>1</v>
      </c>
      <c r="AE1839" s="52" t="s">
        <v>383</v>
      </c>
      <c r="AF1839" s="155" t="s">
        <v>247</v>
      </c>
      <c r="AG1839" s="155" t="s">
        <v>247</v>
      </c>
    </row>
    <row r="1840" spans="25:33">
      <c r="Y1840" s="47">
        <v>5034</v>
      </c>
      <c r="Z1840" s="52" t="s">
        <v>410</v>
      </c>
      <c r="AA1840" s="52" t="s">
        <v>247</v>
      </c>
      <c r="AB1840" s="52" t="s">
        <v>247</v>
      </c>
      <c r="AC1840" s="52" t="s">
        <v>247</v>
      </c>
      <c r="AD1840" s="52" t="s">
        <v>1</v>
      </c>
      <c r="AE1840" s="52" t="s">
        <v>383</v>
      </c>
      <c r="AF1840" s="155" t="s">
        <v>247</v>
      </c>
      <c r="AG1840" s="155" t="s">
        <v>247</v>
      </c>
    </row>
    <row r="1841" spans="25:33">
      <c r="Y1841" s="47">
        <v>5035</v>
      </c>
      <c r="Z1841" s="52" t="s">
        <v>410</v>
      </c>
      <c r="AA1841" s="52" t="s">
        <v>247</v>
      </c>
      <c r="AB1841" s="52" t="s">
        <v>247</v>
      </c>
      <c r="AC1841" s="52" t="s">
        <v>247</v>
      </c>
      <c r="AD1841" s="52" t="s">
        <v>1</v>
      </c>
      <c r="AE1841" s="52" t="s">
        <v>383</v>
      </c>
      <c r="AF1841" s="155" t="s">
        <v>247</v>
      </c>
      <c r="AG1841" s="155" t="s">
        <v>247</v>
      </c>
    </row>
    <row r="1842" spans="25:33">
      <c r="Y1842" s="47">
        <v>5036</v>
      </c>
      <c r="Z1842" s="52" t="s">
        <v>410</v>
      </c>
      <c r="AA1842" s="52" t="s">
        <v>247</v>
      </c>
      <c r="AB1842" s="52" t="s">
        <v>247</v>
      </c>
      <c r="AC1842" s="52" t="s">
        <v>247</v>
      </c>
      <c r="AD1842" s="52" t="s">
        <v>1</v>
      </c>
      <c r="AE1842" s="52" t="s">
        <v>383</v>
      </c>
      <c r="AF1842" s="155" t="s">
        <v>247</v>
      </c>
      <c r="AG1842" s="155" t="s">
        <v>247</v>
      </c>
    </row>
    <row r="1843" spans="25:33">
      <c r="Y1843" s="47">
        <v>5037</v>
      </c>
      <c r="Z1843" s="52" t="s">
        <v>410</v>
      </c>
      <c r="AA1843" s="52" t="s">
        <v>247</v>
      </c>
      <c r="AB1843" s="52" t="s">
        <v>247</v>
      </c>
      <c r="AC1843" s="52" t="s">
        <v>247</v>
      </c>
      <c r="AD1843" s="52" t="s">
        <v>1</v>
      </c>
      <c r="AE1843" s="52" t="s">
        <v>383</v>
      </c>
      <c r="AF1843" s="155" t="s">
        <v>247</v>
      </c>
      <c r="AG1843" s="155" t="s">
        <v>247</v>
      </c>
    </row>
    <row r="1844" spans="25:33">
      <c r="Y1844" s="47">
        <v>5038</v>
      </c>
      <c r="Z1844" s="52" t="s">
        <v>410</v>
      </c>
      <c r="AA1844" s="52" t="s">
        <v>247</v>
      </c>
      <c r="AB1844" s="52" t="s">
        <v>247</v>
      </c>
      <c r="AC1844" s="52" t="s">
        <v>247</v>
      </c>
      <c r="AD1844" s="52" t="s">
        <v>1</v>
      </c>
      <c r="AE1844" s="52" t="s">
        <v>383</v>
      </c>
      <c r="AF1844" s="155" t="s">
        <v>247</v>
      </c>
      <c r="AG1844" s="155" t="s">
        <v>247</v>
      </c>
    </row>
    <row r="1845" spans="25:33">
      <c r="Y1845" s="47">
        <v>5039</v>
      </c>
      <c r="Z1845" s="52" t="s">
        <v>410</v>
      </c>
      <c r="AA1845" s="52" t="s">
        <v>247</v>
      </c>
      <c r="AB1845" s="52" t="s">
        <v>247</v>
      </c>
      <c r="AC1845" s="52" t="s">
        <v>247</v>
      </c>
      <c r="AD1845" s="52" t="s">
        <v>1</v>
      </c>
      <c r="AE1845" s="52" t="s">
        <v>383</v>
      </c>
      <c r="AF1845" s="155" t="s">
        <v>247</v>
      </c>
      <c r="AG1845" s="155" t="s">
        <v>247</v>
      </c>
    </row>
    <row r="1846" spans="25:33">
      <c r="Y1846" s="47">
        <v>5040</v>
      </c>
      <c r="Z1846" s="52" t="s">
        <v>410</v>
      </c>
      <c r="AA1846" s="52" t="s">
        <v>247</v>
      </c>
      <c r="AB1846" s="52" t="s">
        <v>247</v>
      </c>
      <c r="AC1846" s="52" t="s">
        <v>247</v>
      </c>
      <c r="AD1846" s="52" t="s">
        <v>1</v>
      </c>
      <c r="AE1846" s="52" t="s">
        <v>383</v>
      </c>
      <c r="AF1846" s="155" t="s">
        <v>247</v>
      </c>
      <c r="AG1846" s="155" t="s">
        <v>247</v>
      </c>
    </row>
    <row r="1847" spans="25:33">
      <c r="Y1847" s="47">
        <v>5041</v>
      </c>
      <c r="Z1847" s="52" t="s">
        <v>410</v>
      </c>
      <c r="AA1847" s="52" t="s">
        <v>247</v>
      </c>
      <c r="AB1847" s="52" t="s">
        <v>247</v>
      </c>
      <c r="AC1847" s="52" t="s">
        <v>247</v>
      </c>
      <c r="AD1847" s="52" t="s">
        <v>1</v>
      </c>
      <c r="AE1847" s="52" t="s">
        <v>383</v>
      </c>
      <c r="AF1847" s="155" t="s">
        <v>247</v>
      </c>
      <c r="AG1847" s="155" t="s">
        <v>247</v>
      </c>
    </row>
    <row r="1848" spans="25:33">
      <c r="Y1848" s="47">
        <v>5042</v>
      </c>
      <c r="Z1848" s="52" t="s">
        <v>410</v>
      </c>
      <c r="AA1848" s="52" t="s">
        <v>247</v>
      </c>
      <c r="AB1848" s="52" t="s">
        <v>247</v>
      </c>
      <c r="AC1848" s="52" t="s">
        <v>247</v>
      </c>
      <c r="AD1848" s="52" t="s">
        <v>1</v>
      </c>
      <c r="AE1848" s="52" t="s">
        <v>383</v>
      </c>
      <c r="AF1848" s="155" t="s">
        <v>247</v>
      </c>
      <c r="AG1848" s="155" t="s">
        <v>247</v>
      </c>
    </row>
    <row r="1849" spans="25:33">
      <c r="Y1849" s="47">
        <v>5043</v>
      </c>
      <c r="Z1849" s="52" t="s">
        <v>410</v>
      </c>
      <c r="AA1849" s="52" t="s">
        <v>247</v>
      </c>
      <c r="AB1849" s="52" t="s">
        <v>247</v>
      </c>
      <c r="AC1849" s="52" t="s">
        <v>247</v>
      </c>
      <c r="AD1849" s="52" t="s">
        <v>1</v>
      </c>
      <c r="AE1849" s="52" t="s">
        <v>383</v>
      </c>
      <c r="AF1849" s="155" t="s">
        <v>247</v>
      </c>
      <c r="AG1849" s="155" t="s">
        <v>247</v>
      </c>
    </row>
    <row r="1850" spans="25:33">
      <c r="Y1850" s="47">
        <v>5044</v>
      </c>
      <c r="Z1850" s="52" t="s">
        <v>410</v>
      </c>
      <c r="AA1850" s="52" t="s">
        <v>247</v>
      </c>
      <c r="AB1850" s="52" t="s">
        <v>247</v>
      </c>
      <c r="AC1850" s="52" t="s">
        <v>247</v>
      </c>
      <c r="AD1850" s="52" t="s">
        <v>1</v>
      </c>
      <c r="AE1850" s="52" t="s">
        <v>383</v>
      </c>
      <c r="AF1850" s="155" t="s">
        <v>247</v>
      </c>
      <c r="AG1850" s="155" t="s">
        <v>247</v>
      </c>
    </row>
    <row r="1851" spans="25:33">
      <c r="Y1851" s="47">
        <v>5045</v>
      </c>
      <c r="Z1851" s="52" t="s">
        <v>410</v>
      </c>
      <c r="AA1851" s="52" t="s">
        <v>247</v>
      </c>
      <c r="AB1851" s="52" t="s">
        <v>247</v>
      </c>
      <c r="AC1851" s="52" t="s">
        <v>247</v>
      </c>
      <c r="AD1851" s="52" t="s">
        <v>1</v>
      </c>
      <c r="AE1851" s="52" t="s">
        <v>383</v>
      </c>
      <c r="AF1851" s="155" t="s">
        <v>247</v>
      </c>
      <c r="AG1851" s="155" t="s">
        <v>247</v>
      </c>
    </row>
    <row r="1852" spans="25:33">
      <c r="Y1852" s="47">
        <v>5046</v>
      </c>
      <c r="Z1852" s="52" t="s">
        <v>410</v>
      </c>
      <c r="AA1852" s="52" t="s">
        <v>247</v>
      </c>
      <c r="AB1852" s="52" t="s">
        <v>247</v>
      </c>
      <c r="AC1852" s="52" t="s">
        <v>247</v>
      </c>
      <c r="AD1852" s="52" t="s">
        <v>1</v>
      </c>
      <c r="AE1852" s="52" t="s">
        <v>383</v>
      </c>
      <c r="AF1852" s="155" t="s">
        <v>247</v>
      </c>
      <c r="AG1852" s="155" t="s">
        <v>247</v>
      </c>
    </row>
    <row r="1853" spans="25:33">
      <c r="Y1853" s="47">
        <v>5047</v>
      </c>
      <c r="Z1853" s="52" t="s">
        <v>410</v>
      </c>
      <c r="AA1853" s="52" t="s">
        <v>247</v>
      </c>
      <c r="AB1853" s="52" t="s">
        <v>247</v>
      </c>
      <c r="AC1853" s="52" t="s">
        <v>247</v>
      </c>
      <c r="AD1853" s="52" t="s">
        <v>1</v>
      </c>
      <c r="AE1853" s="52" t="s">
        <v>383</v>
      </c>
      <c r="AF1853" s="155" t="s">
        <v>247</v>
      </c>
      <c r="AG1853" s="155" t="s">
        <v>247</v>
      </c>
    </row>
    <row r="1854" spans="25:33">
      <c r="Y1854" s="47">
        <v>5048</v>
      </c>
      <c r="Z1854" s="52" t="s">
        <v>410</v>
      </c>
      <c r="AA1854" s="52" t="s">
        <v>247</v>
      </c>
      <c r="AB1854" s="52" t="s">
        <v>247</v>
      </c>
      <c r="AC1854" s="52" t="s">
        <v>247</v>
      </c>
      <c r="AD1854" s="52" t="s">
        <v>1</v>
      </c>
      <c r="AE1854" s="52" t="s">
        <v>383</v>
      </c>
      <c r="AF1854" s="155" t="s">
        <v>247</v>
      </c>
      <c r="AG1854" s="155" t="s">
        <v>247</v>
      </c>
    </row>
    <row r="1855" spans="25:33">
      <c r="Y1855" s="47">
        <v>5049</v>
      </c>
      <c r="Z1855" s="52" t="s">
        <v>410</v>
      </c>
      <c r="AA1855" s="52" t="s">
        <v>247</v>
      </c>
      <c r="AB1855" s="52" t="s">
        <v>247</v>
      </c>
      <c r="AC1855" s="52" t="s">
        <v>247</v>
      </c>
      <c r="AD1855" s="52" t="s">
        <v>1</v>
      </c>
      <c r="AE1855" s="52" t="s">
        <v>383</v>
      </c>
      <c r="AF1855" s="155" t="s">
        <v>247</v>
      </c>
      <c r="AG1855" s="155" t="s">
        <v>247</v>
      </c>
    </row>
    <row r="1856" spans="25:33">
      <c r="Y1856" s="47">
        <v>5050</v>
      </c>
      <c r="Z1856" s="52" t="s">
        <v>410</v>
      </c>
      <c r="AA1856" s="52" t="s">
        <v>247</v>
      </c>
      <c r="AB1856" s="52" t="s">
        <v>247</v>
      </c>
      <c r="AC1856" s="52" t="s">
        <v>247</v>
      </c>
      <c r="AD1856" s="52" t="s">
        <v>1</v>
      </c>
      <c r="AE1856" s="52" t="s">
        <v>383</v>
      </c>
      <c r="AF1856" s="155" t="s">
        <v>247</v>
      </c>
      <c r="AG1856" s="155" t="s">
        <v>247</v>
      </c>
    </row>
    <row r="1857" spans="25:33">
      <c r="Y1857" s="47">
        <v>5051</v>
      </c>
      <c r="Z1857" s="52" t="s">
        <v>410</v>
      </c>
      <c r="AA1857" s="52" t="s">
        <v>247</v>
      </c>
      <c r="AB1857" s="52" t="s">
        <v>247</v>
      </c>
      <c r="AC1857" s="52" t="s">
        <v>247</v>
      </c>
      <c r="AD1857" s="52" t="s">
        <v>1</v>
      </c>
      <c r="AE1857" s="52" t="s">
        <v>383</v>
      </c>
      <c r="AF1857" s="155" t="s">
        <v>247</v>
      </c>
      <c r="AG1857" s="155" t="s">
        <v>247</v>
      </c>
    </row>
    <row r="1858" spans="25:33">
      <c r="Y1858" s="47">
        <v>5052</v>
      </c>
      <c r="Z1858" s="52" t="s">
        <v>410</v>
      </c>
      <c r="AA1858" s="52" t="s">
        <v>247</v>
      </c>
      <c r="AB1858" s="52" t="s">
        <v>247</v>
      </c>
      <c r="AC1858" s="52" t="s">
        <v>247</v>
      </c>
      <c r="AD1858" s="52" t="s">
        <v>1</v>
      </c>
      <c r="AE1858" s="52" t="s">
        <v>383</v>
      </c>
      <c r="AF1858" s="155" t="s">
        <v>247</v>
      </c>
      <c r="AG1858" s="155" t="s">
        <v>247</v>
      </c>
    </row>
    <row r="1859" spans="25:33">
      <c r="Y1859" s="47">
        <v>5053</v>
      </c>
      <c r="Z1859" s="52" t="s">
        <v>410</v>
      </c>
      <c r="AA1859" s="52" t="s">
        <v>247</v>
      </c>
      <c r="AB1859" s="52" t="s">
        <v>247</v>
      </c>
      <c r="AC1859" s="52" t="s">
        <v>247</v>
      </c>
      <c r="AD1859" s="52" t="s">
        <v>1</v>
      </c>
      <c r="AE1859" s="52" t="s">
        <v>383</v>
      </c>
      <c r="AF1859" s="155" t="s">
        <v>247</v>
      </c>
      <c r="AG1859" s="155" t="s">
        <v>247</v>
      </c>
    </row>
    <row r="1860" spans="25:33">
      <c r="Y1860" s="47">
        <v>5054</v>
      </c>
      <c r="Z1860" s="52" t="s">
        <v>410</v>
      </c>
      <c r="AA1860" s="52" t="s">
        <v>247</v>
      </c>
      <c r="AB1860" s="52" t="s">
        <v>247</v>
      </c>
      <c r="AC1860" s="52" t="s">
        <v>247</v>
      </c>
      <c r="AD1860" s="52" t="s">
        <v>1</v>
      </c>
      <c r="AE1860" s="52" t="s">
        <v>383</v>
      </c>
      <c r="AF1860" s="155" t="s">
        <v>247</v>
      </c>
      <c r="AG1860" s="155" t="s">
        <v>247</v>
      </c>
    </row>
    <row r="1861" spans="25:33">
      <c r="Y1861" s="47">
        <v>5055</v>
      </c>
      <c r="Z1861" s="52" t="s">
        <v>410</v>
      </c>
      <c r="AA1861" s="52" t="s">
        <v>247</v>
      </c>
      <c r="AB1861" s="52" t="s">
        <v>247</v>
      </c>
      <c r="AC1861" s="52" t="s">
        <v>247</v>
      </c>
      <c r="AD1861" s="52" t="s">
        <v>1</v>
      </c>
      <c r="AE1861" s="52" t="s">
        <v>383</v>
      </c>
      <c r="AF1861" s="155" t="s">
        <v>247</v>
      </c>
      <c r="AG1861" s="155" t="s">
        <v>247</v>
      </c>
    </row>
    <row r="1862" spans="25:33">
      <c r="Y1862" s="47">
        <v>5056</v>
      </c>
      <c r="Z1862" s="52" t="s">
        <v>410</v>
      </c>
      <c r="AA1862" s="52" t="s">
        <v>247</v>
      </c>
      <c r="AB1862" s="52" t="s">
        <v>247</v>
      </c>
      <c r="AC1862" s="52" t="s">
        <v>247</v>
      </c>
      <c r="AD1862" s="52" t="s">
        <v>1</v>
      </c>
      <c r="AE1862" s="52" t="s">
        <v>383</v>
      </c>
      <c r="AF1862" s="155" t="s">
        <v>247</v>
      </c>
      <c r="AG1862" s="155" t="s">
        <v>247</v>
      </c>
    </row>
    <row r="1863" spans="25:33">
      <c r="Y1863" s="47">
        <v>5057</v>
      </c>
      <c r="Z1863" s="52" t="s">
        <v>410</v>
      </c>
      <c r="AA1863" s="52" t="s">
        <v>247</v>
      </c>
      <c r="AB1863" s="52" t="s">
        <v>247</v>
      </c>
      <c r="AC1863" s="52" t="s">
        <v>247</v>
      </c>
      <c r="AD1863" s="52" t="s">
        <v>1</v>
      </c>
      <c r="AE1863" s="52" t="s">
        <v>383</v>
      </c>
      <c r="AF1863" s="155" t="s">
        <v>247</v>
      </c>
      <c r="AG1863" s="155" t="s">
        <v>247</v>
      </c>
    </row>
    <row r="1864" spans="25:33">
      <c r="Y1864" s="47">
        <v>5058</v>
      </c>
      <c r="Z1864" s="52" t="s">
        <v>410</v>
      </c>
      <c r="AA1864" s="52" t="s">
        <v>247</v>
      </c>
      <c r="AB1864" s="52" t="s">
        <v>247</v>
      </c>
      <c r="AC1864" s="52" t="s">
        <v>247</v>
      </c>
      <c r="AD1864" s="52" t="s">
        <v>1</v>
      </c>
      <c r="AE1864" s="52" t="s">
        <v>383</v>
      </c>
      <c r="AF1864" s="155" t="s">
        <v>247</v>
      </c>
      <c r="AG1864" s="155" t="s">
        <v>247</v>
      </c>
    </row>
    <row r="1865" spans="25:33">
      <c r="Y1865" s="47">
        <v>5059</v>
      </c>
      <c r="Z1865" s="52" t="s">
        <v>410</v>
      </c>
      <c r="AA1865" s="52" t="s">
        <v>247</v>
      </c>
      <c r="AB1865" s="52" t="s">
        <v>247</v>
      </c>
      <c r="AC1865" s="52" t="s">
        <v>247</v>
      </c>
      <c r="AD1865" s="52" t="s">
        <v>1</v>
      </c>
      <c r="AE1865" s="52" t="s">
        <v>383</v>
      </c>
      <c r="AF1865" s="155" t="s">
        <v>247</v>
      </c>
      <c r="AG1865" s="155" t="s">
        <v>247</v>
      </c>
    </row>
    <row r="1866" spans="25:33">
      <c r="Y1866" s="47">
        <v>5060</v>
      </c>
      <c r="Z1866" s="52" t="s">
        <v>410</v>
      </c>
      <c r="AA1866" s="52" t="s">
        <v>247</v>
      </c>
      <c r="AB1866" s="52" t="s">
        <v>247</v>
      </c>
      <c r="AC1866" s="52" t="s">
        <v>247</v>
      </c>
      <c r="AD1866" s="52" t="s">
        <v>1</v>
      </c>
      <c r="AE1866" s="52" t="s">
        <v>383</v>
      </c>
      <c r="AF1866" s="155" t="s">
        <v>247</v>
      </c>
      <c r="AG1866" s="155" t="s">
        <v>247</v>
      </c>
    </row>
    <row r="1867" spans="25:33">
      <c r="Y1867" s="47">
        <v>5061</v>
      </c>
      <c r="Z1867" s="52" t="s">
        <v>410</v>
      </c>
      <c r="AA1867" s="52" t="s">
        <v>247</v>
      </c>
      <c r="AB1867" s="52" t="s">
        <v>247</v>
      </c>
      <c r="AC1867" s="52" t="s">
        <v>247</v>
      </c>
      <c r="AD1867" s="52" t="s">
        <v>1</v>
      </c>
      <c r="AE1867" s="52" t="s">
        <v>383</v>
      </c>
      <c r="AF1867" s="155" t="s">
        <v>247</v>
      </c>
      <c r="AG1867" s="155" t="s">
        <v>247</v>
      </c>
    </row>
    <row r="1868" spans="25:33">
      <c r="Y1868" s="47">
        <v>5062</v>
      </c>
      <c r="Z1868" s="52" t="s">
        <v>410</v>
      </c>
      <c r="AA1868" s="52" t="s">
        <v>247</v>
      </c>
      <c r="AB1868" s="52" t="s">
        <v>247</v>
      </c>
      <c r="AC1868" s="52" t="s">
        <v>247</v>
      </c>
      <c r="AD1868" s="52" t="s">
        <v>1</v>
      </c>
      <c r="AE1868" s="52" t="s">
        <v>383</v>
      </c>
      <c r="AF1868" s="155" t="s">
        <v>247</v>
      </c>
      <c r="AG1868" s="155" t="s">
        <v>247</v>
      </c>
    </row>
    <row r="1869" spans="25:33">
      <c r="Y1869" s="47">
        <v>5063</v>
      </c>
      <c r="Z1869" s="52" t="s">
        <v>410</v>
      </c>
      <c r="AA1869" s="52" t="s">
        <v>247</v>
      </c>
      <c r="AB1869" s="52" t="s">
        <v>247</v>
      </c>
      <c r="AC1869" s="52" t="s">
        <v>247</v>
      </c>
      <c r="AD1869" s="52" t="s">
        <v>1</v>
      </c>
      <c r="AE1869" s="52" t="s">
        <v>383</v>
      </c>
      <c r="AF1869" s="155" t="s">
        <v>247</v>
      </c>
      <c r="AG1869" s="155" t="s">
        <v>247</v>
      </c>
    </row>
    <row r="1870" spans="25:33">
      <c r="Y1870" s="47">
        <v>5064</v>
      </c>
      <c r="Z1870" s="52" t="s">
        <v>410</v>
      </c>
      <c r="AA1870" s="52" t="s">
        <v>247</v>
      </c>
      <c r="AB1870" s="52" t="s">
        <v>247</v>
      </c>
      <c r="AC1870" s="52" t="s">
        <v>247</v>
      </c>
      <c r="AD1870" s="52" t="s">
        <v>1</v>
      </c>
      <c r="AE1870" s="52" t="s">
        <v>383</v>
      </c>
      <c r="AF1870" s="155" t="s">
        <v>247</v>
      </c>
      <c r="AG1870" s="155" t="s">
        <v>247</v>
      </c>
    </row>
    <row r="1871" spans="25:33">
      <c r="Y1871" s="47">
        <v>5065</v>
      </c>
      <c r="Z1871" s="52" t="s">
        <v>410</v>
      </c>
      <c r="AA1871" s="52" t="s">
        <v>247</v>
      </c>
      <c r="AB1871" s="52" t="s">
        <v>247</v>
      </c>
      <c r="AC1871" s="52" t="s">
        <v>247</v>
      </c>
      <c r="AD1871" s="52" t="s">
        <v>1</v>
      </c>
      <c r="AE1871" s="52" t="s">
        <v>383</v>
      </c>
      <c r="AF1871" s="155" t="s">
        <v>247</v>
      </c>
      <c r="AG1871" s="155" t="s">
        <v>247</v>
      </c>
    </row>
    <row r="1872" spans="25:33">
      <c r="Y1872" s="47">
        <v>5066</v>
      </c>
      <c r="Z1872" s="52" t="s">
        <v>410</v>
      </c>
      <c r="AA1872" s="52" t="s">
        <v>247</v>
      </c>
      <c r="AB1872" s="52" t="s">
        <v>247</v>
      </c>
      <c r="AC1872" s="52" t="s">
        <v>247</v>
      </c>
      <c r="AD1872" s="52" t="s">
        <v>1</v>
      </c>
      <c r="AE1872" s="52" t="s">
        <v>383</v>
      </c>
      <c r="AF1872" s="155" t="s">
        <v>247</v>
      </c>
      <c r="AG1872" s="155" t="s">
        <v>247</v>
      </c>
    </row>
    <row r="1873" spans="25:33">
      <c r="Y1873" s="47">
        <v>5067</v>
      </c>
      <c r="Z1873" s="52" t="s">
        <v>410</v>
      </c>
      <c r="AA1873" s="52" t="s">
        <v>247</v>
      </c>
      <c r="AB1873" s="52" t="s">
        <v>247</v>
      </c>
      <c r="AC1873" s="52" t="s">
        <v>247</v>
      </c>
      <c r="AD1873" s="52" t="s">
        <v>1</v>
      </c>
      <c r="AE1873" s="52" t="s">
        <v>383</v>
      </c>
      <c r="AF1873" s="155" t="s">
        <v>247</v>
      </c>
      <c r="AG1873" s="155" t="s">
        <v>247</v>
      </c>
    </row>
    <row r="1874" spans="25:33">
      <c r="Y1874" s="47">
        <v>5068</v>
      </c>
      <c r="Z1874" s="52" t="s">
        <v>410</v>
      </c>
      <c r="AA1874" s="52" t="s">
        <v>247</v>
      </c>
      <c r="AB1874" s="52" t="s">
        <v>247</v>
      </c>
      <c r="AC1874" s="52" t="s">
        <v>247</v>
      </c>
      <c r="AD1874" s="52" t="s">
        <v>1</v>
      </c>
      <c r="AE1874" s="52" t="s">
        <v>383</v>
      </c>
      <c r="AF1874" s="155" t="s">
        <v>247</v>
      </c>
      <c r="AG1874" s="155" t="s">
        <v>247</v>
      </c>
    </row>
    <row r="1875" spans="25:33">
      <c r="Y1875" s="47">
        <v>5069</v>
      </c>
      <c r="Z1875" s="52" t="s">
        <v>410</v>
      </c>
      <c r="AA1875" s="52" t="s">
        <v>247</v>
      </c>
      <c r="AB1875" s="52" t="s">
        <v>247</v>
      </c>
      <c r="AC1875" s="52" t="s">
        <v>247</v>
      </c>
      <c r="AD1875" s="52" t="s">
        <v>1</v>
      </c>
      <c r="AE1875" s="52" t="s">
        <v>383</v>
      </c>
      <c r="AF1875" s="155" t="s">
        <v>247</v>
      </c>
      <c r="AG1875" s="155" t="s">
        <v>247</v>
      </c>
    </row>
    <row r="1876" spans="25:33">
      <c r="Y1876" s="47">
        <v>5070</v>
      </c>
      <c r="Z1876" s="52" t="s">
        <v>410</v>
      </c>
      <c r="AA1876" s="52" t="s">
        <v>247</v>
      </c>
      <c r="AB1876" s="52" t="s">
        <v>247</v>
      </c>
      <c r="AC1876" s="52" t="s">
        <v>247</v>
      </c>
      <c r="AD1876" s="52" t="s">
        <v>1</v>
      </c>
      <c r="AE1876" s="52" t="s">
        <v>383</v>
      </c>
      <c r="AF1876" s="155" t="s">
        <v>247</v>
      </c>
      <c r="AG1876" s="155" t="s">
        <v>247</v>
      </c>
    </row>
    <row r="1877" spans="25:33">
      <c r="Y1877" s="47">
        <v>5071</v>
      </c>
      <c r="Z1877" s="52" t="s">
        <v>410</v>
      </c>
      <c r="AA1877" s="52" t="s">
        <v>247</v>
      </c>
      <c r="AB1877" s="52" t="s">
        <v>247</v>
      </c>
      <c r="AC1877" s="52" t="s">
        <v>247</v>
      </c>
      <c r="AD1877" s="52" t="s">
        <v>1</v>
      </c>
      <c r="AE1877" s="52" t="s">
        <v>383</v>
      </c>
      <c r="AF1877" s="155" t="s">
        <v>247</v>
      </c>
      <c r="AG1877" s="155" t="s">
        <v>247</v>
      </c>
    </row>
    <row r="1878" spans="25:33">
      <c r="Y1878" s="47">
        <v>5072</v>
      </c>
      <c r="Z1878" s="52" t="s">
        <v>410</v>
      </c>
      <c r="AA1878" s="52" t="s">
        <v>247</v>
      </c>
      <c r="AB1878" s="52" t="s">
        <v>247</v>
      </c>
      <c r="AC1878" s="52" t="s">
        <v>247</v>
      </c>
      <c r="AD1878" s="52" t="s">
        <v>1</v>
      </c>
      <c r="AE1878" s="52" t="s">
        <v>383</v>
      </c>
      <c r="AF1878" s="155" t="s">
        <v>247</v>
      </c>
      <c r="AG1878" s="155" t="s">
        <v>247</v>
      </c>
    </row>
    <row r="1879" spans="25:33">
      <c r="Y1879" s="47">
        <v>5073</v>
      </c>
      <c r="Z1879" s="52" t="s">
        <v>410</v>
      </c>
      <c r="AA1879" s="52" t="s">
        <v>247</v>
      </c>
      <c r="AB1879" s="52" t="s">
        <v>247</v>
      </c>
      <c r="AC1879" s="52" t="s">
        <v>247</v>
      </c>
      <c r="AD1879" s="52" t="s">
        <v>1</v>
      </c>
      <c r="AE1879" s="52" t="s">
        <v>383</v>
      </c>
      <c r="AF1879" s="155" t="s">
        <v>247</v>
      </c>
      <c r="AG1879" s="155" t="s">
        <v>247</v>
      </c>
    </row>
    <row r="1880" spans="25:33">
      <c r="Y1880" s="47">
        <v>5074</v>
      </c>
      <c r="Z1880" s="52" t="s">
        <v>410</v>
      </c>
      <c r="AA1880" s="52" t="s">
        <v>247</v>
      </c>
      <c r="AB1880" s="52" t="s">
        <v>247</v>
      </c>
      <c r="AC1880" s="52" t="s">
        <v>247</v>
      </c>
      <c r="AD1880" s="52" t="s">
        <v>1</v>
      </c>
      <c r="AE1880" s="52" t="s">
        <v>383</v>
      </c>
      <c r="AF1880" s="155" t="s">
        <v>247</v>
      </c>
      <c r="AG1880" s="155" t="s">
        <v>247</v>
      </c>
    </row>
    <row r="1881" spans="25:33">
      <c r="Y1881" s="47">
        <v>5075</v>
      </c>
      <c r="Z1881" s="52" t="s">
        <v>410</v>
      </c>
      <c r="AA1881" s="52" t="s">
        <v>247</v>
      </c>
      <c r="AB1881" s="52" t="s">
        <v>247</v>
      </c>
      <c r="AC1881" s="52" t="s">
        <v>247</v>
      </c>
      <c r="AD1881" s="52" t="s">
        <v>1</v>
      </c>
      <c r="AE1881" s="52" t="s">
        <v>383</v>
      </c>
      <c r="AF1881" s="155" t="s">
        <v>247</v>
      </c>
      <c r="AG1881" s="155" t="s">
        <v>247</v>
      </c>
    </row>
    <row r="1882" spans="25:33">
      <c r="Y1882" s="47">
        <v>5076</v>
      </c>
      <c r="Z1882" s="52" t="s">
        <v>410</v>
      </c>
      <c r="AA1882" s="52" t="s">
        <v>247</v>
      </c>
      <c r="AB1882" s="52" t="s">
        <v>247</v>
      </c>
      <c r="AC1882" s="52" t="s">
        <v>247</v>
      </c>
      <c r="AD1882" s="52" t="s">
        <v>1</v>
      </c>
      <c r="AE1882" s="52" t="s">
        <v>383</v>
      </c>
      <c r="AF1882" s="155" t="s">
        <v>247</v>
      </c>
      <c r="AG1882" s="155" t="s">
        <v>247</v>
      </c>
    </row>
    <row r="1883" spans="25:33">
      <c r="Y1883" s="47">
        <v>5077</v>
      </c>
      <c r="Z1883" s="52" t="s">
        <v>410</v>
      </c>
      <c r="AA1883" s="52" t="s">
        <v>247</v>
      </c>
      <c r="AB1883" s="52" t="s">
        <v>247</v>
      </c>
      <c r="AC1883" s="52" t="s">
        <v>247</v>
      </c>
      <c r="AD1883" s="52" t="s">
        <v>1</v>
      </c>
      <c r="AE1883" s="52" t="s">
        <v>383</v>
      </c>
      <c r="AF1883" s="155" t="s">
        <v>247</v>
      </c>
      <c r="AG1883" s="155" t="s">
        <v>247</v>
      </c>
    </row>
    <row r="1884" spans="25:33">
      <c r="Y1884" s="47">
        <v>5078</v>
      </c>
      <c r="Z1884" s="52" t="s">
        <v>410</v>
      </c>
      <c r="AA1884" s="52" t="s">
        <v>247</v>
      </c>
      <c r="AB1884" s="52" t="s">
        <v>247</v>
      </c>
      <c r="AC1884" s="52" t="s">
        <v>247</v>
      </c>
      <c r="AD1884" s="52" t="s">
        <v>1</v>
      </c>
      <c r="AE1884" s="52" t="s">
        <v>383</v>
      </c>
      <c r="AF1884" s="155" t="s">
        <v>247</v>
      </c>
      <c r="AG1884" s="155" t="s">
        <v>247</v>
      </c>
    </row>
    <row r="1885" spans="25:33">
      <c r="Y1885" s="47">
        <v>5079</v>
      </c>
      <c r="Z1885" s="52" t="s">
        <v>410</v>
      </c>
      <c r="AA1885" s="52" t="s">
        <v>247</v>
      </c>
      <c r="AB1885" s="52" t="s">
        <v>247</v>
      </c>
      <c r="AC1885" s="52" t="s">
        <v>247</v>
      </c>
      <c r="AD1885" s="52" t="s">
        <v>1</v>
      </c>
      <c r="AE1885" s="52" t="s">
        <v>383</v>
      </c>
      <c r="AF1885" s="155" t="s">
        <v>247</v>
      </c>
      <c r="AG1885" s="155" t="s">
        <v>247</v>
      </c>
    </row>
    <row r="1886" spans="25:33">
      <c r="Y1886" s="47">
        <v>5080</v>
      </c>
      <c r="Z1886" s="52" t="s">
        <v>410</v>
      </c>
      <c r="AA1886" s="52" t="s">
        <v>247</v>
      </c>
      <c r="AB1886" s="52" t="s">
        <v>247</v>
      </c>
      <c r="AC1886" s="52" t="s">
        <v>247</v>
      </c>
      <c r="AD1886" s="52" t="s">
        <v>1</v>
      </c>
      <c r="AE1886" s="52" t="s">
        <v>383</v>
      </c>
      <c r="AF1886" s="155" t="s">
        <v>247</v>
      </c>
      <c r="AG1886" s="155" t="s">
        <v>247</v>
      </c>
    </row>
    <row r="1887" spans="25:33">
      <c r="Y1887" s="47">
        <v>5081</v>
      </c>
      <c r="Z1887" s="52" t="s">
        <v>410</v>
      </c>
      <c r="AA1887" s="52" t="s">
        <v>247</v>
      </c>
      <c r="AB1887" s="52" t="s">
        <v>247</v>
      </c>
      <c r="AC1887" s="52" t="s">
        <v>247</v>
      </c>
      <c r="AD1887" s="52" t="s">
        <v>1</v>
      </c>
      <c r="AE1887" s="52" t="s">
        <v>383</v>
      </c>
      <c r="AF1887" s="155" t="s">
        <v>247</v>
      </c>
      <c r="AG1887" s="155" t="s">
        <v>247</v>
      </c>
    </row>
    <row r="1888" spans="25:33">
      <c r="Y1888" s="47">
        <v>5082</v>
      </c>
      <c r="Z1888" s="52" t="s">
        <v>410</v>
      </c>
      <c r="AA1888" s="52" t="s">
        <v>247</v>
      </c>
      <c r="AB1888" s="52" t="s">
        <v>247</v>
      </c>
      <c r="AC1888" s="52" t="s">
        <v>247</v>
      </c>
      <c r="AD1888" s="52" t="s">
        <v>1</v>
      </c>
      <c r="AE1888" s="52" t="s">
        <v>383</v>
      </c>
      <c r="AF1888" s="155" t="s">
        <v>247</v>
      </c>
      <c r="AG1888" s="155" t="s">
        <v>247</v>
      </c>
    </row>
    <row r="1889" spans="25:33">
      <c r="Y1889" s="47">
        <v>5083</v>
      </c>
      <c r="Z1889" s="52" t="s">
        <v>410</v>
      </c>
      <c r="AA1889" s="52" t="s">
        <v>247</v>
      </c>
      <c r="AB1889" s="52" t="s">
        <v>247</v>
      </c>
      <c r="AC1889" s="52" t="s">
        <v>247</v>
      </c>
      <c r="AD1889" s="52" t="s">
        <v>1</v>
      </c>
      <c r="AE1889" s="52" t="s">
        <v>383</v>
      </c>
      <c r="AF1889" s="155" t="s">
        <v>247</v>
      </c>
      <c r="AG1889" s="155" t="s">
        <v>247</v>
      </c>
    </row>
    <row r="1890" spans="25:33">
      <c r="Y1890" s="47">
        <v>5084</v>
      </c>
      <c r="Z1890" s="52" t="s">
        <v>410</v>
      </c>
      <c r="AA1890" s="52" t="s">
        <v>247</v>
      </c>
      <c r="AB1890" s="52" t="s">
        <v>247</v>
      </c>
      <c r="AC1890" s="52" t="s">
        <v>247</v>
      </c>
      <c r="AD1890" s="52" t="s">
        <v>1</v>
      </c>
      <c r="AE1890" s="52" t="s">
        <v>383</v>
      </c>
      <c r="AF1890" s="155" t="s">
        <v>247</v>
      </c>
      <c r="AG1890" s="155" t="s">
        <v>247</v>
      </c>
    </row>
    <row r="1891" spans="25:33">
      <c r="Y1891" s="47">
        <v>5085</v>
      </c>
      <c r="Z1891" s="52" t="s">
        <v>410</v>
      </c>
      <c r="AA1891" s="52" t="s">
        <v>247</v>
      </c>
      <c r="AB1891" s="52" t="s">
        <v>247</v>
      </c>
      <c r="AC1891" s="52" t="s">
        <v>247</v>
      </c>
      <c r="AD1891" s="52" t="s">
        <v>1</v>
      </c>
      <c r="AE1891" s="52" t="s">
        <v>383</v>
      </c>
      <c r="AF1891" s="155" t="s">
        <v>247</v>
      </c>
      <c r="AG1891" s="155" t="s">
        <v>247</v>
      </c>
    </row>
    <row r="1892" spans="25:33">
      <c r="Y1892" s="47">
        <v>5086</v>
      </c>
      <c r="Z1892" s="52" t="s">
        <v>410</v>
      </c>
      <c r="AA1892" s="52" t="s">
        <v>247</v>
      </c>
      <c r="AB1892" s="52" t="s">
        <v>247</v>
      </c>
      <c r="AC1892" s="52" t="s">
        <v>247</v>
      </c>
      <c r="AD1892" s="52" t="s">
        <v>1</v>
      </c>
      <c r="AE1892" s="52" t="s">
        <v>383</v>
      </c>
      <c r="AF1892" s="155" t="s">
        <v>247</v>
      </c>
      <c r="AG1892" s="155" t="s">
        <v>247</v>
      </c>
    </row>
    <row r="1893" spans="25:33">
      <c r="Y1893" s="47">
        <v>5087</v>
      </c>
      <c r="Z1893" s="52" t="s">
        <v>410</v>
      </c>
      <c r="AA1893" s="52" t="s">
        <v>247</v>
      </c>
      <c r="AB1893" s="52" t="s">
        <v>247</v>
      </c>
      <c r="AC1893" s="52" t="s">
        <v>247</v>
      </c>
      <c r="AD1893" s="52" t="s">
        <v>1</v>
      </c>
      <c r="AE1893" s="52" t="s">
        <v>383</v>
      </c>
      <c r="AF1893" s="155" t="s">
        <v>247</v>
      </c>
      <c r="AG1893" s="155" t="s">
        <v>247</v>
      </c>
    </row>
    <row r="1894" spans="25:33">
      <c r="Y1894" s="47">
        <v>5088</v>
      </c>
      <c r="Z1894" s="52" t="s">
        <v>410</v>
      </c>
      <c r="AA1894" s="52" t="s">
        <v>247</v>
      </c>
      <c r="AB1894" s="52" t="s">
        <v>247</v>
      </c>
      <c r="AC1894" s="52" t="s">
        <v>247</v>
      </c>
      <c r="AD1894" s="52" t="s">
        <v>1</v>
      </c>
      <c r="AE1894" s="52" t="s">
        <v>383</v>
      </c>
      <c r="AF1894" s="155" t="s">
        <v>247</v>
      </c>
      <c r="AG1894" s="155" t="s">
        <v>247</v>
      </c>
    </row>
    <row r="1895" spans="25:33">
      <c r="Y1895" s="47">
        <v>5089</v>
      </c>
      <c r="Z1895" s="52" t="s">
        <v>410</v>
      </c>
      <c r="AA1895" s="52" t="s">
        <v>247</v>
      </c>
      <c r="AB1895" s="52" t="s">
        <v>247</v>
      </c>
      <c r="AC1895" s="52" t="s">
        <v>247</v>
      </c>
      <c r="AD1895" s="52" t="s">
        <v>1</v>
      </c>
      <c r="AE1895" s="52" t="s">
        <v>383</v>
      </c>
      <c r="AF1895" s="155" t="s">
        <v>247</v>
      </c>
      <c r="AG1895" s="155" t="s">
        <v>247</v>
      </c>
    </row>
    <row r="1896" spans="25:33">
      <c r="Y1896" s="47">
        <v>5090</v>
      </c>
      <c r="Z1896" s="52" t="s">
        <v>410</v>
      </c>
      <c r="AA1896" s="52" t="s">
        <v>247</v>
      </c>
      <c r="AB1896" s="52" t="s">
        <v>247</v>
      </c>
      <c r="AC1896" s="52" t="s">
        <v>247</v>
      </c>
      <c r="AD1896" s="52" t="s">
        <v>1</v>
      </c>
      <c r="AE1896" s="52" t="s">
        <v>383</v>
      </c>
      <c r="AF1896" s="155" t="s">
        <v>247</v>
      </c>
      <c r="AG1896" s="155" t="s">
        <v>247</v>
      </c>
    </row>
    <row r="1897" spans="25:33">
      <c r="Y1897" s="47">
        <v>5091</v>
      </c>
      <c r="Z1897" s="52" t="s">
        <v>410</v>
      </c>
      <c r="AA1897" s="52" t="s">
        <v>247</v>
      </c>
      <c r="AB1897" s="52" t="s">
        <v>247</v>
      </c>
      <c r="AC1897" s="52" t="s">
        <v>247</v>
      </c>
      <c r="AD1897" s="52" t="s">
        <v>1</v>
      </c>
      <c r="AE1897" s="52" t="s">
        <v>383</v>
      </c>
      <c r="AF1897" s="155" t="s">
        <v>247</v>
      </c>
      <c r="AG1897" s="155" t="s">
        <v>247</v>
      </c>
    </row>
    <row r="1898" spans="25:33">
      <c r="Y1898" s="47">
        <v>5092</v>
      </c>
      <c r="Z1898" s="52" t="s">
        <v>410</v>
      </c>
      <c r="AA1898" s="52" t="s">
        <v>247</v>
      </c>
      <c r="AB1898" s="52" t="s">
        <v>247</v>
      </c>
      <c r="AC1898" s="52" t="s">
        <v>247</v>
      </c>
      <c r="AD1898" s="52" t="s">
        <v>1</v>
      </c>
      <c r="AE1898" s="52" t="s">
        <v>383</v>
      </c>
      <c r="AF1898" s="155" t="s">
        <v>247</v>
      </c>
      <c r="AG1898" s="155" t="s">
        <v>247</v>
      </c>
    </row>
    <row r="1899" spans="25:33">
      <c r="Y1899" s="47">
        <v>5093</v>
      </c>
      <c r="Z1899" s="52" t="s">
        <v>410</v>
      </c>
      <c r="AA1899" s="52" t="s">
        <v>247</v>
      </c>
      <c r="AB1899" s="52" t="s">
        <v>247</v>
      </c>
      <c r="AC1899" s="52" t="s">
        <v>247</v>
      </c>
      <c r="AD1899" s="52" t="s">
        <v>1</v>
      </c>
      <c r="AE1899" s="52" t="s">
        <v>383</v>
      </c>
      <c r="AF1899" s="155" t="s">
        <v>247</v>
      </c>
      <c r="AG1899" s="155" t="s">
        <v>247</v>
      </c>
    </row>
    <row r="1900" spans="25:33">
      <c r="Y1900" s="47">
        <v>5094</v>
      </c>
      <c r="Z1900" s="52" t="s">
        <v>410</v>
      </c>
      <c r="AA1900" s="52" t="s">
        <v>247</v>
      </c>
      <c r="AB1900" s="52" t="s">
        <v>247</v>
      </c>
      <c r="AC1900" s="52" t="s">
        <v>247</v>
      </c>
      <c r="AD1900" s="52" t="s">
        <v>1</v>
      </c>
      <c r="AE1900" s="52" t="s">
        <v>383</v>
      </c>
      <c r="AF1900" s="155" t="s">
        <v>247</v>
      </c>
      <c r="AG1900" s="155" t="s">
        <v>247</v>
      </c>
    </row>
    <row r="1901" spans="25:33">
      <c r="Y1901" s="47">
        <v>5095</v>
      </c>
      <c r="Z1901" s="52" t="s">
        <v>410</v>
      </c>
      <c r="AA1901" s="52" t="s">
        <v>247</v>
      </c>
      <c r="AB1901" s="52" t="s">
        <v>247</v>
      </c>
      <c r="AC1901" s="52" t="s">
        <v>247</v>
      </c>
      <c r="AD1901" s="52" t="s">
        <v>1</v>
      </c>
      <c r="AE1901" s="52" t="s">
        <v>383</v>
      </c>
      <c r="AF1901" s="155" t="s">
        <v>247</v>
      </c>
      <c r="AG1901" s="155" t="s">
        <v>247</v>
      </c>
    </row>
    <row r="1902" spans="25:33">
      <c r="Y1902" s="47">
        <v>5096</v>
      </c>
      <c r="Z1902" s="52" t="s">
        <v>410</v>
      </c>
      <c r="AA1902" s="52" t="s">
        <v>247</v>
      </c>
      <c r="AB1902" s="52" t="s">
        <v>247</v>
      </c>
      <c r="AC1902" s="52" t="s">
        <v>247</v>
      </c>
      <c r="AD1902" s="52" t="s">
        <v>1</v>
      </c>
      <c r="AE1902" s="52" t="s">
        <v>383</v>
      </c>
      <c r="AF1902" s="155" t="s">
        <v>247</v>
      </c>
      <c r="AG1902" s="155" t="s">
        <v>247</v>
      </c>
    </row>
    <row r="1903" spans="25:33">
      <c r="Y1903" s="47">
        <v>5097</v>
      </c>
      <c r="Z1903" s="52" t="s">
        <v>410</v>
      </c>
      <c r="AA1903" s="52" t="s">
        <v>247</v>
      </c>
      <c r="AB1903" s="52" t="s">
        <v>247</v>
      </c>
      <c r="AC1903" s="52" t="s">
        <v>247</v>
      </c>
      <c r="AD1903" s="52" t="s">
        <v>1</v>
      </c>
      <c r="AE1903" s="52" t="s">
        <v>383</v>
      </c>
      <c r="AF1903" s="155" t="s">
        <v>247</v>
      </c>
      <c r="AG1903" s="155" t="s">
        <v>247</v>
      </c>
    </row>
    <row r="1904" spans="25:33">
      <c r="Y1904" s="47">
        <v>5098</v>
      </c>
      <c r="Z1904" s="52" t="s">
        <v>410</v>
      </c>
      <c r="AA1904" s="52" t="s">
        <v>247</v>
      </c>
      <c r="AB1904" s="52" t="s">
        <v>247</v>
      </c>
      <c r="AC1904" s="52" t="s">
        <v>247</v>
      </c>
      <c r="AD1904" s="52" t="s">
        <v>1</v>
      </c>
      <c r="AE1904" s="52" t="s">
        <v>383</v>
      </c>
      <c r="AF1904" s="155" t="s">
        <v>247</v>
      </c>
      <c r="AG1904" s="155" t="s">
        <v>247</v>
      </c>
    </row>
    <row r="1905" spans="25:33">
      <c r="Y1905" s="47">
        <v>5099</v>
      </c>
      <c r="Z1905" s="52" t="s">
        <v>410</v>
      </c>
      <c r="AA1905" s="52" t="s">
        <v>247</v>
      </c>
      <c r="AB1905" s="52" t="s">
        <v>247</v>
      </c>
      <c r="AC1905" s="52" t="s">
        <v>247</v>
      </c>
      <c r="AD1905" s="52" t="s">
        <v>1</v>
      </c>
      <c r="AE1905" s="52" t="s">
        <v>383</v>
      </c>
      <c r="AF1905" s="155" t="s">
        <v>247</v>
      </c>
      <c r="AG1905" s="155" t="s">
        <v>247</v>
      </c>
    </row>
    <row r="1906" spans="25:33">
      <c r="Y1906" s="47">
        <v>5100</v>
      </c>
      <c r="Z1906" s="52" t="s">
        <v>410</v>
      </c>
      <c r="AA1906" s="52" t="s">
        <v>247</v>
      </c>
      <c r="AB1906" s="52" t="s">
        <v>247</v>
      </c>
      <c r="AC1906" s="52" t="s">
        <v>247</v>
      </c>
      <c r="AD1906" s="52" t="s">
        <v>1</v>
      </c>
      <c r="AE1906" s="52" t="s">
        <v>383</v>
      </c>
      <c r="AF1906" s="155" t="s">
        <v>247</v>
      </c>
      <c r="AG1906" s="155" t="s">
        <v>247</v>
      </c>
    </row>
    <row r="1907" spans="25:33">
      <c r="Y1907" s="47">
        <v>5101</v>
      </c>
      <c r="Z1907" s="52" t="s">
        <v>410</v>
      </c>
      <c r="AA1907" s="52" t="s">
        <v>247</v>
      </c>
      <c r="AB1907" s="52" t="s">
        <v>247</v>
      </c>
      <c r="AC1907" s="52" t="s">
        <v>247</v>
      </c>
      <c r="AD1907" s="52" t="s">
        <v>1</v>
      </c>
      <c r="AE1907" s="52" t="s">
        <v>383</v>
      </c>
      <c r="AF1907" s="155" t="s">
        <v>247</v>
      </c>
      <c r="AG1907" s="155" t="s">
        <v>247</v>
      </c>
    </row>
    <row r="1908" spans="25:33">
      <c r="Y1908" s="47">
        <v>5102</v>
      </c>
      <c r="Z1908" s="52" t="s">
        <v>410</v>
      </c>
      <c r="AA1908" s="52" t="s">
        <v>247</v>
      </c>
      <c r="AB1908" s="52" t="s">
        <v>247</v>
      </c>
      <c r="AC1908" s="52" t="s">
        <v>247</v>
      </c>
      <c r="AD1908" s="52" t="s">
        <v>1</v>
      </c>
      <c r="AE1908" s="52" t="s">
        <v>383</v>
      </c>
      <c r="AF1908" s="155" t="s">
        <v>247</v>
      </c>
      <c r="AG1908" s="155" t="s">
        <v>247</v>
      </c>
    </row>
    <row r="1909" spans="25:33">
      <c r="Y1909" s="47">
        <v>5103</v>
      </c>
      <c r="Z1909" s="52" t="s">
        <v>410</v>
      </c>
      <c r="AA1909" s="52" t="s">
        <v>247</v>
      </c>
      <c r="AB1909" s="52" t="s">
        <v>247</v>
      </c>
      <c r="AC1909" s="52" t="s">
        <v>247</v>
      </c>
      <c r="AD1909" s="52" t="s">
        <v>1</v>
      </c>
      <c r="AE1909" s="52" t="s">
        <v>383</v>
      </c>
      <c r="AF1909" s="155" t="s">
        <v>247</v>
      </c>
      <c r="AG1909" s="155" t="s">
        <v>247</v>
      </c>
    </row>
    <row r="1910" spans="25:33">
      <c r="Y1910" s="47">
        <v>5104</v>
      </c>
      <c r="Z1910" s="52" t="s">
        <v>410</v>
      </c>
      <c r="AA1910" s="52" t="s">
        <v>247</v>
      </c>
      <c r="AB1910" s="52" t="s">
        <v>247</v>
      </c>
      <c r="AC1910" s="52" t="s">
        <v>247</v>
      </c>
      <c r="AD1910" s="52" t="s">
        <v>1</v>
      </c>
      <c r="AE1910" s="52" t="s">
        <v>383</v>
      </c>
      <c r="AF1910" s="155" t="s">
        <v>247</v>
      </c>
      <c r="AG1910" s="155" t="s">
        <v>247</v>
      </c>
    </row>
    <row r="1911" spans="25:33">
      <c r="Y1911" s="47">
        <v>5105</v>
      </c>
      <c r="Z1911" s="52" t="s">
        <v>410</v>
      </c>
      <c r="AA1911" s="52" t="s">
        <v>247</v>
      </c>
      <c r="AB1911" s="52" t="s">
        <v>247</v>
      </c>
      <c r="AC1911" s="52" t="s">
        <v>247</v>
      </c>
      <c r="AD1911" s="52" t="s">
        <v>1</v>
      </c>
      <c r="AE1911" s="52" t="s">
        <v>383</v>
      </c>
      <c r="AF1911" s="155" t="s">
        <v>247</v>
      </c>
      <c r="AG1911" s="155" t="s">
        <v>247</v>
      </c>
    </row>
    <row r="1912" spans="25:33">
      <c r="Y1912" s="47">
        <v>5106</v>
      </c>
      <c r="Z1912" s="52" t="s">
        <v>410</v>
      </c>
      <c r="AA1912" s="52" t="s">
        <v>247</v>
      </c>
      <c r="AB1912" s="52" t="s">
        <v>247</v>
      </c>
      <c r="AC1912" s="52" t="s">
        <v>247</v>
      </c>
      <c r="AD1912" s="52" t="s">
        <v>1</v>
      </c>
      <c r="AE1912" s="52" t="s">
        <v>383</v>
      </c>
      <c r="AF1912" s="155" t="s">
        <v>247</v>
      </c>
      <c r="AG1912" s="155" t="s">
        <v>247</v>
      </c>
    </row>
    <row r="1913" spans="25:33">
      <c r="Y1913" s="47">
        <v>5107</v>
      </c>
      <c r="Z1913" s="52" t="s">
        <v>410</v>
      </c>
      <c r="AA1913" s="52" t="s">
        <v>247</v>
      </c>
      <c r="AB1913" s="52" t="s">
        <v>247</v>
      </c>
      <c r="AC1913" s="52" t="s">
        <v>247</v>
      </c>
      <c r="AD1913" s="52" t="s">
        <v>1</v>
      </c>
      <c r="AE1913" s="52" t="s">
        <v>383</v>
      </c>
      <c r="AF1913" s="155" t="s">
        <v>247</v>
      </c>
      <c r="AG1913" s="155" t="s">
        <v>247</v>
      </c>
    </row>
    <row r="1914" spans="25:33">
      <c r="Y1914" s="47">
        <v>5108</v>
      </c>
      <c r="Z1914" s="52" t="s">
        <v>410</v>
      </c>
      <c r="AA1914" s="52" t="s">
        <v>247</v>
      </c>
      <c r="AB1914" s="52" t="s">
        <v>247</v>
      </c>
      <c r="AC1914" s="52" t="s">
        <v>247</v>
      </c>
      <c r="AD1914" s="52" t="s">
        <v>1</v>
      </c>
      <c r="AE1914" s="52" t="s">
        <v>383</v>
      </c>
      <c r="AF1914" s="155" t="s">
        <v>247</v>
      </c>
      <c r="AG1914" s="155" t="s">
        <v>247</v>
      </c>
    </row>
    <row r="1915" spans="25:33">
      <c r="Y1915" s="47">
        <v>5109</v>
      </c>
      <c r="Z1915" s="52" t="s">
        <v>410</v>
      </c>
      <c r="AA1915" s="52" t="s">
        <v>247</v>
      </c>
      <c r="AB1915" s="52" t="s">
        <v>247</v>
      </c>
      <c r="AC1915" s="52" t="s">
        <v>247</v>
      </c>
      <c r="AD1915" s="52" t="s">
        <v>1</v>
      </c>
      <c r="AE1915" s="52" t="s">
        <v>383</v>
      </c>
      <c r="AF1915" s="155" t="s">
        <v>247</v>
      </c>
      <c r="AG1915" s="155" t="s">
        <v>247</v>
      </c>
    </row>
    <row r="1916" spans="25:33">
      <c r="Y1916" s="47">
        <v>5110</v>
      </c>
      <c r="Z1916" s="52" t="s">
        <v>410</v>
      </c>
      <c r="AA1916" s="52" t="s">
        <v>247</v>
      </c>
      <c r="AB1916" s="52" t="s">
        <v>247</v>
      </c>
      <c r="AC1916" s="52" t="s">
        <v>247</v>
      </c>
      <c r="AD1916" s="52" t="s">
        <v>1</v>
      </c>
      <c r="AE1916" s="52" t="s">
        <v>383</v>
      </c>
      <c r="AF1916" s="155" t="s">
        <v>247</v>
      </c>
      <c r="AG1916" s="155" t="s">
        <v>247</v>
      </c>
    </row>
    <row r="1917" spans="25:33">
      <c r="Y1917" s="47">
        <v>5111</v>
      </c>
      <c r="Z1917" s="52" t="s">
        <v>410</v>
      </c>
      <c r="AA1917" s="52" t="s">
        <v>247</v>
      </c>
      <c r="AB1917" s="52" t="s">
        <v>247</v>
      </c>
      <c r="AC1917" s="52" t="s">
        <v>247</v>
      </c>
      <c r="AD1917" s="52" t="s">
        <v>1</v>
      </c>
      <c r="AE1917" s="52" t="s">
        <v>383</v>
      </c>
      <c r="AF1917" s="155" t="s">
        <v>247</v>
      </c>
      <c r="AG1917" s="155" t="s">
        <v>247</v>
      </c>
    </row>
    <row r="1918" spans="25:33">
      <c r="Y1918" s="47">
        <v>5112</v>
      </c>
      <c r="Z1918" s="52" t="s">
        <v>410</v>
      </c>
      <c r="AA1918" s="52" t="s">
        <v>247</v>
      </c>
      <c r="AB1918" s="52" t="s">
        <v>247</v>
      </c>
      <c r="AC1918" s="52" t="s">
        <v>247</v>
      </c>
      <c r="AD1918" s="52" t="s">
        <v>1</v>
      </c>
      <c r="AE1918" s="52" t="s">
        <v>383</v>
      </c>
      <c r="AF1918" s="155" t="s">
        <v>247</v>
      </c>
      <c r="AG1918" s="155" t="s">
        <v>247</v>
      </c>
    </row>
    <row r="1919" spans="25:33">
      <c r="Y1919" s="47">
        <v>5113</v>
      </c>
      <c r="Z1919" s="52" t="s">
        <v>410</v>
      </c>
      <c r="AA1919" s="52" t="s">
        <v>247</v>
      </c>
      <c r="AB1919" s="52" t="s">
        <v>247</v>
      </c>
      <c r="AC1919" s="52" t="s">
        <v>247</v>
      </c>
      <c r="AD1919" s="52" t="s">
        <v>1</v>
      </c>
      <c r="AE1919" s="52" t="s">
        <v>383</v>
      </c>
      <c r="AF1919" s="155" t="s">
        <v>247</v>
      </c>
      <c r="AG1919" s="155" t="s">
        <v>247</v>
      </c>
    </row>
    <row r="1920" spans="25:33">
      <c r="Y1920" s="47">
        <v>5114</v>
      </c>
      <c r="Z1920" s="52" t="s">
        <v>410</v>
      </c>
      <c r="AA1920" s="52" t="s">
        <v>247</v>
      </c>
      <c r="AB1920" s="52" t="s">
        <v>247</v>
      </c>
      <c r="AC1920" s="52" t="s">
        <v>247</v>
      </c>
      <c r="AD1920" s="52" t="s">
        <v>1</v>
      </c>
      <c r="AE1920" s="52" t="s">
        <v>383</v>
      </c>
      <c r="AF1920" s="155" t="s">
        <v>247</v>
      </c>
      <c r="AG1920" s="155" t="s">
        <v>247</v>
      </c>
    </row>
    <row r="1921" spans="25:33">
      <c r="Y1921" s="47">
        <v>5115</v>
      </c>
      <c r="Z1921" s="52" t="s">
        <v>410</v>
      </c>
      <c r="AA1921" s="52" t="s">
        <v>247</v>
      </c>
      <c r="AB1921" s="52" t="s">
        <v>247</v>
      </c>
      <c r="AC1921" s="52" t="s">
        <v>247</v>
      </c>
      <c r="AD1921" s="52" t="s">
        <v>1</v>
      </c>
      <c r="AE1921" s="52" t="s">
        <v>383</v>
      </c>
      <c r="AF1921" s="155" t="s">
        <v>247</v>
      </c>
      <c r="AG1921" s="155" t="s">
        <v>247</v>
      </c>
    </row>
    <row r="1922" spans="25:33">
      <c r="Y1922" s="47">
        <v>5116</v>
      </c>
      <c r="Z1922" s="52" t="s">
        <v>410</v>
      </c>
      <c r="AA1922" s="52" t="s">
        <v>247</v>
      </c>
      <c r="AB1922" s="52" t="s">
        <v>247</v>
      </c>
      <c r="AC1922" s="52" t="s">
        <v>247</v>
      </c>
      <c r="AD1922" s="52" t="s">
        <v>1</v>
      </c>
      <c r="AE1922" s="52" t="s">
        <v>383</v>
      </c>
      <c r="AF1922" s="155" t="s">
        <v>247</v>
      </c>
      <c r="AG1922" s="155" t="s">
        <v>247</v>
      </c>
    </row>
    <row r="1923" spans="25:33">
      <c r="Y1923" s="47">
        <v>5117</v>
      </c>
      <c r="Z1923" s="52" t="s">
        <v>410</v>
      </c>
      <c r="AA1923" s="52" t="s">
        <v>247</v>
      </c>
      <c r="AB1923" s="52" t="s">
        <v>247</v>
      </c>
      <c r="AC1923" s="52" t="s">
        <v>247</v>
      </c>
      <c r="AD1923" s="52" t="s">
        <v>1</v>
      </c>
      <c r="AE1923" s="52" t="s">
        <v>383</v>
      </c>
      <c r="AF1923" s="155" t="s">
        <v>247</v>
      </c>
      <c r="AG1923" s="155" t="s">
        <v>247</v>
      </c>
    </row>
    <row r="1924" spans="25:33">
      <c r="Y1924" s="47">
        <v>5118</v>
      </c>
      <c r="Z1924" s="52" t="s">
        <v>410</v>
      </c>
      <c r="AA1924" s="52" t="s">
        <v>247</v>
      </c>
      <c r="AB1924" s="52" t="s">
        <v>247</v>
      </c>
      <c r="AC1924" s="52" t="s">
        <v>247</v>
      </c>
      <c r="AD1924" s="52" t="s">
        <v>1</v>
      </c>
      <c r="AE1924" s="52" t="s">
        <v>383</v>
      </c>
      <c r="AF1924" s="155" t="s">
        <v>247</v>
      </c>
      <c r="AG1924" s="155" t="s">
        <v>247</v>
      </c>
    </row>
    <row r="1925" spans="25:33">
      <c r="Y1925" s="47">
        <v>5119</v>
      </c>
      <c r="Z1925" s="52" t="s">
        <v>410</v>
      </c>
      <c r="AA1925" s="52" t="s">
        <v>247</v>
      </c>
      <c r="AB1925" s="52" t="s">
        <v>247</v>
      </c>
      <c r="AC1925" s="52" t="s">
        <v>247</v>
      </c>
      <c r="AD1925" s="52" t="s">
        <v>1</v>
      </c>
      <c r="AE1925" s="52" t="s">
        <v>383</v>
      </c>
      <c r="AF1925" s="155" t="s">
        <v>247</v>
      </c>
      <c r="AG1925" s="155" t="s">
        <v>247</v>
      </c>
    </row>
    <row r="1926" spans="25:33">
      <c r="Y1926" s="47">
        <v>5120</v>
      </c>
      <c r="Z1926" s="52" t="s">
        <v>410</v>
      </c>
      <c r="AA1926" s="52" t="s">
        <v>247</v>
      </c>
      <c r="AB1926" s="52" t="s">
        <v>247</v>
      </c>
      <c r="AC1926" s="52" t="s">
        <v>247</v>
      </c>
      <c r="AD1926" s="52" t="s">
        <v>1</v>
      </c>
      <c r="AE1926" s="52" t="s">
        <v>383</v>
      </c>
      <c r="AF1926" s="155" t="s">
        <v>247</v>
      </c>
      <c r="AG1926" s="155" t="s">
        <v>247</v>
      </c>
    </row>
    <row r="1927" spans="25:33">
      <c r="Y1927" s="47">
        <v>5121</v>
      </c>
      <c r="Z1927" s="52" t="s">
        <v>410</v>
      </c>
      <c r="AA1927" s="52" t="s">
        <v>247</v>
      </c>
      <c r="AB1927" s="52" t="s">
        <v>247</v>
      </c>
      <c r="AC1927" s="52" t="s">
        <v>247</v>
      </c>
      <c r="AD1927" s="52" t="s">
        <v>1</v>
      </c>
      <c r="AE1927" s="52" t="s">
        <v>383</v>
      </c>
      <c r="AF1927" s="155" t="s">
        <v>247</v>
      </c>
      <c r="AG1927" s="155" t="s">
        <v>247</v>
      </c>
    </row>
    <row r="1928" spans="25:33">
      <c r="Y1928" s="47">
        <v>5122</v>
      </c>
      <c r="Z1928" s="52" t="s">
        <v>410</v>
      </c>
      <c r="AA1928" s="52" t="s">
        <v>247</v>
      </c>
      <c r="AB1928" s="52" t="s">
        <v>247</v>
      </c>
      <c r="AC1928" s="52" t="s">
        <v>247</v>
      </c>
      <c r="AD1928" s="52" t="s">
        <v>1</v>
      </c>
      <c r="AE1928" s="52" t="s">
        <v>383</v>
      </c>
      <c r="AF1928" s="155" t="s">
        <v>247</v>
      </c>
      <c r="AG1928" s="155" t="s">
        <v>247</v>
      </c>
    </row>
    <row r="1929" spans="25:33">
      <c r="Y1929" s="47">
        <v>5123</v>
      </c>
      <c r="Z1929" s="52" t="s">
        <v>410</v>
      </c>
      <c r="AA1929" s="52" t="s">
        <v>247</v>
      </c>
      <c r="AB1929" s="52" t="s">
        <v>247</v>
      </c>
      <c r="AC1929" s="52" t="s">
        <v>247</v>
      </c>
      <c r="AD1929" s="52" t="s">
        <v>1</v>
      </c>
      <c r="AE1929" s="52" t="s">
        <v>383</v>
      </c>
      <c r="AF1929" s="155" t="s">
        <v>247</v>
      </c>
      <c r="AG1929" s="155" t="s">
        <v>247</v>
      </c>
    </row>
    <row r="1930" spans="25:33">
      <c r="Y1930" s="47">
        <v>5124</v>
      </c>
      <c r="Z1930" s="52" t="s">
        <v>410</v>
      </c>
      <c r="AA1930" s="52" t="s">
        <v>247</v>
      </c>
      <c r="AB1930" s="52" t="s">
        <v>247</v>
      </c>
      <c r="AC1930" s="52" t="s">
        <v>247</v>
      </c>
      <c r="AD1930" s="52" t="s">
        <v>1</v>
      </c>
      <c r="AE1930" s="52" t="s">
        <v>383</v>
      </c>
      <c r="AF1930" s="155" t="s">
        <v>247</v>
      </c>
      <c r="AG1930" s="155" t="s">
        <v>247</v>
      </c>
    </row>
    <row r="1931" spans="25:33">
      <c r="Y1931" s="47">
        <v>5125</v>
      </c>
      <c r="Z1931" s="52" t="s">
        <v>410</v>
      </c>
      <c r="AA1931" s="52" t="s">
        <v>247</v>
      </c>
      <c r="AB1931" s="52" t="s">
        <v>247</v>
      </c>
      <c r="AC1931" s="52" t="s">
        <v>247</v>
      </c>
      <c r="AD1931" s="52" t="s">
        <v>1</v>
      </c>
      <c r="AE1931" s="52" t="s">
        <v>383</v>
      </c>
      <c r="AF1931" s="155" t="s">
        <v>247</v>
      </c>
      <c r="AG1931" s="155" t="s">
        <v>247</v>
      </c>
    </row>
    <row r="1932" spans="25:33">
      <c r="Y1932" s="47">
        <v>5126</v>
      </c>
      <c r="Z1932" s="52" t="s">
        <v>410</v>
      </c>
      <c r="AA1932" s="52" t="s">
        <v>247</v>
      </c>
      <c r="AB1932" s="52" t="s">
        <v>247</v>
      </c>
      <c r="AC1932" s="52" t="s">
        <v>247</v>
      </c>
      <c r="AD1932" s="52" t="s">
        <v>1</v>
      </c>
      <c r="AE1932" s="52" t="s">
        <v>383</v>
      </c>
      <c r="AF1932" s="155" t="s">
        <v>247</v>
      </c>
      <c r="AG1932" s="155" t="s">
        <v>247</v>
      </c>
    </row>
    <row r="1933" spans="25:33">
      <c r="Y1933" s="47">
        <v>5127</v>
      </c>
      <c r="Z1933" s="52" t="s">
        <v>410</v>
      </c>
      <c r="AA1933" s="52" t="s">
        <v>247</v>
      </c>
      <c r="AB1933" s="52" t="s">
        <v>247</v>
      </c>
      <c r="AC1933" s="52" t="s">
        <v>247</v>
      </c>
      <c r="AD1933" s="52" t="s">
        <v>1</v>
      </c>
      <c r="AE1933" s="52" t="s">
        <v>383</v>
      </c>
      <c r="AF1933" s="155" t="s">
        <v>247</v>
      </c>
      <c r="AG1933" s="155" t="s">
        <v>247</v>
      </c>
    </row>
    <row r="1934" spans="25:33">
      <c r="Y1934" s="47">
        <v>5128</v>
      </c>
      <c r="Z1934" s="52" t="s">
        <v>410</v>
      </c>
      <c r="AA1934" s="52" t="s">
        <v>247</v>
      </c>
      <c r="AB1934" s="52" t="s">
        <v>247</v>
      </c>
      <c r="AC1934" s="52" t="s">
        <v>247</v>
      </c>
      <c r="AD1934" s="52" t="s">
        <v>1</v>
      </c>
      <c r="AE1934" s="52" t="s">
        <v>383</v>
      </c>
      <c r="AF1934" s="155" t="s">
        <v>247</v>
      </c>
      <c r="AG1934" s="155" t="s">
        <v>247</v>
      </c>
    </row>
    <row r="1935" spans="25:33">
      <c r="Y1935" s="47">
        <v>5129</v>
      </c>
      <c r="Z1935" s="52" t="s">
        <v>410</v>
      </c>
      <c r="AA1935" s="52" t="s">
        <v>247</v>
      </c>
      <c r="AB1935" s="52" t="s">
        <v>247</v>
      </c>
      <c r="AC1935" s="52" t="s">
        <v>247</v>
      </c>
      <c r="AD1935" s="52" t="s">
        <v>1</v>
      </c>
      <c r="AE1935" s="52" t="s">
        <v>383</v>
      </c>
      <c r="AF1935" s="155" t="s">
        <v>247</v>
      </c>
      <c r="AG1935" s="155" t="s">
        <v>247</v>
      </c>
    </row>
    <row r="1936" spans="25:33">
      <c r="Y1936" s="47">
        <v>5130</v>
      </c>
      <c r="Z1936" s="52" t="s">
        <v>410</v>
      </c>
      <c r="AA1936" s="52" t="s">
        <v>247</v>
      </c>
      <c r="AB1936" s="52" t="s">
        <v>247</v>
      </c>
      <c r="AC1936" s="52" t="s">
        <v>247</v>
      </c>
      <c r="AD1936" s="52" t="s">
        <v>1</v>
      </c>
      <c r="AE1936" s="52" t="s">
        <v>383</v>
      </c>
      <c r="AF1936" s="155" t="s">
        <v>247</v>
      </c>
      <c r="AG1936" s="155" t="s">
        <v>247</v>
      </c>
    </row>
    <row r="1937" spans="25:33">
      <c r="Y1937" s="47">
        <v>5131</v>
      </c>
      <c r="Z1937" s="52" t="s">
        <v>410</v>
      </c>
      <c r="AA1937" s="52" t="s">
        <v>247</v>
      </c>
      <c r="AB1937" s="52" t="s">
        <v>247</v>
      </c>
      <c r="AC1937" s="52" t="s">
        <v>247</v>
      </c>
      <c r="AD1937" s="52" t="s">
        <v>1</v>
      </c>
      <c r="AE1937" s="52" t="s">
        <v>383</v>
      </c>
      <c r="AF1937" s="155" t="s">
        <v>247</v>
      </c>
      <c r="AG1937" s="155" t="s">
        <v>247</v>
      </c>
    </row>
    <row r="1938" spans="25:33">
      <c r="Y1938" s="47">
        <v>5132</v>
      </c>
      <c r="Z1938" s="52" t="s">
        <v>410</v>
      </c>
      <c r="AA1938" s="52" t="s">
        <v>247</v>
      </c>
      <c r="AB1938" s="52" t="s">
        <v>247</v>
      </c>
      <c r="AC1938" s="52" t="s">
        <v>247</v>
      </c>
      <c r="AD1938" s="52" t="s">
        <v>1</v>
      </c>
      <c r="AE1938" s="52" t="s">
        <v>383</v>
      </c>
      <c r="AF1938" s="155" t="s">
        <v>247</v>
      </c>
      <c r="AG1938" s="155" t="s">
        <v>247</v>
      </c>
    </row>
    <row r="1939" spans="25:33">
      <c r="Y1939" s="47">
        <v>5133</v>
      </c>
      <c r="Z1939" s="52" t="s">
        <v>410</v>
      </c>
      <c r="AA1939" s="52" t="s">
        <v>247</v>
      </c>
      <c r="AB1939" s="52" t="s">
        <v>247</v>
      </c>
      <c r="AC1939" s="52" t="s">
        <v>247</v>
      </c>
      <c r="AD1939" s="52" t="s">
        <v>1</v>
      </c>
      <c r="AE1939" s="52" t="s">
        <v>383</v>
      </c>
      <c r="AF1939" s="155" t="s">
        <v>247</v>
      </c>
      <c r="AG1939" s="155" t="s">
        <v>247</v>
      </c>
    </row>
    <row r="1940" spans="25:33">
      <c r="Y1940" s="47">
        <v>5134</v>
      </c>
      <c r="Z1940" s="52" t="s">
        <v>410</v>
      </c>
      <c r="AA1940" s="52" t="s">
        <v>247</v>
      </c>
      <c r="AB1940" s="52" t="s">
        <v>247</v>
      </c>
      <c r="AC1940" s="52" t="s">
        <v>247</v>
      </c>
      <c r="AD1940" s="52" t="s">
        <v>1</v>
      </c>
      <c r="AE1940" s="52" t="s">
        <v>383</v>
      </c>
      <c r="AF1940" s="155" t="s">
        <v>247</v>
      </c>
      <c r="AG1940" s="155" t="s">
        <v>247</v>
      </c>
    </row>
    <row r="1941" spans="25:33">
      <c r="Y1941" s="47">
        <v>5135</v>
      </c>
      <c r="Z1941" s="52" t="s">
        <v>410</v>
      </c>
      <c r="AA1941" s="52" t="s">
        <v>247</v>
      </c>
      <c r="AB1941" s="52" t="s">
        <v>247</v>
      </c>
      <c r="AC1941" s="52" t="s">
        <v>247</v>
      </c>
      <c r="AD1941" s="52" t="s">
        <v>1</v>
      </c>
      <c r="AE1941" s="52" t="s">
        <v>383</v>
      </c>
      <c r="AF1941" s="155" t="s">
        <v>247</v>
      </c>
      <c r="AG1941" s="155" t="s">
        <v>247</v>
      </c>
    </row>
    <row r="1942" spans="25:33">
      <c r="Y1942" s="47">
        <v>5136</v>
      </c>
      <c r="Z1942" s="52" t="s">
        <v>410</v>
      </c>
      <c r="AA1942" s="52" t="s">
        <v>247</v>
      </c>
      <c r="AB1942" s="52" t="s">
        <v>247</v>
      </c>
      <c r="AC1942" s="52" t="s">
        <v>247</v>
      </c>
      <c r="AD1942" s="52" t="s">
        <v>1</v>
      </c>
      <c r="AE1942" s="52" t="s">
        <v>383</v>
      </c>
      <c r="AF1942" s="155" t="s">
        <v>247</v>
      </c>
      <c r="AG1942" s="155" t="s">
        <v>247</v>
      </c>
    </row>
    <row r="1943" spans="25:33">
      <c r="Y1943" s="47">
        <v>5137</v>
      </c>
      <c r="Z1943" s="52" t="s">
        <v>410</v>
      </c>
      <c r="AA1943" s="52" t="s">
        <v>247</v>
      </c>
      <c r="AB1943" s="52" t="s">
        <v>247</v>
      </c>
      <c r="AC1943" s="52" t="s">
        <v>247</v>
      </c>
      <c r="AD1943" s="52" t="s">
        <v>1</v>
      </c>
      <c r="AE1943" s="52" t="s">
        <v>383</v>
      </c>
      <c r="AF1943" s="155" t="s">
        <v>247</v>
      </c>
      <c r="AG1943" s="155" t="s">
        <v>247</v>
      </c>
    </row>
    <row r="1944" spans="25:33">
      <c r="Y1944" s="47">
        <v>5138</v>
      </c>
      <c r="Z1944" s="52" t="s">
        <v>410</v>
      </c>
      <c r="AA1944" s="52" t="s">
        <v>247</v>
      </c>
      <c r="AB1944" s="52" t="s">
        <v>247</v>
      </c>
      <c r="AC1944" s="52" t="s">
        <v>247</v>
      </c>
      <c r="AD1944" s="52" t="s">
        <v>1</v>
      </c>
      <c r="AE1944" s="52" t="s">
        <v>383</v>
      </c>
      <c r="AF1944" s="155" t="s">
        <v>247</v>
      </c>
      <c r="AG1944" s="155" t="s">
        <v>247</v>
      </c>
    </row>
    <row r="1945" spans="25:33">
      <c r="Y1945" s="47">
        <v>5139</v>
      </c>
      <c r="Z1945" s="52" t="s">
        <v>410</v>
      </c>
      <c r="AA1945" s="52" t="s">
        <v>247</v>
      </c>
      <c r="AB1945" s="52" t="s">
        <v>247</v>
      </c>
      <c r="AC1945" s="52" t="s">
        <v>247</v>
      </c>
      <c r="AD1945" s="52" t="s">
        <v>1</v>
      </c>
      <c r="AE1945" s="52" t="s">
        <v>383</v>
      </c>
      <c r="AF1945" s="155" t="s">
        <v>247</v>
      </c>
      <c r="AG1945" s="155" t="s">
        <v>247</v>
      </c>
    </row>
    <row r="1946" spans="25:33">
      <c r="Y1946" s="47">
        <v>5140</v>
      </c>
      <c r="Z1946" s="52" t="s">
        <v>410</v>
      </c>
      <c r="AA1946" s="52" t="s">
        <v>247</v>
      </c>
      <c r="AB1946" s="52" t="s">
        <v>247</v>
      </c>
      <c r="AC1946" s="52" t="s">
        <v>247</v>
      </c>
      <c r="AD1946" s="52" t="s">
        <v>1</v>
      </c>
      <c r="AE1946" s="52" t="s">
        <v>383</v>
      </c>
      <c r="AF1946" s="155" t="s">
        <v>247</v>
      </c>
      <c r="AG1946" s="155" t="s">
        <v>247</v>
      </c>
    </row>
    <row r="1947" spans="25:33">
      <c r="Y1947" s="47">
        <v>5141</v>
      </c>
      <c r="Z1947" s="52" t="s">
        <v>410</v>
      </c>
      <c r="AA1947" s="52" t="s">
        <v>247</v>
      </c>
      <c r="AB1947" s="52" t="s">
        <v>247</v>
      </c>
      <c r="AC1947" s="52" t="s">
        <v>247</v>
      </c>
      <c r="AD1947" s="52" t="s">
        <v>1</v>
      </c>
      <c r="AE1947" s="52" t="s">
        <v>383</v>
      </c>
      <c r="AF1947" s="155" t="s">
        <v>247</v>
      </c>
      <c r="AG1947" s="155" t="s">
        <v>247</v>
      </c>
    </row>
    <row r="1948" spans="25:33">
      <c r="Y1948" s="47">
        <v>5142</v>
      </c>
      <c r="Z1948" s="52" t="s">
        <v>410</v>
      </c>
      <c r="AA1948" s="52" t="s">
        <v>247</v>
      </c>
      <c r="AB1948" s="52" t="s">
        <v>247</v>
      </c>
      <c r="AC1948" s="52" t="s">
        <v>247</v>
      </c>
      <c r="AD1948" s="52" t="s">
        <v>1</v>
      </c>
      <c r="AE1948" s="52" t="s">
        <v>383</v>
      </c>
      <c r="AF1948" s="155" t="s">
        <v>247</v>
      </c>
      <c r="AG1948" s="155" t="s">
        <v>247</v>
      </c>
    </row>
    <row r="1949" spans="25:33">
      <c r="Y1949" s="47">
        <v>5143</v>
      </c>
      <c r="Z1949" s="52" t="s">
        <v>410</v>
      </c>
      <c r="AA1949" s="52" t="s">
        <v>247</v>
      </c>
      <c r="AB1949" s="52" t="s">
        <v>247</v>
      </c>
      <c r="AC1949" s="52" t="s">
        <v>247</v>
      </c>
      <c r="AD1949" s="52" t="s">
        <v>1</v>
      </c>
      <c r="AE1949" s="52" t="s">
        <v>383</v>
      </c>
      <c r="AF1949" s="155" t="s">
        <v>247</v>
      </c>
      <c r="AG1949" s="155" t="s">
        <v>247</v>
      </c>
    </row>
    <row r="1950" spans="25:33">
      <c r="Y1950" s="47">
        <v>5144</v>
      </c>
      <c r="Z1950" s="52" t="s">
        <v>410</v>
      </c>
      <c r="AA1950" s="52" t="s">
        <v>247</v>
      </c>
      <c r="AB1950" s="52" t="s">
        <v>247</v>
      </c>
      <c r="AC1950" s="52" t="s">
        <v>247</v>
      </c>
      <c r="AD1950" s="52" t="s">
        <v>1</v>
      </c>
      <c r="AE1950" s="52" t="s">
        <v>383</v>
      </c>
      <c r="AF1950" s="155" t="s">
        <v>247</v>
      </c>
      <c r="AG1950" s="155" t="s">
        <v>247</v>
      </c>
    </row>
    <row r="1951" spans="25:33">
      <c r="Y1951" s="47">
        <v>5145</v>
      </c>
      <c r="Z1951" s="52" t="s">
        <v>410</v>
      </c>
      <c r="AA1951" s="52" t="s">
        <v>247</v>
      </c>
      <c r="AB1951" s="52" t="s">
        <v>247</v>
      </c>
      <c r="AC1951" s="52" t="s">
        <v>247</v>
      </c>
      <c r="AD1951" s="52" t="s">
        <v>1</v>
      </c>
      <c r="AE1951" s="52" t="s">
        <v>383</v>
      </c>
      <c r="AF1951" s="155" t="s">
        <v>247</v>
      </c>
      <c r="AG1951" s="155" t="s">
        <v>247</v>
      </c>
    </row>
    <row r="1952" spans="25:33">
      <c r="Y1952" s="47">
        <v>5146</v>
      </c>
      <c r="Z1952" s="52" t="s">
        <v>410</v>
      </c>
      <c r="AA1952" s="52" t="s">
        <v>247</v>
      </c>
      <c r="AB1952" s="52" t="s">
        <v>247</v>
      </c>
      <c r="AC1952" s="52" t="s">
        <v>247</v>
      </c>
      <c r="AD1952" s="52" t="s">
        <v>1</v>
      </c>
      <c r="AE1952" s="52" t="s">
        <v>383</v>
      </c>
      <c r="AF1952" s="155" t="s">
        <v>247</v>
      </c>
      <c r="AG1952" s="155" t="s">
        <v>247</v>
      </c>
    </row>
    <row r="1953" spans="25:33">
      <c r="Y1953" s="47">
        <v>5147</v>
      </c>
      <c r="Z1953" s="52" t="s">
        <v>410</v>
      </c>
      <c r="AA1953" s="52" t="s">
        <v>247</v>
      </c>
      <c r="AB1953" s="52" t="s">
        <v>247</v>
      </c>
      <c r="AC1953" s="52" t="s">
        <v>247</v>
      </c>
      <c r="AD1953" s="52" t="s">
        <v>1</v>
      </c>
      <c r="AE1953" s="52" t="s">
        <v>383</v>
      </c>
      <c r="AF1953" s="155" t="s">
        <v>247</v>
      </c>
      <c r="AG1953" s="155" t="s">
        <v>247</v>
      </c>
    </row>
    <row r="1954" spans="25:33">
      <c r="Y1954" s="47">
        <v>5148</v>
      </c>
      <c r="Z1954" s="52" t="s">
        <v>410</v>
      </c>
      <c r="AA1954" s="52" t="s">
        <v>247</v>
      </c>
      <c r="AB1954" s="52" t="s">
        <v>247</v>
      </c>
      <c r="AC1954" s="52" t="s">
        <v>247</v>
      </c>
      <c r="AD1954" s="52" t="s">
        <v>1</v>
      </c>
      <c r="AE1954" s="52" t="s">
        <v>383</v>
      </c>
      <c r="AF1954" s="155" t="s">
        <v>247</v>
      </c>
      <c r="AG1954" s="155" t="s">
        <v>247</v>
      </c>
    </row>
    <row r="1955" spans="25:33">
      <c r="Y1955" s="47">
        <v>5149</v>
      </c>
      <c r="Z1955" s="52" t="s">
        <v>410</v>
      </c>
      <c r="AA1955" s="52" t="s">
        <v>247</v>
      </c>
      <c r="AB1955" s="52" t="s">
        <v>247</v>
      </c>
      <c r="AC1955" s="52" t="s">
        <v>247</v>
      </c>
      <c r="AD1955" s="52" t="s">
        <v>1</v>
      </c>
      <c r="AE1955" s="52" t="s">
        <v>383</v>
      </c>
      <c r="AF1955" s="155" t="s">
        <v>247</v>
      </c>
      <c r="AG1955" s="155" t="s">
        <v>247</v>
      </c>
    </row>
    <row r="1956" spans="25:33">
      <c r="Y1956" s="47">
        <v>5150</v>
      </c>
      <c r="Z1956" s="52" t="s">
        <v>410</v>
      </c>
      <c r="AA1956" s="52" t="s">
        <v>247</v>
      </c>
      <c r="AB1956" s="52" t="s">
        <v>247</v>
      </c>
      <c r="AC1956" s="52" t="s">
        <v>247</v>
      </c>
      <c r="AD1956" s="52" t="s">
        <v>1</v>
      </c>
      <c r="AE1956" s="52" t="s">
        <v>383</v>
      </c>
      <c r="AF1956" s="155" t="s">
        <v>247</v>
      </c>
      <c r="AG1956" s="155" t="s">
        <v>247</v>
      </c>
    </row>
    <row r="1957" spans="25:33">
      <c r="Y1957" s="47">
        <v>5151</v>
      </c>
      <c r="Z1957" s="52" t="s">
        <v>410</v>
      </c>
      <c r="AA1957" s="52" t="s">
        <v>247</v>
      </c>
      <c r="AB1957" s="52" t="s">
        <v>247</v>
      </c>
      <c r="AC1957" s="52" t="s">
        <v>247</v>
      </c>
      <c r="AD1957" s="52" t="s">
        <v>1</v>
      </c>
      <c r="AE1957" s="52" t="s">
        <v>383</v>
      </c>
      <c r="AF1957" s="155" t="s">
        <v>247</v>
      </c>
      <c r="AG1957" s="155" t="s">
        <v>247</v>
      </c>
    </row>
    <row r="1958" spans="25:33">
      <c r="Y1958" s="47">
        <v>5152</v>
      </c>
      <c r="Z1958" s="52" t="s">
        <v>410</v>
      </c>
      <c r="AA1958" s="52" t="s">
        <v>247</v>
      </c>
      <c r="AB1958" s="52" t="s">
        <v>247</v>
      </c>
      <c r="AC1958" s="52" t="s">
        <v>247</v>
      </c>
      <c r="AD1958" s="52" t="s">
        <v>1</v>
      </c>
      <c r="AE1958" s="52" t="s">
        <v>383</v>
      </c>
      <c r="AF1958" s="155" t="s">
        <v>247</v>
      </c>
      <c r="AG1958" s="155" t="s">
        <v>247</v>
      </c>
    </row>
    <row r="1959" spans="25:33">
      <c r="Y1959" s="47">
        <v>5153</v>
      </c>
      <c r="Z1959" s="52" t="s">
        <v>410</v>
      </c>
      <c r="AA1959" s="52" t="s">
        <v>247</v>
      </c>
      <c r="AB1959" s="52" t="s">
        <v>247</v>
      </c>
      <c r="AC1959" s="52" t="s">
        <v>247</v>
      </c>
      <c r="AD1959" s="52" t="s">
        <v>1</v>
      </c>
      <c r="AE1959" s="52" t="s">
        <v>383</v>
      </c>
      <c r="AF1959" s="155" t="s">
        <v>247</v>
      </c>
      <c r="AG1959" s="155" t="s">
        <v>247</v>
      </c>
    </row>
    <row r="1960" spans="25:33">
      <c r="Y1960" s="47">
        <v>5154</v>
      </c>
      <c r="Z1960" s="52" t="s">
        <v>410</v>
      </c>
      <c r="AA1960" s="52" t="s">
        <v>247</v>
      </c>
      <c r="AB1960" s="52" t="s">
        <v>247</v>
      </c>
      <c r="AC1960" s="52" t="s">
        <v>247</v>
      </c>
      <c r="AD1960" s="52" t="s">
        <v>1</v>
      </c>
      <c r="AE1960" s="52" t="s">
        <v>383</v>
      </c>
      <c r="AF1960" s="155" t="s">
        <v>247</v>
      </c>
      <c r="AG1960" s="155" t="s">
        <v>247</v>
      </c>
    </row>
    <row r="1961" spans="25:33">
      <c r="Y1961" s="47">
        <v>5155</v>
      </c>
      <c r="Z1961" s="52" t="s">
        <v>410</v>
      </c>
      <c r="AA1961" s="52" t="s">
        <v>247</v>
      </c>
      <c r="AB1961" s="52" t="s">
        <v>247</v>
      </c>
      <c r="AC1961" s="52" t="s">
        <v>247</v>
      </c>
      <c r="AD1961" s="52" t="s">
        <v>1</v>
      </c>
      <c r="AE1961" s="52" t="s">
        <v>383</v>
      </c>
      <c r="AF1961" s="155" t="s">
        <v>247</v>
      </c>
      <c r="AG1961" s="155" t="s">
        <v>247</v>
      </c>
    </row>
    <row r="1962" spans="25:33">
      <c r="Y1962" s="47">
        <v>5156</v>
      </c>
      <c r="Z1962" s="52" t="s">
        <v>410</v>
      </c>
      <c r="AA1962" s="52" t="s">
        <v>247</v>
      </c>
      <c r="AB1962" s="52" t="s">
        <v>247</v>
      </c>
      <c r="AC1962" s="52" t="s">
        <v>247</v>
      </c>
      <c r="AD1962" s="52" t="s">
        <v>1</v>
      </c>
      <c r="AE1962" s="52" t="s">
        <v>383</v>
      </c>
      <c r="AF1962" s="155" t="s">
        <v>247</v>
      </c>
      <c r="AG1962" s="155" t="s">
        <v>247</v>
      </c>
    </row>
    <row r="1963" spans="25:33">
      <c r="Y1963" s="47">
        <v>5157</v>
      </c>
      <c r="Z1963" s="52" t="s">
        <v>410</v>
      </c>
      <c r="AA1963" s="52" t="s">
        <v>247</v>
      </c>
      <c r="AB1963" s="52" t="s">
        <v>247</v>
      </c>
      <c r="AC1963" s="52" t="s">
        <v>247</v>
      </c>
      <c r="AD1963" s="52" t="s">
        <v>1</v>
      </c>
      <c r="AE1963" s="52" t="s">
        <v>383</v>
      </c>
      <c r="AF1963" s="155" t="s">
        <v>247</v>
      </c>
      <c r="AG1963" s="155" t="s">
        <v>247</v>
      </c>
    </row>
    <row r="1964" spans="25:33">
      <c r="Y1964" s="47">
        <v>5158</v>
      </c>
      <c r="Z1964" s="52" t="s">
        <v>410</v>
      </c>
      <c r="AA1964" s="52" t="s">
        <v>247</v>
      </c>
      <c r="AB1964" s="52" t="s">
        <v>247</v>
      </c>
      <c r="AC1964" s="52" t="s">
        <v>247</v>
      </c>
      <c r="AD1964" s="52" t="s">
        <v>1</v>
      </c>
      <c r="AE1964" s="52" t="s">
        <v>383</v>
      </c>
      <c r="AF1964" s="155" t="s">
        <v>247</v>
      </c>
      <c r="AG1964" s="155" t="s">
        <v>247</v>
      </c>
    </row>
    <row r="1965" spans="25:33">
      <c r="Y1965" s="47">
        <v>5159</v>
      </c>
      <c r="Z1965" s="52" t="s">
        <v>410</v>
      </c>
      <c r="AA1965" s="52" t="s">
        <v>247</v>
      </c>
      <c r="AB1965" s="52" t="s">
        <v>247</v>
      </c>
      <c r="AC1965" s="52" t="s">
        <v>247</v>
      </c>
      <c r="AD1965" s="52" t="s">
        <v>1</v>
      </c>
      <c r="AE1965" s="52" t="s">
        <v>383</v>
      </c>
      <c r="AF1965" s="155" t="s">
        <v>247</v>
      </c>
      <c r="AG1965" s="155" t="s">
        <v>247</v>
      </c>
    </row>
    <row r="1966" spans="25:33">
      <c r="Y1966" s="47">
        <v>5160</v>
      </c>
      <c r="Z1966" s="52" t="s">
        <v>410</v>
      </c>
      <c r="AA1966" s="52" t="s">
        <v>247</v>
      </c>
      <c r="AB1966" s="52" t="s">
        <v>247</v>
      </c>
      <c r="AC1966" s="52" t="s">
        <v>247</v>
      </c>
      <c r="AD1966" s="52" t="s">
        <v>1</v>
      </c>
      <c r="AE1966" s="52" t="s">
        <v>383</v>
      </c>
      <c r="AF1966" s="155" t="s">
        <v>247</v>
      </c>
      <c r="AG1966" s="155" t="s">
        <v>247</v>
      </c>
    </row>
    <row r="1967" spans="25:33">
      <c r="Y1967" s="47">
        <v>5161</v>
      </c>
      <c r="Z1967" s="52" t="s">
        <v>410</v>
      </c>
      <c r="AA1967" s="52" t="s">
        <v>247</v>
      </c>
      <c r="AB1967" s="52" t="s">
        <v>247</v>
      </c>
      <c r="AC1967" s="52" t="s">
        <v>247</v>
      </c>
      <c r="AD1967" s="52" t="s">
        <v>1</v>
      </c>
      <c r="AE1967" s="52" t="s">
        <v>383</v>
      </c>
      <c r="AF1967" s="155" t="s">
        <v>247</v>
      </c>
      <c r="AG1967" s="155" t="s">
        <v>247</v>
      </c>
    </row>
    <row r="1968" spans="25:33">
      <c r="Y1968" s="47">
        <v>5162</v>
      </c>
      <c r="Z1968" s="52" t="s">
        <v>410</v>
      </c>
      <c r="AA1968" s="52" t="s">
        <v>247</v>
      </c>
      <c r="AB1968" s="52" t="s">
        <v>247</v>
      </c>
      <c r="AC1968" s="52" t="s">
        <v>247</v>
      </c>
      <c r="AD1968" s="52" t="s">
        <v>1</v>
      </c>
      <c r="AE1968" s="52" t="s">
        <v>383</v>
      </c>
      <c r="AF1968" s="155" t="s">
        <v>247</v>
      </c>
      <c r="AG1968" s="155" t="s">
        <v>247</v>
      </c>
    </row>
    <row r="1969" spans="25:33">
      <c r="Y1969" s="47">
        <v>5163</v>
      </c>
      <c r="Z1969" s="52" t="s">
        <v>410</v>
      </c>
      <c r="AA1969" s="52" t="s">
        <v>247</v>
      </c>
      <c r="AB1969" s="52" t="s">
        <v>247</v>
      </c>
      <c r="AC1969" s="52" t="s">
        <v>247</v>
      </c>
      <c r="AD1969" s="52" t="s">
        <v>1</v>
      </c>
      <c r="AE1969" s="52" t="s">
        <v>383</v>
      </c>
      <c r="AF1969" s="155" t="s">
        <v>247</v>
      </c>
      <c r="AG1969" s="155" t="s">
        <v>247</v>
      </c>
    </row>
    <row r="1970" spans="25:33">
      <c r="Y1970" s="47">
        <v>5164</v>
      </c>
      <c r="Z1970" s="52" t="s">
        <v>410</v>
      </c>
      <c r="AA1970" s="52" t="s">
        <v>247</v>
      </c>
      <c r="AB1970" s="52" t="s">
        <v>247</v>
      </c>
      <c r="AC1970" s="52" t="s">
        <v>247</v>
      </c>
      <c r="AD1970" s="52" t="s">
        <v>1</v>
      </c>
      <c r="AE1970" s="52" t="s">
        <v>383</v>
      </c>
      <c r="AF1970" s="155" t="s">
        <v>247</v>
      </c>
      <c r="AG1970" s="155" t="s">
        <v>247</v>
      </c>
    </row>
    <row r="1971" spans="25:33">
      <c r="Y1971" s="47">
        <v>5165</v>
      </c>
      <c r="Z1971" s="52" t="s">
        <v>410</v>
      </c>
      <c r="AA1971" s="52" t="s">
        <v>247</v>
      </c>
      <c r="AB1971" s="52" t="s">
        <v>247</v>
      </c>
      <c r="AC1971" s="52" t="s">
        <v>247</v>
      </c>
      <c r="AD1971" s="52" t="s">
        <v>1</v>
      </c>
      <c r="AE1971" s="52" t="s">
        <v>383</v>
      </c>
      <c r="AF1971" s="155" t="s">
        <v>247</v>
      </c>
      <c r="AG1971" s="155" t="s">
        <v>247</v>
      </c>
    </row>
    <row r="1972" spans="25:33">
      <c r="Y1972" s="47">
        <v>5166</v>
      </c>
      <c r="Z1972" s="52" t="s">
        <v>410</v>
      </c>
      <c r="AA1972" s="52" t="s">
        <v>247</v>
      </c>
      <c r="AB1972" s="52" t="s">
        <v>247</v>
      </c>
      <c r="AC1972" s="52" t="s">
        <v>247</v>
      </c>
      <c r="AD1972" s="52" t="s">
        <v>1</v>
      </c>
      <c r="AE1972" s="52" t="s">
        <v>383</v>
      </c>
      <c r="AF1972" s="155" t="s">
        <v>247</v>
      </c>
      <c r="AG1972" s="155" t="s">
        <v>247</v>
      </c>
    </row>
    <row r="1973" spans="25:33">
      <c r="Y1973" s="47">
        <v>5167</v>
      </c>
      <c r="Z1973" s="52" t="s">
        <v>410</v>
      </c>
      <c r="AA1973" s="52" t="s">
        <v>247</v>
      </c>
      <c r="AB1973" s="52" t="s">
        <v>247</v>
      </c>
      <c r="AC1973" s="52" t="s">
        <v>247</v>
      </c>
      <c r="AD1973" s="52" t="s">
        <v>1</v>
      </c>
      <c r="AE1973" s="52" t="s">
        <v>383</v>
      </c>
      <c r="AF1973" s="155" t="s">
        <v>247</v>
      </c>
      <c r="AG1973" s="155" t="s">
        <v>247</v>
      </c>
    </row>
    <row r="1974" spans="25:33">
      <c r="Y1974" s="47">
        <v>5168</v>
      </c>
      <c r="Z1974" s="52" t="s">
        <v>410</v>
      </c>
      <c r="AA1974" s="52" t="s">
        <v>247</v>
      </c>
      <c r="AB1974" s="52" t="s">
        <v>247</v>
      </c>
      <c r="AC1974" s="52" t="s">
        <v>247</v>
      </c>
      <c r="AD1974" s="52" t="s">
        <v>1</v>
      </c>
      <c r="AE1974" s="52" t="s">
        <v>383</v>
      </c>
      <c r="AF1974" s="155" t="s">
        <v>247</v>
      </c>
      <c r="AG1974" s="155" t="s">
        <v>247</v>
      </c>
    </row>
    <row r="1975" spans="25:33">
      <c r="Y1975" s="47">
        <v>5169</v>
      </c>
      <c r="Z1975" s="52" t="s">
        <v>410</v>
      </c>
      <c r="AA1975" s="52" t="s">
        <v>247</v>
      </c>
      <c r="AB1975" s="52" t="s">
        <v>247</v>
      </c>
      <c r="AC1975" s="52" t="s">
        <v>247</v>
      </c>
      <c r="AD1975" s="52" t="s">
        <v>1</v>
      </c>
      <c r="AE1975" s="52" t="s">
        <v>383</v>
      </c>
      <c r="AF1975" s="155" t="s">
        <v>247</v>
      </c>
      <c r="AG1975" s="155" t="s">
        <v>247</v>
      </c>
    </row>
    <row r="1976" spans="25:33">
      <c r="Y1976" s="47">
        <v>5170</v>
      </c>
      <c r="Z1976" s="52" t="s">
        <v>410</v>
      </c>
      <c r="AA1976" s="52" t="s">
        <v>247</v>
      </c>
      <c r="AB1976" s="52" t="s">
        <v>247</v>
      </c>
      <c r="AC1976" s="52" t="s">
        <v>247</v>
      </c>
      <c r="AD1976" s="52" t="s">
        <v>1</v>
      </c>
      <c r="AE1976" s="52" t="s">
        <v>383</v>
      </c>
      <c r="AF1976" s="155" t="s">
        <v>247</v>
      </c>
      <c r="AG1976" s="155" t="s">
        <v>247</v>
      </c>
    </row>
    <row r="1977" spans="25:33">
      <c r="Y1977" s="47">
        <v>5171</v>
      </c>
      <c r="Z1977" s="52" t="s">
        <v>410</v>
      </c>
      <c r="AA1977" s="52" t="s">
        <v>247</v>
      </c>
      <c r="AB1977" s="52" t="s">
        <v>247</v>
      </c>
      <c r="AC1977" s="52" t="s">
        <v>247</v>
      </c>
      <c r="AD1977" s="52" t="s">
        <v>1</v>
      </c>
      <c r="AE1977" s="52" t="s">
        <v>383</v>
      </c>
      <c r="AF1977" s="155" t="s">
        <v>247</v>
      </c>
      <c r="AG1977" s="155" t="s">
        <v>247</v>
      </c>
    </row>
    <row r="1978" spans="25:33">
      <c r="Y1978" s="47">
        <v>5172</v>
      </c>
      <c r="Z1978" s="52" t="s">
        <v>410</v>
      </c>
      <c r="AA1978" s="52" t="s">
        <v>247</v>
      </c>
      <c r="AB1978" s="52" t="s">
        <v>247</v>
      </c>
      <c r="AC1978" s="52" t="s">
        <v>247</v>
      </c>
      <c r="AD1978" s="52" t="s">
        <v>1</v>
      </c>
      <c r="AE1978" s="52" t="s">
        <v>383</v>
      </c>
      <c r="AF1978" s="155" t="s">
        <v>247</v>
      </c>
      <c r="AG1978" s="155" t="s">
        <v>247</v>
      </c>
    </row>
    <row r="1979" spans="25:33">
      <c r="Y1979" s="47">
        <v>5173</v>
      </c>
      <c r="Z1979" s="52" t="s">
        <v>410</v>
      </c>
      <c r="AA1979" s="52" t="s">
        <v>247</v>
      </c>
      <c r="AB1979" s="52" t="s">
        <v>247</v>
      </c>
      <c r="AC1979" s="52" t="s">
        <v>247</v>
      </c>
      <c r="AD1979" s="52" t="s">
        <v>1</v>
      </c>
      <c r="AE1979" s="52" t="s">
        <v>383</v>
      </c>
      <c r="AF1979" s="155" t="s">
        <v>247</v>
      </c>
      <c r="AG1979" s="155" t="s">
        <v>247</v>
      </c>
    </row>
    <row r="1980" spans="25:33">
      <c r="Y1980" s="47">
        <v>5174</v>
      </c>
      <c r="Z1980" s="52" t="s">
        <v>410</v>
      </c>
      <c r="AA1980" s="52" t="s">
        <v>247</v>
      </c>
      <c r="AB1980" s="52" t="s">
        <v>247</v>
      </c>
      <c r="AC1980" s="52" t="s">
        <v>247</v>
      </c>
      <c r="AD1980" s="52" t="s">
        <v>1</v>
      </c>
      <c r="AE1980" s="52" t="s">
        <v>383</v>
      </c>
      <c r="AF1980" s="155" t="s">
        <v>247</v>
      </c>
      <c r="AG1980" s="155" t="s">
        <v>247</v>
      </c>
    </row>
    <row r="1981" spans="25:33">
      <c r="Y1981" s="47">
        <v>5175</v>
      </c>
      <c r="Z1981" s="52" t="s">
        <v>410</v>
      </c>
      <c r="AA1981" s="52" t="s">
        <v>247</v>
      </c>
      <c r="AB1981" s="52" t="s">
        <v>247</v>
      </c>
      <c r="AC1981" s="52" t="s">
        <v>247</v>
      </c>
      <c r="AD1981" s="52" t="s">
        <v>1</v>
      </c>
      <c r="AE1981" s="52" t="s">
        <v>383</v>
      </c>
      <c r="AF1981" s="155" t="s">
        <v>247</v>
      </c>
      <c r="AG1981" s="155" t="s">
        <v>247</v>
      </c>
    </row>
    <row r="1982" spans="25:33">
      <c r="Y1982" s="47">
        <v>5176</v>
      </c>
      <c r="Z1982" s="52" t="s">
        <v>410</v>
      </c>
      <c r="AA1982" s="52" t="s">
        <v>247</v>
      </c>
      <c r="AB1982" s="52" t="s">
        <v>247</v>
      </c>
      <c r="AC1982" s="52" t="s">
        <v>247</v>
      </c>
      <c r="AD1982" s="52" t="s">
        <v>1</v>
      </c>
      <c r="AE1982" s="52" t="s">
        <v>383</v>
      </c>
      <c r="AF1982" s="155" t="s">
        <v>247</v>
      </c>
      <c r="AG1982" s="155" t="s">
        <v>247</v>
      </c>
    </row>
    <row r="1983" spans="25:33">
      <c r="Y1983" s="47">
        <v>5177</v>
      </c>
      <c r="Z1983" s="52" t="s">
        <v>410</v>
      </c>
      <c r="AA1983" s="52" t="s">
        <v>247</v>
      </c>
      <c r="AB1983" s="52" t="s">
        <v>247</v>
      </c>
      <c r="AC1983" s="52" t="s">
        <v>247</v>
      </c>
      <c r="AD1983" s="52" t="s">
        <v>1</v>
      </c>
      <c r="AE1983" s="52" t="s">
        <v>383</v>
      </c>
      <c r="AF1983" s="155" t="s">
        <v>247</v>
      </c>
      <c r="AG1983" s="155" t="s">
        <v>247</v>
      </c>
    </row>
    <row r="1984" spans="25:33">
      <c r="Y1984" s="47">
        <v>5178</v>
      </c>
      <c r="Z1984" s="52" t="s">
        <v>410</v>
      </c>
      <c r="AA1984" s="52" t="s">
        <v>247</v>
      </c>
      <c r="AB1984" s="52" t="s">
        <v>247</v>
      </c>
      <c r="AC1984" s="52" t="s">
        <v>247</v>
      </c>
      <c r="AD1984" s="52" t="s">
        <v>1</v>
      </c>
      <c r="AE1984" s="52" t="s">
        <v>383</v>
      </c>
      <c r="AF1984" s="155" t="s">
        <v>247</v>
      </c>
      <c r="AG1984" s="155" t="s">
        <v>247</v>
      </c>
    </row>
    <row r="1985" spans="25:33">
      <c r="Y1985" s="47">
        <v>5179</v>
      </c>
      <c r="Z1985" s="52" t="s">
        <v>410</v>
      </c>
      <c r="AA1985" s="52" t="s">
        <v>247</v>
      </c>
      <c r="AB1985" s="52" t="s">
        <v>247</v>
      </c>
      <c r="AC1985" s="52" t="s">
        <v>247</v>
      </c>
      <c r="AD1985" s="52" t="s">
        <v>1</v>
      </c>
      <c r="AE1985" s="52" t="s">
        <v>383</v>
      </c>
      <c r="AF1985" s="155" t="s">
        <v>247</v>
      </c>
      <c r="AG1985" s="155" t="s">
        <v>247</v>
      </c>
    </row>
    <row r="1986" spans="25:33">
      <c r="Y1986" s="47">
        <v>5180</v>
      </c>
      <c r="Z1986" s="52" t="s">
        <v>410</v>
      </c>
      <c r="AA1986" s="52" t="s">
        <v>247</v>
      </c>
      <c r="AB1986" s="52" t="s">
        <v>247</v>
      </c>
      <c r="AC1986" s="52" t="s">
        <v>247</v>
      </c>
      <c r="AD1986" s="52" t="s">
        <v>1</v>
      </c>
      <c r="AE1986" s="52" t="s">
        <v>383</v>
      </c>
      <c r="AF1986" s="155" t="s">
        <v>247</v>
      </c>
      <c r="AG1986" s="155" t="s">
        <v>247</v>
      </c>
    </row>
    <row r="1987" spans="25:33">
      <c r="Y1987" s="47">
        <v>5181</v>
      </c>
      <c r="Z1987" s="52" t="s">
        <v>410</v>
      </c>
      <c r="AA1987" s="52" t="s">
        <v>247</v>
      </c>
      <c r="AB1987" s="52" t="s">
        <v>247</v>
      </c>
      <c r="AC1987" s="52" t="s">
        <v>247</v>
      </c>
      <c r="AD1987" s="52" t="s">
        <v>1</v>
      </c>
      <c r="AE1987" s="52" t="s">
        <v>383</v>
      </c>
      <c r="AF1987" s="155" t="s">
        <v>247</v>
      </c>
      <c r="AG1987" s="155" t="s">
        <v>247</v>
      </c>
    </row>
    <row r="1988" spans="25:33">
      <c r="Y1988" s="47">
        <v>5182</v>
      </c>
      <c r="Z1988" s="52" t="s">
        <v>410</v>
      </c>
      <c r="AA1988" s="52" t="s">
        <v>247</v>
      </c>
      <c r="AB1988" s="52" t="s">
        <v>247</v>
      </c>
      <c r="AC1988" s="52" t="s">
        <v>247</v>
      </c>
      <c r="AD1988" s="52" t="s">
        <v>1</v>
      </c>
      <c r="AE1988" s="52" t="s">
        <v>383</v>
      </c>
      <c r="AF1988" s="155" t="s">
        <v>247</v>
      </c>
      <c r="AG1988" s="155" t="s">
        <v>247</v>
      </c>
    </row>
    <row r="1989" spans="25:33">
      <c r="Y1989" s="47">
        <v>5183</v>
      </c>
      <c r="Z1989" s="52" t="s">
        <v>410</v>
      </c>
      <c r="AA1989" s="52" t="s">
        <v>247</v>
      </c>
      <c r="AB1989" s="52" t="s">
        <v>247</v>
      </c>
      <c r="AC1989" s="52" t="s">
        <v>247</v>
      </c>
      <c r="AD1989" s="52" t="s">
        <v>1</v>
      </c>
      <c r="AE1989" s="52" t="s">
        <v>383</v>
      </c>
      <c r="AF1989" s="155" t="s">
        <v>247</v>
      </c>
      <c r="AG1989" s="155" t="s">
        <v>247</v>
      </c>
    </row>
    <row r="1990" spans="25:33">
      <c r="Y1990" s="47">
        <v>5184</v>
      </c>
      <c r="Z1990" s="52" t="s">
        <v>410</v>
      </c>
      <c r="AA1990" s="52" t="s">
        <v>247</v>
      </c>
      <c r="AB1990" s="52" t="s">
        <v>247</v>
      </c>
      <c r="AC1990" s="52" t="s">
        <v>247</v>
      </c>
      <c r="AD1990" s="52" t="s">
        <v>1</v>
      </c>
      <c r="AE1990" s="52" t="s">
        <v>383</v>
      </c>
      <c r="AF1990" s="155" t="s">
        <v>247</v>
      </c>
      <c r="AG1990" s="155" t="s">
        <v>247</v>
      </c>
    </row>
    <row r="1991" spans="25:33">
      <c r="Y1991" s="47">
        <v>5185</v>
      </c>
      <c r="Z1991" s="52" t="s">
        <v>410</v>
      </c>
      <c r="AA1991" s="52" t="s">
        <v>247</v>
      </c>
      <c r="AB1991" s="52" t="s">
        <v>247</v>
      </c>
      <c r="AC1991" s="52" t="s">
        <v>247</v>
      </c>
      <c r="AD1991" s="52" t="s">
        <v>1</v>
      </c>
      <c r="AE1991" s="52" t="s">
        <v>383</v>
      </c>
      <c r="AF1991" s="155" t="s">
        <v>247</v>
      </c>
      <c r="AG1991" s="155" t="s">
        <v>247</v>
      </c>
    </row>
    <row r="1992" spans="25:33">
      <c r="Y1992" s="47">
        <v>5186</v>
      </c>
      <c r="Z1992" s="52" t="s">
        <v>410</v>
      </c>
      <c r="AA1992" s="52" t="s">
        <v>247</v>
      </c>
      <c r="AB1992" s="52" t="s">
        <v>247</v>
      </c>
      <c r="AC1992" s="52" t="s">
        <v>247</v>
      </c>
      <c r="AD1992" s="52" t="s">
        <v>1</v>
      </c>
      <c r="AE1992" s="52" t="s">
        <v>383</v>
      </c>
      <c r="AF1992" s="155" t="s">
        <v>247</v>
      </c>
      <c r="AG1992" s="155" t="s">
        <v>247</v>
      </c>
    </row>
    <row r="1993" spans="25:33">
      <c r="Y1993" s="47">
        <v>5187</v>
      </c>
      <c r="Z1993" s="52" t="s">
        <v>410</v>
      </c>
      <c r="AA1993" s="52" t="s">
        <v>247</v>
      </c>
      <c r="AB1993" s="52" t="s">
        <v>247</v>
      </c>
      <c r="AC1993" s="52" t="s">
        <v>247</v>
      </c>
      <c r="AD1993" s="52" t="s">
        <v>1</v>
      </c>
      <c r="AE1993" s="52" t="s">
        <v>383</v>
      </c>
      <c r="AF1993" s="155" t="s">
        <v>247</v>
      </c>
      <c r="AG1993" s="155" t="s">
        <v>247</v>
      </c>
    </row>
    <row r="1994" spans="25:33">
      <c r="Y1994" s="47">
        <v>5188</v>
      </c>
      <c r="Z1994" s="52" t="s">
        <v>410</v>
      </c>
      <c r="AA1994" s="52" t="s">
        <v>247</v>
      </c>
      <c r="AB1994" s="52" t="s">
        <v>247</v>
      </c>
      <c r="AC1994" s="52" t="s">
        <v>247</v>
      </c>
      <c r="AD1994" s="52" t="s">
        <v>1</v>
      </c>
      <c r="AE1994" s="52" t="s">
        <v>383</v>
      </c>
      <c r="AF1994" s="155" t="s">
        <v>247</v>
      </c>
      <c r="AG1994" s="155" t="s">
        <v>247</v>
      </c>
    </row>
    <row r="1995" spans="25:33">
      <c r="Y1995" s="47">
        <v>5189</v>
      </c>
      <c r="Z1995" s="52" t="s">
        <v>410</v>
      </c>
      <c r="AA1995" s="52" t="s">
        <v>247</v>
      </c>
      <c r="AB1995" s="52" t="s">
        <v>247</v>
      </c>
      <c r="AC1995" s="52" t="s">
        <v>247</v>
      </c>
      <c r="AD1995" s="52" t="s">
        <v>1</v>
      </c>
      <c r="AE1995" s="52" t="s">
        <v>383</v>
      </c>
      <c r="AF1995" s="155" t="s">
        <v>247</v>
      </c>
      <c r="AG1995" s="155" t="s">
        <v>247</v>
      </c>
    </row>
    <row r="1996" spans="25:33">
      <c r="Y1996" s="47">
        <v>5190</v>
      </c>
      <c r="Z1996" s="52" t="s">
        <v>410</v>
      </c>
      <c r="AA1996" s="52" t="s">
        <v>247</v>
      </c>
      <c r="AB1996" s="52" t="s">
        <v>247</v>
      </c>
      <c r="AC1996" s="52" t="s">
        <v>247</v>
      </c>
      <c r="AD1996" s="52" t="s">
        <v>1</v>
      </c>
      <c r="AE1996" s="52" t="s">
        <v>383</v>
      </c>
      <c r="AF1996" s="155" t="s">
        <v>247</v>
      </c>
      <c r="AG1996" s="155" t="s">
        <v>247</v>
      </c>
    </row>
    <row r="1997" spans="25:33">
      <c r="Y1997" s="47">
        <v>5191</v>
      </c>
      <c r="Z1997" s="52" t="s">
        <v>410</v>
      </c>
      <c r="AA1997" s="52" t="s">
        <v>247</v>
      </c>
      <c r="AB1997" s="52" t="s">
        <v>247</v>
      </c>
      <c r="AC1997" s="52" t="s">
        <v>247</v>
      </c>
      <c r="AD1997" s="52" t="s">
        <v>1</v>
      </c>
      <c r="AE1997" s="52" t="s">
        <v>383</v>
      </c>
      <c r="AF1997" s="155" t="s">
        <v>247</v>
      </c>
      <c r="AG1997" s="155" t="s">
        <v>247</v>
      </c>
    </row>
    <row r="1998" spans="25:33">
      <c r="Y1998" s="47">
        <v>5192</v>
      </c>
      <c r="Z1998" s="52" t="s">
        <v>410</v>
      </c>
      <c r="AA1998" s="52" t="s">
        <v>247</v>
      </c>
      <c r="AB1998" s="52" t="s">
        <v>247</v>
      </c>
      <c r="AC1998" s="52" t="s">
        <v>247</v>
      </c>
      <c r="AD1998" s="52" t="s">
        <v>1</v>
      </c>
      <c r="AE1998" s="52" t="s">
        <v>383</v>
      </c>
      <c r="AF1998" s="155" t="s">
        <v>247</v>
      </c>
      <c r="AG1998" s="155" t="s">
        <v>247</v>
      </c>
    </row>
    <row r="1999" spans="25:33">
      <c r="Y1999" s="47">
        <v>5193</v>
      </c>
      <c r="Z1999" s="52" t="s">
        <v>410</v>
      </c>
      <c r="AA1999" s="52" t="s">
        <v>247</v>
      </c>
      <c r="AB1999" s="52" t="s">
        <v>247</v>
      </c>
      <c r="AC1999" s="52" t="s">
        <v>247</v>
      </c>
      <c r="AD1999" s="52" t="s">
        <v>1</v>
      </c>
      <c r="AE1999" s="52" t="s">
        <v>383</v>
      </c>
      <c r="AF1999" s="155" t="s">
        <v>247</v>
      </c>
      <c r="AG1999" s="155" t="s">
        <v>247</v>
      </c>
    </row>
    <row r="2000" spans="25:33">
      <c r="Y2000" s="47">
        <v>5194</v>
      </c>
      <c r="Z2000" s="52" t="s">
        <v>410</v>
      </c>
      <c r="AA2000" s="52" t="s">
        <v>247</v>
      </c>
      <c r="AB2000" s="52" t="s">
        <v>247</v>
      </c>
      <c r="AC2000" s="52" t="s">
        <v>247</v>
      </c>
      <c r="AD2000" s="52" t="s">
        <v>1</v>
      </c>
      <c r="AE2000" s="52" t="s">
        <v>383</v>
      </c>
      <c r="AF2000" s="155" t="s">
        <v>247</v>
      </c>
      <c r="AG2000" s="155" t="s">
        <v>247</v>
      </c>
    </row>
    <row r="2001" spans="25:33">
      <c r="Y2001" s="47">
        <v>5195</v>
      </c>
      <c r="Z2001" s="52" t="s">
        <v>410</v>
      </c>
      <c r="AA2001" s="52" t="s">
        <v>247</v>
      </c>
      <c r="AB2001" s="52" t="s">
        <v>247</v>
      </c>
      <c r="AC2001" s="52" t="s">
        <v>247</v>
      </c>
      <c r="AD2001" s="52" t="s">
        <v>1</v>
      </c>
      <c r="AE2001" s="52" t="s">
        <v>383</v>
      </c>
      <c r="AF2001" s="155" t="s">
        <v>247</v>
      </c>
      <c r="AG2001" s="155" t="s">
        <v>247</v>
      </c>
    </row>
    <row r="2002" spans="25:33">
      <c r="Y2002" s="47">
        <v>5196</v>
      </c>
      <c r="Z2002" s="52" t="s">
        <v>410</v>
      </c>
      <c r="AA2002" s="52" t="s">
        <v>247</v>
      </c>
      <c r="AB2002" s="52" t="s">
        <v>247</v>
      </c>
      <c r="AC2002" s="52" t="s">
        <v>247</v>
      </c>
      <c r="AD2002" s="52" t="s">
        <v>1</v>
      </c>
      <c r="AE2002" s="52" t="s">
        <v>383</v>
      </c>
      <c r="AF2002" s="155" t="s">
        <v>247</v>
      </c>
      <c r="AG2002" s="155" t="s">
        <v>247</v>
      </c>
    </row>
    <row r="2003" spans="25:33">
      <c r="Y2003" s="47">
        <v>5197</v>
      </c>
      <c r="Z2003" s="52" t="s">
        <v>410</v>
      </c>
      <c r="AA2003" s="52" t="s">
        <v>247</v>
      </c>
      <c r="AB2003" s="52" t="s">
        <v>247</v>
      </c>
      <c r="AC2003" s="52" t="s">
        <v>247</v>
      </c>
      <c r="AD2003" s="52" t="s">
        <v>1</v>
      </c>
      <c r="AE2003" s="52" t="s">
        <v>383</v>
      </c>
      <c r="AF2003" s="155" t="s">
        <v>247</v>
      </c>
      <c r="AG2003" s="155" t="s">
        <v>247</v>
      </c>
    </row>
    <row r="2004" spans="25:33">
      <c r="Y2004" s="47">
        <v>5198</v>
      </c>
      <c r="Z2004" s="52" t="s">
        <v>410</v>
      </c>
      <c r="AA2004" s="52" t="s">
        <v>247</v>
      </c>
      <c r="AB2004" s="52" t="s">
        <v>247</v>
      </c>
      <c r="AC2004" s="52" t="s">
        <v>247</v>
      </c>
      <c r="AD2004" s="52" t="s">
        <v>1</v>
      </c>
      <c r="AE2004" s="52" t="s">
        <v>383</v>
      </c>
      <c r="AF2004" s="155" t="s">
        <v>247</v>
      </c>
      <c r="AG2004" s="155" t="s">
        <v>247</v>
      </c>
    </row>
    <row r="2005" spans="25:33">
      <c r="Y2005" s="47">
        <v>5199</v>
      </c>
      <c r="Z2005" s="52" t="s">
        <v>410</v>
      </c>
      <c r="AA2005" s="52" t="s">
        <v>247</v>
      </c>
      <c r="AB2005" s="52" t="s">
        <v>247</v>
      </c>
      <c r="AC2005" s="52" t="s">
        <v>247</v>
      </c>
      <c r="AD2005" s="52" t="s">
        <v>1</v>
      </c>
      <c r="AE2005" s="52" t="s">
        <v>383</v>
      </c>
      <c r="AF2005" s="155" t="s">
        <v>247</v>
      </c>
      <c r="AG2005" s="155" t="s">
        <v>247</v>
      </c>
    </row>
    <row r="2006" spans="25:33">
      <c r="Y2006" s="47">
        <v>5200</v>
      </c>
      <c r="Z2006" s="52" t="s">
        <v>410</v>
      </c>
      <c r="AA2006" s="52" t="s">
        <v>247</v>
      </c>
      <c r="AB2006" s="52" t="s">
        <v>247</v>
      </c>
      <c r="AC2006" s="52" t="s">
        <v>247</v>
      </c>
      <c r="AD2006" s="52" t="s">
        <v>1</v>
      </c>
      <c r="AE2006" s="52" t="s">
        <v>383</v>
      </c>
      <c r="AF2006" s="155" t="s">
        <v>247</v>
      </c>
      <c r="AG2006" s="155" t="s">
        <v>247</v>
      </c>
    </row>
    <row r="2007" spans="25:33">
      <c r="Y2007" s="47">
        <v>5201</v>
      </c>
      <c r="Z2007" s="52" t="s">
        <v>410</v>
      </c>
      <c r="AA2007" s="52" t="s">
        <v>247</v>
      </c>
      <c r="AB2007" s="52" t="s">
        <v>247</v>
      </c>
      <c r="AC2007" s="52" t="s">
        <v>247</v>
      </c>
      <c r="AD2007" s="52" t="s">
        <v>1</v>
      </c>
      <c r="AE2007" s="52" t="s">
        <v>383</v>
      </c>
      <c r="AF2007" s="155" t="s">
        <v>247</v>
      </c>
      <c r="AG2007" s="155" t="s">
        <v>247</v>
      </c>
    </row>
    <row r="2008" spans="25:33">
      <c r="Y2008" s="47">
        <v>5202</v>
      </c>
      <c r="Z2008" s="52" t="s">
        <v>410</v>
      </c>
      <c r="AA2008" s="52" t="s">
        <v>247</v>
      </c>
      <c r="AB2008" s="52" t="s">
        <v>247</v>
      </c>
      <c r="AC2008" s="52" t="s">
        <v>247</v>
      </c>
      <c r="AD2008" s="52" t="s">
        <v>1</v>
      </c>
      <c r="AE2008" s="52" t="s">
        <v>383</v>
      </c>
      <c r="AF2008" s="155" t="s">
        <v>247</v>
      </c>
      <c r="AG2008" s="155" t="s">
        <v>247</v>
      </c>
    </row>
    <row r="2009" spans="25:33">
      <c r="Y2009" s="47">
        <v>5203</v>
      </c>
      <c r="Z2009" s="52" t="s">
        <v>410</v>
      </c>
      <c r="AA2009" s="52" t="s">
        <v>247</v>
      </c>
      <c r="AB2009" s="52" t="s">
        <v>247</v>
      </c>
      <c r="AC2009" s="52" t="s">
        <v>247</v>
      </c>
      <c r="AD2009" s="52" t="s">
        <v>1</v>
      </c>
      <c r="AE2009" s="52" t="s">
        <v>383</v>
      </c>
      <c r="AF2009" s="155" t="s">
        <v>247</v>
      </c>
      <c r="AG2009" s="155" t="s">
        <v>247</v>
      </c>
    </row>
    <row r="2010" spans="25:33">
      <c r="Y2010" s="47">
        <v>5204</v>
      </c>
      <c r="Z2010" s="52" t="s">
        <v>410</v>
      </c>
      <c r="AA2010" s="52" t="s">
        <v>247</v>
      </c>
      <c r="AB2010" s="52" t="s">
        <v>247</v>
      </c>
      <c r="AC2010" s="52" t="s">
        <v>247</v>
      </c>
      <c r="AD2010" s="52" t="s">
        <v>1</v>
      </c>
      <c r="AE2010" s="52" t="s">
        <v>383</v>
      </c>
      <c r="AF2010" s="155" t="s">
        <v>247</v>
      </c>
      <c r="AG2010" s="155" t="s">
        <v>247</v>
      </c>
    </row>
    <row r="2011" spans="25:33">
      <c r="Y2011" s="47">
        <v>5205</v>
      </c>
      <c r="Z2011" s="52" t="s">
        <v>410</v>
      </c>
      <c r="AA2011" s="52" t="s">
        <v>247</v>
      </c>
      <c r="AB2011" s="52" t="s">
        <v>247</v>
      </c>
      <c r="AC2011" s="52" t="s">
        <v>247</v>
      </c>
      <c r="AD2011" s="52" t="s">
        <v>1</v>
      </c>
      <c r="AE2011" s="52" t="s">
        <v>383</v>
      </c>
      <c r="AF2011" s="155" t="s">
        <v>247</v>
      </c>
      <c r="AG2011" s="155" t="s">
        <v>247</v>
      </c>
    </row>
    <row r="2012" spans="25:33">
      <c r="Y2012" s="47">
        <v>5206</v>
      </c>
      <c r="Z2012" s="52" t="s">
        <v>410</v>
      </c>
      <c r="AA2012" s="52" t="s">
        <v>247</v>
      </c>
      <c r="AB2012" s="52" t="s">
        <v>247</v>
      </c>
      <c r="AC2012" s="52" t="s">
        <v>247</v>
      </c>
      <c r="AD2012" s="52" t="s">
        <v>1</v>
      </c>
      <c r="AE2012" s="52" t="s">
        <v>383</v>
      </c>
      <c r="AF2012" s="155" t="s">
        <v>247</v>
      </c>
      <c r="AG2012" s="155" t="s">
        <v>247</v>
      </c>
    </row>
    <row r="2013" spans="25:33">
      <c r="Y2013" s="47">
        <v>5207</v>
      </c>
      <c r="Z2013" s="52" t="s">
        <v>410</v>
      </c>
      <c r="AA2013" s="52" t="s">
        <v>247</v>
      </c>
      <c r="AB2013" s="52" t="s">
        <v>247</v>
      </c>
      <c r="AC2013" s="52" t="s">
        <v>247</v>
      </c>
      <c r="AD2013" s="52" t="s">
        <v>1</v>
      </c>
      <c r="AE2013" s="52" t="s">
        <v>383</v>
      </c>
      <c r="AF2013" s="155" t="s">
        <v>247</v>
      </c>
      <c r="AG2013" s="155" t="s">
        <v>247</v>
      </c>
    </row>
    <row r="2014" spans="25:33">
      <c r="Y2014" s="47">
        <v>5208</v>
      </c>
      <c r="Z2014" s="52" t="s">
        <v>410</v>
      </c>
      <c r="AA2014" s="52" t="s">
        <v>247</v>
      </c>
      <c r="AB2014" s="52" t="s">
        <v>247</v>
      </c>
      <c r="AC2014" s="52" t="s">
        <v>247</v>
      </c>
      <c r="AD2014" s="52" t="s">
        <v>1</v>
      </c>
      <c r="AE2014" s="52" t="s">
        <v>383</v>
      </c>
      <c r="AF2014" s="155" t="s">
        <v>247</v>
      </c>
      <c r="AG2014" s="155" t="s">
        <v>247</v>
      </c>
    </row>
    <row r="2015" spans="25:33">
      <c r="Y2015" s="47">
        <v>5209</v>
      </c>
      <c r="Z2015" s="52" t="s">
        <v>410</v>
      </c>
      <c r="AA2015" s="52" t="s">
        <v>247</v>
      </c>
      <c r="AB2015" s="52" t="s">
        <v>247</v>
      </c>
      <c r="AC2015" s="52" t="s">
        <v>247</v>
      </c>
      <c r="AD2015" s="52" t="s">
        <v>1</v>
      </c>
      <c r="AE2015" s="52" t="s">
        <v>383</v>
      </c>
      <c r="AF2015" s="155" t="s">
        <v>247</v>
      </c>
      <c r="AG2015" s="155" t="s">
        <v>247</v>
      </c>
    </row>
    <row r="2016" spans="25:33">
      <c r="Y2016" s="47">
        <v>5210</v>
      </c>
      <c r="Z2016" s="52" t="s">
        <v>410</v>
      </c>
      <c r="AA2016" s="52" t="s">
        <v>247</v>
      </c>
      <c r="AB2016" s="52" t="s">
        <v>247</v>
      </c>
      <c r="AC2016" s="52" t="s">
        <v>247</v>
      </c>
      <c r="AD2016" s="52" t="s">
        <v>1</v>
      </c>
      <c r="AE2016" s="52" t="s">
        <v>383</v>
      </c>
      <c r="AF2016" s="155" t="s">
        <v>247</v>
      </c>
      <c r="AG2016" s="155" t="s">
        <v>247</v>
      </c>
    </row>
    <row r="2017" spans="25:33">
      <c r="Y2017" s="47">
        <v>5211</v>
      </c>
      <c r="Z2017" s="52" t="s">
        <v>410</v>
      </c>
      <c r="AA2017" s="52" t="s">
        <v>247</v>
      </c>
      <c r="AB2017" s="52" t="s">
        <v>247</v>
      </c>
      <c r="AC2017" s="52" t="s">
        <v>247</v>
      </c>
      <c r="AD2017" s="52" t="s">
        <v>1</v>
      </c>
      <c r="AE2017" s="52" t="s">
        <v>383</v>
      </c>
      <c r="AF2017" s="155" t="s">
        <v>247</v>
      </c>
      <c r="AG2017" s="155" t="s">
        <v>247</v>
      </c>
    </row>
    <row r="2018" spans="25:33">
      <c r="Y2018" s="47">
        <v>5212</v>
      </c>
      <c r="Z2018" s="52" t="s">
        <v>410</v>
      </c>
      <c r="AA2018" s="52" t="s">
        <v>247</v>
      </c>
      <c r="AB2018" s="52" t="s">
        <v>247</v>
      </c>
      <c r="AC2018" s="52" t="s">
        <v>247</v>
      </c>
      <c r="AD2018" s="52" t="s">
        <v>1</v>
      </c>
      <c r="AE2018" s="52" t="s">
        <v>383</v>
      </c>
      <c r="AF2018" s="155" t="s">
        <v>247</v>
      </c>
      <c r="AG2018" s="155" t="s">
        <v>247</v>
      </c>
    </row>
    <row r="2019" spans="25:33">
      <c r="Y2019" s="47">
        <v>5213</v>
      </c>
      <c r="Z2019" s="52" t="s">
        <v>410</v>
      </c>
      <c r="AA2019" s="52" t="s">
        <v>247</v>
      </c>
      <c r="AB2019" s="52" t="s">
        <v>247</v>
      </c>
      <c r="AC2019" s="52" t="s">
        <v>247</v>
      </c>
      <c r="AD2019" s="52" t="s">
        <v>1</v>
      </c>
      <c r="AE2019" s="52" t="s">
        <v>383</v>
      </c>
      <c r="AF2019" s="155" t="s">
        <v>247</v>
      </c>
      <c r="AG2019" s="155" t="s">
        <v>247</v>
      </c>
    </row>
    <row r="2020" spans="25:33">
      <c r="Y2020" s="47">
        <v>5214</v>
      </c>
      <c r="Z2020" s="52" t="s">
        <v>410</v>
      </c>
      <c r="AA2020" s="52" t="s">
        <v>247</v>
      </c>
      <c r="AB2020" s="52" t="s">
        <v>247</v>
      </c>
      <c r="AC2020" s="52" t="s">
        <v>247</v>
      </c>
      <c r="AD2020" s="52" t="s">
        <v>1</v>
      </c>
      <c r="AE2020" s="52" t="s">
        <v>383</v>
      </c>
      <c r="AF2020" s="155" t="s">
        <v>247</v>
      </c>
      <c r="AG2020" s="155" t="s">
        <v>247</v>
      </c>
    </row>
    <row r="2021" spans="25:33">
      <c r="Y2021" s="47">
        <v>5220</v>
      </c>
      <c r="Z2021" s="52" t="s">
        <v>411</v>
      </c>
      <c r="AA2021" s="52" t="s">
        <v>247</v>
      </c>
      <c r="AB2021" s="52" t="s">
        <v>247</v>
      </c>
      <c r="AC2021" s="52" t="s">
        <v>247</v>
      </c>
      <c r="AD2021" s="52" t="s">
        <v>1</v>
      </c>
      <c r="AE2021" s="52" t="s">
        <v>383</v>
      </c>
      <c r="AF2021" s="155" t="s">
        <v>247</v>
      </c>
      <c r="AG2021" s="155" t="s">
        <v>247</v>
      </c>
    </row>
    <row r="2022" spans="25:33">
      <c r="Y2022" s="47">
        <v>5221</v>
      </c>
      <c r="Z2022" s="52" t="s">
        <v>411</v>
      </c>
      <c r="AA2022" s="52" t="s">
        <v>247</v>
      </c>
      <c r="AB2022" s="52" t="s">
        <v>247</v>
      </c>
      <c r="AC2022" s="52" t="s">
        <v>247</v>
      </c>
      <c r="AD2022" s="52" t="s">
        <v>1</v>
      </c>
      <c r="AE2022" s="52" t="s">
        <v>383</v>
      </c>
      <c r="AF2022" s="155" t="s">
        <v>247</v>
      </c>
      <c r="AG2022" s="155" t="s">
        <v>247</v>
      </c>
    </row>
    <row r="2023" spans="25:33">
      <c r="Y2023" s="47">
        <v>5222</v>
      </c>
      <c r="Z2023" s="52" t="s">
        <v>411</v>
      </c>
      <c r="AA2023" s="52" t="s">
        <v>247</v>
      </c>
      <c r="AB2023" s="52" t="s">
        <v>247</v>
      </c>
      <c r="AC2023" s="52" t="s">
        <v>247</v>
      </c>
      <c r="AD2023" s="52" t="s">
        <v>1</v>
      </c>
      <c r="AE2023" s="52" t="s">
        <v>383</v>
      </c>
      <c r="AF2023" s="155" t="s">
        <v>247</v>
      </c>
      <c r="AG2023" s="155" t="s">
        <v>247</v>
      </c>
    </row>
    <row r="2024" spans="25:33">
      <c r="Y2024" s="47">
        <v>5223</v>
      </c>
      <c r="Z2024" s="52" t="s">
        <v>411</v>
      </c>
      <c r="AA2024" s="52" t="s">
        <v>247</v>
      </c>
      <c r="AB2024" s="52" t="s">
        <v>247</v>
      </c>
      <c r="AC2024" s="52" t="s">
        <v>247</v>
      </c>
      <c r="AD2024" s="52" t="s">
        <v>1</v>
      </c>
      <c r="AE2024" s="52" t="s">
        <v>383</v>
      </c>
      <c r="AF2024" s="155" t="s">
        <v>247</v>
      </c>
      <c r="AG2024" s="155" t="s">
        <v>247</v>
      </c>
    </row>
    <row r="2025" spans="25:33">
      <c r="Y2025" s="47">
        <v>5231</v>
      </c>
      <c r="Z2025" s="52" t="s">
        <v>410</v>
      </c>
      <c r="AA2025" s="52" t="s">
        <v>247</v>
      </c>
      <c r="AB2025" s="52" t="s">
        <v>247</v>
      </c>
      <c r="AC2025" s="52" t="s">
        <v>247</v>
      </c>
      <c r="AD2025" s="52" t="s">
        <v>1</v>
      </c>
      <c r="AE2025" s="52" t="s">
        <v>383</v>
      </c>
      <c r="AF2025" s="155" t="s">
        <v>247</v>
      </c>
      <c r="AG2025" s="155" t="s">
        <v>247</v>
      </c>
    </row>
    <row r="2026" spans="25:33">
      <c r="Y2026" s="47">
        <v>5232</v>
      </c>
      <c r="Z2026" s="52" t="s">
        <v>410</v>
      </c>
      <c r="AA2026" s="52" t="s">
        <v>247</v>
      </c>
      <c r="AB2026" s="52" t="s">
        <v>247</v>
      </c>
      <c r="AC2026" s="52" t="s">
        <v>247</v>
      </c>
      <c r="AD2026" s="52" t="s">
        <v>1</v>
      </c>
      <c r="AE2026" s="52" t="s">
        <v>383</v>
      </c>
      <c r="AF2026" s="155" t="s">
        <v>247</v>
      </c>
      <c r="AG2026" s="155" t="s">
        <v>247</v>
      </c>
    </row>
    <row r="2027" spans="25:33">
      <c r="Y2027" s="47">
        <v>5233</v>
      </c>
      <c r="Z2027" s="52" t="s">
        <v>410</v>
      </c>
      <c r="AA2027" s="52" t="s">
        <v>247</v>
      </c>
      <c r="AB2027" s="52" t="s">
        <v>247</v>
      </c>
      <c r="AC2027" s="52" t="s">
        <v>247</v>
      </c>
      <c r="AD2027" s="52" t="s">
        <v>1</v>
      </c>
      <c r="AE2027" s="52" t="s">
        <v>383</v>
      </c>
      <c r="AF2027" s="155" t="s">
        <v>247</v>
      </c>
      <c r="AG2027" s="155" t="s">
        <v>247</v>
      </c>
    </row>
    <row r="2028" spans="25:33">
      <c r="Y2028" s="47">
        <v>5234</v>
      </c>
      <c r="Z2028" s="52" t="s">
        <v>410</v>
      </c>
      <c r="AA2028" s="52" t="s">
        <v>247</v>
      </c>
      <c r="AB2028" s="52" t="s">
        <v>247</v>
      </c>
      <c r="AC2028" s="52" t="s">
        <v>247</v>
      </c>
      <c r="AD2028" s="52" t="s">
        <v>1</v>
      </c>
      <c r="AE2028" s="52" t="s">
        <v>383</v>
      </c>
      <c r="AF2028" s="155" t="s">
        <v>247</v>
      </c>
      <c r="AG2028" s="155" t="s">
        <v>247</v>
      </c>
    </row>
    <row r="2029" spans="25:33">
      <c r="Y2029" s="47">
        <v>5235</v>
      </c>
      <c r="Z2029" s="52" t="s">
        <v>410</v>
      </c>
      <c r="AA2029" s="52" t="s">
        <v>247</v>
      </c>
      <c r="AB2029" s="52" t="s">
        <v>247</v>
      </c>
      <c r="AC2029" s="52" t="s">
        <v>247</v>
      </c>
      <c r="AD2029" s="52" t="s">
        <v>1</v>
      </c>
      <c r="AE2029" s="52" t="s">
        <v>383</v>
      </c>
      <c r="AF2029" s="155" t="s">
        <v>247</v>
      </c>
      <c r="AG2029" s="155" t="s">
        <v>247</v>
      </c>
    </row>
    <row r="2030" spans="25:33">
      <c r="Y2030" s="47">
        <v>5236</v>
      </c>
      <c r="Z2030" s="52" t="s">
        <v>410</v>
      </c>
      <c r="AA2030" s="52" t="s">
        <v>247</v>
      </c>
      <c r="AB2030" s="52" t="s">
        <v>247</v>
      </c>
      <c r="AC2030" s="52" t="s">
        <v>247</v>
      </c>
      <c r="AD2030" s="52" t="s">
        <v>1</v>
      </c>
      <c r="AE2030" s="52" t="s">
        <v>383</v>
      </c>
      <c r="AF2030" s="155" t="s">
        <v>247</v>
      </c>
      <c r="AG2030" s="155" t="s">
        <v>247</v>
      </c>
    </row>
    <row r="2031" spans="25:33">
      <c r="Y2031" s="47">
        <v>5237</v>
      </c>
      <c r="Z2031" s="52" t="s">
        <v>410</v>
      </c>
      <c r="AA2031" s="52" t="s">
        <v>247</v>
      </c>
      <c r="AB2031" s="52" t="s">
        <v>247</v>
      </c>
      <c r="AC2031" s="52" t="s">
        <v>247</v>
      </c>
      <c r="AD2031" s="52" t="s">
        <v>1</v>
      </c>
      <c r="AE2031" s="52" t="s">
        <v>383</v>
      </c>
      <c r="AF2031" s="155" t="s">
        <v>247</v>
      </c>
      <c r="AG2031" s="155" t="s">
        <v>247</v>
      </c>
    </row>
    <row r="2032" spans="25:33">
      <c r="Y2032" s="47">
        <v>5238</v>
      </c>
      <c r="Z2032" s="52" t="s">
        <v>410</v>
      </c>
      <c r="AA2032" s="52" t="s">
        <v>247</v>
      </c>
      <c r="AB2032" s="52" t="s">
        <v>247</v>
      </c>
      <c r="AC2032" s="52" t="s">
        <v>247</v>
      </c>
      <c r="AD2032" s="52" t="s">
        <v>1</v>
      </c>
      <c r="AE2032" s="52" t="s">
        <v>383</v>
      </c>
      <c r="AF2032" s="155" t="s">
        <v>247</v>
      </c>
      <c r="AG2032" s="155" t="s">
        <v>247</v>
      </c>
    </row>
    <row r="2033" spans="25:33">
      <c r="Y2033" s="47">
        <v>5239</v>
      </c>
      <c r="Z2033" s="52" t="s">
        <v>410</v>
      </c>
      <c r="AA2033" s="52" t="s">
        <v>247</v>
      </c>
      <c r="AB2033" s="52" t="s">
        <v>247</v>
      </c>
      <c r="AC2033" s="52" t="s">
        <v>247</v>
      </c>
      <c r="AD2033" s="52" t="s">
        <v>1</v>
      </c>
      <c r="AE2033" s="52" t="s">
        <v>383</v>
      </c>
      <c r="AF2033" s="155" t="s">
        <v>247</v>
      </c>
      <c r="AG2033" s="155" t="s">
        <v>247</v>
      </c>
    </row>
    <row r="2034" spans="25:33">
      <c r="Y2034" s="47">
        <v>5240</v>
      </c>
      <c r="Z2034" s="52" t="s">
        <v>410</v>
      </c>
      <c r="AA2034" s="52" t="s">
        <v>247</v>
      </c>
      <c r="AB2034" s="52" t="s">
        <v>247</v>
      </c>
      <c r="AC2034" s="52" t="s">
        <v>247</v>
      </c>
      <c r="AD2034" s="52" t="s">
        <v>1</v>
      </c>
      <c r="AE2034" s="52" t="s">
        <v>383</v>
      </c>
      <c r="AF2034" s="155" t="s">
        <v>247</v>
      </c>
      <c r="AG2034" s="155" t="s">
        <v>247</v>
      </c>
    </row>
    <row r="2035" spans="25:33">
      <c r="Y2035" s="47">
        <v>5241</v>
      </c>
      <c r="Z2035" s="52" t="s">
        <v>410</v>
      </c>
      <c r="AA2035" s="52" t="s">
        <v>247</v>
      </c>
      <c r="AB2035" s="52" t="s">
        <v>247</v>
      </c>
      <c r="AC2035" s="52" t="s">
        <v>247</v>
      </c>
      <c r="AD2035" s="52" t="s">
        <v>1</v>
      </c>
      <c r="AE2035" s="52" t="s">
        <v>383</v>
      </c>
      <c r="AF2035" s="155" t="s">
        <v>247</v>
      </c>
      <c r="AG2035" s="155" t="s">
        <v>247</v>
      </c>
    </row>
    <row r="2036" spans="25:33">
      <c r="Y2036" s="47">
        <v>5242</v>
      </c>
      <c r="Z2036" s="52" t="s">
        <v>410</v>
      </c>
      <c r="AA2036" s="52" t="s">
        <v>247</v>
      </c>
      <c r="AB2036" s="52" t="s">
        <v>247</v>
      </c>
      <c r="AC2036" s="52" t="s">
        <v>247</v>
      </c>
      <c r="AD2036" s="52" t="s">
        <v>1</v>
      </c>
      <c r="AE2036" s="52" t="s">
        <v>383</v>
      </c>
      <c r="AF2036" s="155" t="s">
        <v>247</v>
      </c>
      <c r="AG2036" s="155" t="s">
        <v>247</v>
      </c>
    </row>
    <row r="2037" spans="25:33">
      <c r="Y2037" s="47">
        <v>5243</v>
      </c>
      <c r="Z2037" s="52" t="s">
        <v>410</v>
      </c>
      <c r="AA2037" s="52" t="s">
        <v>247</v>
      </c>
      <c r="AB2037" s="52" t="s">
        <v>247</v>
      </c>
      <c r="AC2037" s="52" t="s">
        <v>247</v>
      </c>
      <c r="AD2037" s="52" t="s">
        <v>1</v>
      </c>
      <c r="AE2037" s="52" t="s">
        <v>383</v>
      </c>
      <c r="AF2037" s="155" t="s">
        <v>247</v>
      </c>
      <c r="AG2037" s="155" t="s">
        <v>247</v>
      </c>
    </row>
    <row r="2038" spans="25:33">
      <c r="Y2038" s="47">
        <v>5244</v>
      </c>
      <c r="Z2038" s="52" t="s">
        <v>410</v>
      </c>
      <c r="AA2038" s="52" t="s">
        <v>247</v>
      </c>
      <c r="AB2038" s="52" t="s">
        <v>247</v>
      </c>
      <c r="AC2038" s="52" t="s">
        <v>247</v>
      </c>
      <c r="AD2038" s="52" t="s">
        <v>1</v>
      </c>
      <c r="AE2038" s="52" t="s">
        <v>383</v>
      </c>
      <c r="AF2038" s="155" t="s">
        <v>247</v>
      </c>
      <c r="AG2038" s="155" t="s">
        <v>247</v>
      </c>
    </row>
    <row r="2039" spans="25:33">
      <c r="Y2039" s="47">
        <v>5245</v>
      </c>
      <c r="Z2039" s="52" t="s">
        <v>410</v>
      </c>
      <c r="AA2039" s="52" t="s">
        <v>247</v>
      </c>
      <c r="AB2039" s="52" t="s">
        <v>247</v>
      </c>
      <c r="AC2039" s="52" t="s">
        <v>247</v>
      </c>
      <c r="AD2039" s="52" t="s">
        <v>1</v>
      </c>
      <c r="AE2039" s="52" t="s">
        <v>383</v>
      </c>
      <c r="AF2039" s="155" t="s">
        <v>247</v>
      </c>
      <c r="AG2039" s="155" t="s">
        <v>247</v>
      </c>
    </row>
    <row r="2040" spans="25:33">
      <c r="Y2040" s="47">
        <v>5246</v>
      </c>
      <c r="Z2040" s="52" t="s">
        <v>410</v>
      </c>
      <c r="AA2040" s="52" t="s">
        <v>247</v>
      </c>
      <c r="AB2040" s="52" t="s">
        <v>247</v>
      </c>
      <c r="AC2040" s="52" t="s">
        <v>247</v>
      </c>
      <c r="AD2040" s="52" t="s">
        <v>1</v>
      </c>
      <c r="AE2040" s="52" t="s">
        <v>383</v>
      </c>
      <c r="AF2040" s="155" t="s">
        <v>247</v>
      </c>
      <c r="AG2040" s="155" t="s">
        <v>247</v>
      </c>
    </row>
    <row r="2041" spans="25:33">
      <c r="Y2041" s="47">
        <v>5247</v>
      </c>
      <c r="Z2041" s="52" t="s">
        <v>410</v>
      </c>
      <c r="AA2041" s="52" t="s">
        <v>247</v>
      </c>
      <c r="AB2041" s="52" t="s">
        <v>247</v>
      </c>
      <c r="AC2041" s="52" t="s">
        <v>247</v>
      </c>
      <c r="AD2041" s="52" t="s">
        <v>1</v>
      </c>
      <c r="AE2041" s="52" t="s">
        <v>383</v>
      </c>
      <c r="AF2041" s="155" t="s">
        <v>247</v>
      </c>
      <c r="AG2041" s="155" t="s">
        <v>247</v>
      </c>
    </row>
    <row r="2042" spans="25:33">
      <c r="Y2042" s="47">
        <v>5248</v>
      </c>
      <c r="Z2042" s="52" t="s">
        <v>410</v>
      </c>
      <c r="AA2042" s="52" t="s">
        <v>247</v>
      </c>
      <c r="AB2042" s="52" t="s">
        <v>247</v>
      </c>
      <c r="AC2042" s="52" t="s">
        <v>247</v>
      </c>
      <c r="AD2042" s="52" t="s">
        <v>1</v>
      </c>
      <c r="AE2042" s="52" t="s">
        <v>383</v>
      </c>
      <c r="AF2042" s="155" t="s">
        <v>247</v>
      </c>
      <c r="AG2042" s="155" t="s">
        <v>247</v>
      </c>
    </row>
    <row r="2043" spans="25:33">
      <c r="Y2043" s="47">
        <v>5249</v>
      </c>
      <c r="Z2043" s="52" t="s">
        <v>410</v>
      </c>
      <c r="AA2043" s="52" t="s">
        <v>247</v>
      </c>
      <c r="AB2043" s="52" t="s">
        <v>247</v>
      </c>
      <c r="AC2043" s="52" t="s">
        <v>247</v>
      </c>
      <c r="AD2043" s="52" t="s">
        <v>1</v>
      </c>
      <c r="AE2043" s="52" t="s">
        <v>383</v>
      </c>
      <c r="AF2043" s="155" t="s">
        <v>247</v>
      </c>
      <c r="AG2043" s="155" t="s">
        <v>247</v>
      </c>
    </row>
    <row r="2044" spans="25:33">
      <c r="Y2044" s="47">
        <v>5250</v>
      </c>
      <c r="Z2044" s="52" t="s">
        <v>410</v>
      </c>
      <c r="AA2044" s="52" t="s">
        <v>247</v>
      </c>
      <c r="AB2044" s="52" t="s">
        <v>247</v>
      </c>
      <c r="AC2044" s="52" t="s">
        <v>247</v>
      </c>
      <c r="AD2044" s="52" t="s">
        <v>1</v>
      </c>
      <c r="AE2044" s="52" t="s">
        <v>383</v>
      </c>
      <c r="AF2044" s="155" t="s">
        <v>247</v>
      </c>
      <c r="AG2044" s="155" t="s">
        <v>247</v>
      </c>
    </row>
    <row r="2045" spans="25:33">
      <c r="Y2045" s="47">
        <v>5251</v>
      </c>
      <c r="Z2045" s="52" t="s">
        <v>410</v>
      </c>
      <c r="AA2045" s="52" t="s">
        <v>247</v>
      </c>
      <c r="AB2045" s="52" t="s">
        <v>247</v>
      </c>
      <c r="AC2045" s="52" t="s">
        <v>247</v>
      </c>
      <c r="AD2045" s="52" t="s">
        <v>1</v>
      </c>
      <c r="AE2045" s="52" t="s">
        <v>383</v>
      </c>
      <c r="AF2045" s="155" t="s">
        <v>247</v>
      </c>
      <c r="AG2045" s="155" t="s">
        <v>247</v>
      </c>
    </row>
    <row r="2046" spans="25:33">
      <c r="Y2046" s="47">
        <v>5252</v>
      </c>
      <c r="Z2046" s="52" t="s">
        <v>410</v>
      </c>
      <c r="AA2046" s="52" t="s">
        <v>247</v>
      </c>
      <c r="AB2046" s="52" t="s">
        <v>247</v>
      </c>
      <c r="AC2046" s="52" t="s">
        <v>247</v>
      </c>
      <c r="AD2046" s="52" t="s">
        <v>1</v>
      </c>
      <c r="AE2046" s="52" t="s">
        <v>383</v>
      </c>
      <c r="AF2046" s="155" t="s">
        <v>247</v>
      </c>
      <c r="AG2046" s="155" t="s">
        <v>247</v>
      </c>
    </row>
    <row r="2047" spans="25:33">
      <c r="Y2047" s="47">
        <v>5253</v>
      </c>
      <c r="Z2047" s="52" t="s">
        <v>410</v>
      </c>
      <c r="AA2047" s="52" t="s">
        <v>247</v>
      </c>
      <c r="AB2047" s="52" t="s">
        <v>247</v>
      </c>
      <c r="AC2047" s="52" t="s">
        <v>247</v>
      </c>
      <c r="AD2047" s="52" t="s">
        <v>1</v>
      </c>
      <c r="AE2047" s="52" t="s">
        <v>383</v>
      </c>
      <c r="AF2047" s="155" t="s">
        <v>247</v>
      </c>
      <c r="AG2047" s="155" t="s">
        <v>247</v>
      </c>
    </row>
    <row r="2048" spans="25:33">
      <c r="Y2048" s="47">
        <v>5254</v>
      </c>
      <c r="Z2048" s="52" t="s">
        <v>410</v>
      </c>
      <c r="AA2048" s="52" t="s">
        <v>247</v>
      </c>
      <c r="AB2048" s="52" t="s">
        <v>247</v>
      </c>
      <c r="AC2048" s="52" t="s">
        <v>247</v>
      </c>
      <c r="AD2048" s="52" t="s">
        <v>1</v>
      </c>
      <c r="AE2048" s="52" t="s">
        <v>383</v>
      </c>
      <c r="AF2048" s="155" t="s">
        <v>247</v>
      </c>
      <c r="AG2048" s="155" t="s">
        <v>247</v>
      </c>
    </row>
    <row r="2049" spans="25:33">
      <c r="Y2049" s="47">
        <v>5255</v>
      </c>
      <c r="Z2049" s="52" t="s">
        <v>410</v>
      </c>
      <c r="AA2049" s="52" t="s">
        <v>247</v>
      </c>
      <c r="AB2049" s="52" t="s">
        <v>247</v>
      </c>
      <c r="AC2049" s="52" t="s">
        <v>247</v>
      </c>
      <c r="AD2049" s="52" t="s">
        <v>1</v>
      </c>
      <c r="AE2049" s="52" t="s">
        <v>383</v>
      </c>
      <c r="AF2049" s="155" t="s">
        <v>247</v>
      </c>
      <c r="AG2049" s="155" t="s">
        <v>247</v>
      </c>
    </row>
    <row r="2050" spans="25:33">
      <c r="Y2050" s="47">
        <v>5256</v>
      </c>
      <c r="Z2050" s="52" t="s">
        <v>410</v>
      </c>
      <c r="AA2050" s="52" t="s">
        <v>247</v>
      </c>
      <c r="AB2050" s="52" t="s">
        <v>247</v>
      </c>
      <c r="AC2050" s="52" t="s">
        <v>247</v>
      </c>
      <c r="AD2050" s="52" t="s">
        <v>1</v>
      </c>
      <c r="AE2050" s="52" t="s">
        <v>383</v>
      </c>
      <c r="AF2050" s="155" t="s">
        <v>247</v>
      </c>
      <c r="AG2050" s="155" t="s">
        <v>247</v>
      </c>
    </row>
    <row r="2051" spans="25:33">
      <c r="Y2051" s="47">
        <v>5257</v>
      </c>
      <c r="Z2051" s="52" t="s">
        <v>410</v>
      </c>
      <c r="AA2051" s="52" t="s">
        <v>247</v>
      </c>
      <c r="AB2051" s="52" t="s">
        <v>247</v>
      </c>
      <c r="AC2051" s="52" t="s">
        <v>247</v>
      </c>
      <c r="AD2051" s="52" t="s">
        <v>1</v>
      </c>
      <c r="AE2051" s="52" t="s">
        <v>383</v>
      </c>
      <c r="AF2051" s="155" t="s">
        <v>247</v>
      </c>
      <c r="AG2051" s="155" t="s">
        <v>247</v>
      </c>
    </row>
    <row r="2052" spans="25:33">
      <c r="Y2052" s="47">
        <v>5258</v>
      </c>
      <c r="Z2052" s="52" t="s">
        <v>410</v>
      </c>
      <c r="AA2052" s="52" t="s">
        <v>247</v>
      </c>
      <c r="AB2052" s="52" t="s">
        <v>247</v>
      </c>
      <c r="AC2052" s="52" t="s">
        <v>247</v>
      </c>
      <c r="AD2052" s="52" t="s">
        <v>1</v>
      </c>
      <c r="AE2052" s="52" t="s">
        <v>383</v>
      </c>
      <c r="AF2052" s="155" t="s">
        <v>247</v>
      </c>
      <c r="AG2052" s="155" t="s">
        <v>247</v>
      </c>
    </row>
    <row r="2053" spans="25:33">
      <c r="Y2053" s="47">
        <v>5259</v>
      </c>
      <c r="Z2053" s="52" t="s">
        <v>410</v>
      </c>
      <c r="AA2053" s="52" t="s">
        <v>247</v>
      </c>
      <c r="AB2053" s="52" t="s">
        <v>247</v>
      </c>
      <c r="AC2053" s="52" t="s">
        <v>247</v>
      </c>
      <c r="AD2053" s="52" t="s">
        <v>1</v>
      </c>
      <c r="AE2053" s="52" t="s">
        <v>383</v>
      </c>
      <c r="AF2053" s="155" t="s">
        <v>247</v>
      </c>
      <c r="AG2053" s="155" t="s">
        <v>247</v>
      </c>
    </row>
    <row r="2054" spans="25:33">
      <c r="Y2054" s="47">
        <v>5260</v>
      </c>
      <c r="Z2054" s="52" t="s">
        <v>410</v>
      </c>
      <c r="AA2054" s="52" t="s">
        <v>247</v>
      </c>
      <c r="AB2054" s="52" t="s">
        <v>247</v>
      </c>
      <c r="AC2054" s="52" t="s">
        <v>247</v>
      </c>
      <c r="AD2054" s="52" t="s">
        <v>1</v>
      </c>
      <c r="AE2054" s="52" t="s">
        <v>383</v>
      </c>
      <c r="AF2054" s="155" t="s">
        <v>247</v>
      </c>
      <c r="AG2054" s="155" t="s">
        <v>247</v>
      </c>
    </row>
    <row r="2055" spans="25:33">
      <c r="Y2055" s="47">
        <v>5261</v>
      </c>
      <c r="Z2055" s="52" t="s">
        <v>410</v>
      </c>
      <c r="AA2055" s="52" t="s">
        <v>247</v>
      </c>
      <c r="AB2055" s="52" t="s">
        <v>247</v>
      </c>
      <c r="AC2055" s="52" t="s">
        <v>247</v>
      </c>
      <c r="AD2055" s="52" t="s">
        <v>1</v>
      </c>
      <c r="AE2055" s="52" t="s">
        <v>383</v>
      </c>
      <c r="AF2055" s="155" t="s">
        <v>247</v>
      </c>
      <c r="AG2055" s="155" t="s">
        <v>247</v>
      </c>
    </row>
    <row r="2056" spans="25:33">
      <c r="Y2056" s="47">
        <v>5262</v>
      </c>
      <c r="Z2056" s="52" t="s">
        <v>411</v>
      </c>
      <c r="AA2056" s="52" t="s">
        <v>247</v>
      </c>
      <c r="AB2056" s="52" t="s">
        <v>247</v>
      </c>
      <c r="AC2056" s="52" t="s">
        <v>247</v>
      </c>
      <c r="AD2056" s="52" t="s">
        <v>1</v>
      </c>
      <c r="AE2056" s="52" t="s">
        <v>383</v>
      </c>
      <c r="AF2056" s="155" t="s">
        <v>247</v>
      </c>
      <c r="AG2056" s="155" t="s">
        <v>247</v>
      </c>
    </row>
    <row r="2057" spans="25:33">
      <c r="Y2057" s="47">
        <v>5263</v>
      </c>
      <c r="Z2057" s="52" t="s">
        <v>411</v>
      </c>
      <c r="AA2057" s="52" t="s">
        <v>247</v>
      </c>
      <c r="AB2057" s="52" t="s">
        <v>247</v>
      </c>
      <c r="AC2057" s="52" t="s">
        <v>247</v>
      </c>
      <c r="AD2057" s="52" t="s">
        <v>1</v>
      </c>
      <c r="AE2057" s="52" t="s">
        <v>383</v>
      </c>
      <c r="AF2057" s="155" t="s">
        <v>247</v>
      </c>
      <c r="AG2057" s="155" t="s">
        <v>247</v>
      </c>
    </row>
    <row r="2058" spans="25:33">
      <c r="Y2058" s="47">
        <v>5264</v>
      </c>
      <c r="Z2058" s="52" t="s">
        <v>410</v>
      </c>
      <c r="AA2058" s="52" t="s">
        <v>247</v>
      </c>
      <c r="AB2058" s="52" t="s">
        <v>247</v>
      </c>
      <c r="AC2058" s="52" t="s">
        <v>247</v>
      </c>
      <c r="AD2058" s="52" t="s">
        <v>1</v>
      </c>
      <c r="AE2058" s="52" t="s">
        <v>383</v>
      </c>
      <c r="AF2058" s="155" t="s">
        <v>247</v>
      </c>
      <c r="AG2058" s="155" t="s">
        <v>247</v>
      </c>
    </row>
    <row r="2059" spans="25:33">
      <c r="Y2059" s="47">
        <v>5265</v>
      </c>
      <c r="Z2059" s="52" t="s">
        <v>410</v>
      </c>
      <c r="AA2059" s="52" t="s">
        <v>247</v>
      </c>
      <c r="AB2059" s="52" t="s">
        <v>247</v>
      </c>
      <c r="AC2059" s="52" t="s">
        <v>247</v>
      </c>
      <c r="AD2059" s="52" t="s">
        <v>1</v>
      </c>
      <c r="AE2059" s="52" t="s">
        <v>383</v>
      </c>
      <c r="AF2059" s="155" t="s">
        <v>247</v>
      </c>
      <c r="AG2059" s="155" t="s">
        <v>247</v>
      </c>
    </row>
    <row r="2060" spans="25:33">
      <c r="Y2060" s="47">
        <v>5266</v>
      </c>
      <c r="Z2060" s="52" t="s">
        <v>410</v>
      </c>
      <c r="AA2060" s="52" t="s">
        <v>247</v>
      </c>
      <c r="AB2060" s="52" t="s">
        <v>247</v>
      </c>
      <c r="AC2060" s="52" t="s">
        <v>247</v>
      </c>
      <c r="AD2060" s="52" t="s">
        <v>1</v>
      </c>
      <c r="AE2060" s="52" t="s">
        <v>383</v>
      </c>
      <c r="AF2060" s="155" t="s">
        <v>247</v>
      </c>
      <c r="AG2060" s="155" t="s">
        <v>247</v>
      </c>
    </row>
    <row r="2061" spans="25:33">
      <c r="Y2061" s="47">
        <v>5267</v>
      </c>
      <c r="Z2061" s="52" t="s">
        <v>410</v>
      </c>
      <c r="AA2061" s="52" t="s">
        <v>247</v>
      </c>
      <c r="AB2061" s="52" t="s">
        <v>247</v>
      </c>
      <c r="AC2061" s="52" t="s">
        <v>247</v>
      </c>
      <c r="AD2061" s="52" t="s">
        <v>1</v>
      </c>
      <c r="AE2061" s="52" t="s">
        <v>383</v>
      </c>
      <c r="AF2061" s="155" t="s">
        <v>247</v>
      </c>
      <c r="AG2061" s="155" t="s">
        <v>247</v>
      </c>
    </row>
    <row r="2062" spans="25:33">
      <c r="Y2062" s="47">
        <v>5268</v>
      </c>
      <c r="Z2062" s="52" t="s">
        <v>410</v>
      </c>
      <c r="AA2062" s="52" t="s">
        <v>247</v>
      </c>
      <c r="AB2062" s="52" t="s">
        <v>247</v>
      </c>
      <c r="AC2062" s="52" t="s">
        <v>247</v>
      </c>
      <c r="AD2062" s="52" t="s">
        <v>1</v>
      </c>
      <c r="AE2062" s="52" t="s">
        <v>383</v>
      </c>
      <c r="AF2062" s="155" t="s">
        <v>247</v>
      </c>
      <c r="AG2062" s="155" t="s">
        <v>247</v>
      </c>
    </row>
    <row r="2063" spans="25:33">
      <c r="Y2063" s="47">
        <v>5269</v>
      </c>
      <c r="Z2063" s="52" t="s">
        <v>410</v>
      </c>
      <c r="AA2063" s="52" t="s">
        <v>247</v>
      </c>
      <c r="AB2063" s="52" t="s">
        <v>247</v>
      </c>
      <c r="AC2063" s="52" t="s">
        <v>247</v>
      </c>
      <c r="AD2063" s="52" t="s">
        <v>1</v>
      </c>
      <c r="AE2063" s="52" t="s">
        <v>383</v>
      </c>
      <c r="AF2063" s="155" t="s">
        <v>247</v>
      </c>
      <c r="AG2063" s="155" t="s">
        <v>247</v>
      </c>
    </row>
    <row r="2064" spans="25:33">
      <c r="Y2064" s="47">
        <v>5270</v>
      </c>
      <c r="Z2064" s="52" t="s">
        <v>410</v>
      </c>
      <c r="AA2064" s="52" t="s">
        <v>247</v>
      </c>
      <c r="AB2064" s="52" t="s">
        <v>247</v>
      </c>
      <c r="AC2064" s="52" t="s">
        <v>247</v>
      </c>
      <c r="AD2064" s="52" t="s">
        <v>1</v>
      </c>
      <c r="AE2064" s="52" t="s">
        <v>383</v>
      </c>
      <c r="AF2064" s="155" t="s">
        <v>247</v>
      </c>
      <c r="AG2064" s="155" t="s">
        <v>247</v>
      </c>
    </row>
    <row r="2065" spans="25:33">
      <c r="Y2065" s="47">
        <v>5271</v>
      </c>
      <c r="Z2065" s="52" t="s">
        <v>411</v>
      </c>
      <c r="AA2065" s="52" t="s">
        <v>247</v>
      </c>
      <c r="AB2065" s="52" t="s">
        <v>247</v>
      </c>
      <c r="AC2065" s="52" t="s">
        <v>247</v>
      </c>
      <c r="AD2065" s="52" t="s">
        <v>1</v>
      </c>
      <c r="AE2065" s="52" t="s">
        <v>383</v>
      </c>
      <c r="AF2065" s="155" t="s">
        <v>247</v>
      </c>
      <c r="AG2065" s="155" t="s">
        <v>247</v>
      </c>
    </row>
    <row r="2066" spans="25:33">
      <c r="Y2066" s="47">
        <v>5272</v>
      </c>
      <c r="Z2066" s="52" t="s">
        <v>411</v>
      </c>
      <c r="AA2066" s="52" t="s">
        <v>247</v>
      </c>
      <c r="AB2066" s="52" t="s">
        <v>247</v>
      </c>
      <c r="AC2066" s="52" t="s">
        <v>247</v>
      </c>
      <c r="AD2066" s="52" t="s">
        <v>1</v>
      </c>
      <c r="AE2066" s="52" t="s">
        <v>383</v>
      </c>
      <c r="AF2066" s="155" t="s">
        <v>247</v>
      </c>
      <c r="AG2066" s="155" t="s">
        <v>247</v>
      </c>
    </row>
    <row r="2067" spans="25:33">
      <c r="Y2067" s="47">
        <v>5273</v>
      </c>
      <c r="Z2067" s="52" t="s">
        <v>411</v>
      </c>
      <c r="AA2067" s="52" t="s">
        <v>247</v>
      </c>
      <c r="AB2067" s="52" t="s">
        <v>247</v>
      </c>
      <c r="AC2067" s="52" t="s">
        <v>247</v>
      </c>
      <c r="AD2067" s="52" t="s">
        <v>1</v>
      </c>
      <c r="AE2067" s="52" t="s">
        <v>383</v>
      </c>
      <c r="AF2067" s="155" t="s">
        <v>247</v>
      </c>
      <c r="AG2067" s="155" t="s">
        <v>247</v>
      </c>
    </row>
    <row r="2068" spans="25:33">
      <c r="Y2068" s="47">
        <v>5274</v>
      </c>
      <c r="Z2068" s="52" t="s">
        <v>411</v>
      </c>
      <c r="AA2068" s="52" t="s">
        <v>247</v>
      </c>
      <c r="AB2068" s="52" t="s">
        <v>247</v>
      </c>
      <c r="AC2068" s="52" t="s">
        <v>247</v>
      </c>
      <c r="AD2068" s="52" t="s">
        <v>1</v>
      </c>
      <c r="AE2068" s="52" t="s">
        <v>383</v>
      </c>
      <c r="AF2068" s="155" t="s">
        <v>247</v>
      </c>
      <c r="AG2068" s="155" t="s">
        <v>247</v>
      </c>
    </row>
    <row r="2069" spans="25:33">
      <c r="Y2069" s="47">
        <v>5275</v>
      </c>
      <c r="Z2069" s="52" t="s">
        <v>411</v>
      </c>
      <c r="AA2069" s="52" t="s">
        <v>247</v>
      </c>
      <c r="AB2069" s="52" t="s">
        <v>247</v>
      </c>
      <c r="AC2069" s="52" t="s">
        <v>247</v>
      </c>
      <c r="AD2069" s="52" t="s">
        <v>1</v>
      </c>
      <c r="AE2069" s="52" t="s">
        <v>383</v>
      </c>
      <c r="AF2069" s="155" t="s">
        <v>247</v>
      </c>
      <c r="AG2069" s="155" t="s">
        <v>247</v>
      </c>
    </row>
    <row r="2070" spans="25:33">
      <c r="Y2070" s="47">
        <v>5276</v>
      </c>
      <c r="Z2070" s="52" t="s">
        <v>411</v>
      </c>
      <c r="AA2070" s="52" t="s">
        <v>247</v>
      </c>
      <c r="AB2070" s="52" t="s">
        <v>247</v>
      </c>
      <c r="AC2070" s="52" t="s">
        <v>247</v>
      </c>
      <c r="AD2070" s="52" t="s">
        <v>1</v>
      </c>
      <c r="AE2070" s="52" t="s">
        <v>383</v>
      </c>
      <c r="AF2070" s="155" t="s">
        <v>247</v>
      </c>
      <c r="AG2070" s="155" t="s">
        <v>247</v>
      </c>
    </row>
    <row r="2071" spans="25:33">
      <c r="Y2071" s="47">
        <v>5277</v>
      </c>
      <c r="Z2071" s="52" t="s">
        <v>411</v>
      </c>
      <c r="AA2071" s="52" t="s">
        <v>247</v>
      </c>
      <c r="AB2071" s="52" t="s">
        <v>247</v>
      </c>
      <c r="AC2071" s="52" t="s">
        <v>247</v>
      </c>
      <c r="AD2071" s="52" t="s">
        <v>1</v>
      </c>
      <c r="AE2071" s="52" t="s">
        <v>383</v>
      </c>
      <c r="AF2071" s="155" t="s">
        <v>247</v>
      </c>
      <c r="AG2071" s="155" t="s">
        <v>247</v>
      </c>
    </row>
    <row r="2072" spans="25:33">
      <c r="Y2072" s="47">
        <v>5278</v>
      </c>
      <c r="Z2072" s="52" t="s">
        <v>411</v>
      </c>
      <c r="AA2072" s="52" t="s">
        <v>247</v>
      </c>
      <c r="AB2072" s="52" t="s">
        <v>247</v>
      </c>
      <c r="AC2072" s="52" t="s">
        <v>247</v>
      </c>
      <c r="AD2072" s="52" t="s">
        <v>1</v>
      </c>
      <c r="AE2072" s="52" t="s">
        <v>383</v>
      </c>
      <c r="AF2072" s="155" t="s">
        <v>247</v>
      </c>
      <c r="AG2072" s="155" t="s">
        <v>247</v>
      </c>
    </row>
    <row r="2073" spans="25:33">
      <c r="Y2073" s="47">
        <v>5279</v>
      </c>
      <c r="Z2073" s="52" t="s">
        <v>411</v>
      </c>
      <c r="AA2073" s="52" t="s">
        <v>247</v>
      </c>
      <c r="AB2073" s="52" t="s">
        <v>247</v>
      </c>
      <c r="AC2073" s="52" t="s">
        <v>247</v>
      </c>
      <c r="AD2073" s="52" t="s">
        <v>1</v>
      </c>
      <c r="AE2073" s="52" t="s">
        <v>383</v>
      </c>
      <c r="AF2073" s="155" t="s">
        <v>247</v>
      </c>
      <c r="AG2073" s="155" t="s">
        <v>247</v>
      </c>
    </row>
    <row r="2074" spans="25:33">
      <c r="Y2074" s="47">
        <v>5280</v>
      </c>
      <c r="Z2074" s="52" t="s">
        <v>411</v>
      </c>
      <c r="AA2074" s="52" t="s">
        <v>247</v>
      </c>
      <c r="AB2074" s="52" t="s">
        <v>247</v>
      </c>
      <c r="AC2074" s="52" t="s">
        <v>247</v>
      </c>
      <c r="AD2074" s="52" t="s">
        <v>1</v>
      </c>
      <c r="AE2074" s="52" t="s">
        <v>383</v>
      </c>
      <c r="AF2074" s="155" t="s">
        <v>247</v>
      </c>
      <c r="AG2074" s="155" t="s">
        <v>247</v>
      </c>
    </row>
    <row r="2075" spans="25:33">
      <c r="Y2075" s="47">
        <v>5281</v>
      </c>
      <c r="Z2075" s="52" t="s">
        <v>411</v>
      </c>
      <c r="AA2075" s="52" t="s">
        <v>247</v>
      </c>
      <c r="AB2075" s="52" t="s">
        <v>247</v>
      </c>
      <c r="AC2075" s="52" t="s">
        <v>247</v>
      </c>
      <c r="AD2075" s="52" t="s">
        <v>1</v>
      </c>
      <c r="AE2075" s="52" t="s">
        <v>383</v>
      </c>
      <c r="AF2075" s="155" t="s">
        <v>247</v>
      </c>
      <c r="AG2075" s="155" t="s">
        <v>247</v>
      </c>
    </row>
    <row r="2076" spans="25:33">
      <c r="Y2076" s="47">
        <v>5282</v>
      </c>
      <c r="Z2076" s="52" t="s">
        <v>411</v>
      </c>
      <c r="AA2076" s="52" t="s">
        <v>247</v>
      </c>
      <c r="AB2076" s="52" t="s">
        <v>247</v>
      </c>
      <c r="AC2076" s="52" t="s">
        <v>247</v>
      </c>
      <c r="AD2076" s="52" t="s">
        <v>1</v>
      </c>
      <c r="AE2076" s="52" t="s">
        <v>383</v>
      </c>
      <c r="AF2076" s="155" t="s">
        <v>247</v>
      </c>
      <c r="AG2076" s="155" t="s">
        <v>247</v>
      </c>
    </row>
    <row r="2077" spans="25:33">
      <c r="Y2077" s="47">
        <v>5283</v>
      </c>
      <c r="Z2077" s="52" t="s">
        <v>411</v>
      </c>
      <c r="AA2077" s="52" t="s">
        <v>247</v>
      </c>
      <c r="AB2077" s="52" t="s">
        <v>247</v>
      </c>
      <c r="AC2077" s="52" t="s">
        <v>247</v>
      </c>
      <c r="AD2077" s="52" t="s">
        <v>1</v>
      </c>
      <c r="AE2077" s="52" t="s">
        <v>383</v>
      </c>
      <c r="AF2077" s="155" t="s">
        <v>247</v>
      </c>
      <c r="AG2077" s="155" t="s">
        <v>247</v>
      </c>
    </row>
    <row r="2078" spans="25:33">
      <c r="Y2078" s="47">
        <v>5284</v>
      </c>
      <c r="Z2078" s="52" t="s">
        <v>411</v>
      </c>
      <c r="AA2078" s="52" t="s">
        <v>247</v>
      </c>
      <c r="AB2078" s="52" t="s">
        <v>247</v>
      </c>
      <c r="AC2078" s="52" t="s">
        <v>247</v>
      </c>
      <c r="AD2078" s="52" t="s">
        <v>1</v>
      </c>
      <c r="AE2078" s="52" t="s">
        <v>383</v>
      </c>
      <c r="AF2078" s="155" t="s">
        <v>247</v>
      </c>
      <c r="AG2078" s="155" t="s">
        <v>247</v>
      </c>
    </row>
    <row r="2079" spans="25:33">
      <c r="Y2079" s="47">
        <v>5285</v>
      </c>
      <c r="Z2079" s="52" t="s">
        <v>411</v>
      </c>
      <c r="AA2079" s="52" t="s">
        <v>247</v>
      </c>
      <c r="AB2079" s="52" t="s">
        <v>247</v>
      </c>
      <c r="AC2079" s="52" t="s">
        <v>247</v>
      </c>
      <c r="AD2079" s="52" t="s">
        <v>1</v>
      </c>
      <c r="AE2079" s="52" t="s">
        <v>383</v>
      </c>
      <c r="AF2079" s="155" t="s">
        <v>247</v>
      </c>
      <c r="AG2079" s="155" t="s">
        <v>247</v>
      </c>
    </row>
    <row r="2080" spans="25:33">
      <c r="Y2080" s="47">
        <v>5286</v>
      </c>
      <c r="Z2080" s="52" t="s">
        <v>411</v>
      </c>
      <c r="AA2080" s="52" t="s">
        <v>247</v>
      </c>
      <c r="AB2080" s="52" t="s">
        <v>247</v>
      </c>
      <c r="AC2080" s="52" t="s">
        <v>247</v>
      </c>
      <c r="AD2080" s="52" t="s">
        <v>1</v>
      </c>
      <c r="AE2080" s="52" t="s">
        <v>383</v>
      </c>
      <c r="AF2080" s="155" t="s">
        <v>247</v>
      </c>
      <c r="AG2080" s="155" t="s">
        <v>247</v>
      </c>
    </row>
    <row r="2081" spans="25:33">
      <c r="Y2081" s="47">
        <v>5287</v>
      </c>
      <c r="Z2081" s="52" t="s">
        <v>411</v>
      </c>
      <c r="AA2081" s="52" t="s">
        <v>247</v>
      </c>
      <c r="AB2081" s="52" t="s">
        <v>247</v>
      </c>
      <c r="AC2081" s="52" t="s">
        <v>247</v>
      </c>
      <c r="AD2081" s="52" t="s">
        <v>1</v>
      </c>
      <c r="AE2081" s="52" t="s">
        <v>383</v>
      </c>
      <c r="AF2081" s="155" t="s">
        <v>247</v>
      </c>
      <c r="AG2081" s="155" t="s">
        <v>247</v>
      </c>
    </row>
    <row r="2082" spans="25:33">
      <c r="Y2082" s="47">
        <v>5288</v>
      </c>
      <c r="Z2082" s="52" t="s">
        <v>411</v>
      </c>
      <c r="AA2082" s="52" t="s">
        <v>247</v>
      </c>
      <c r="AB2082" s="52" t="s">
        <v>247</v>
      </c>
      <c r="AC2082" s="52" t="s">
        <v>247</v>
      </c>
      <c r="AD2082" s="52" t="s">
        <v>1</v>
      </c>
      <c r="AE2082" s="52" t="s">
        <v>383</v>
      </c>
      <c r="AF2082" s="155" t="s">
        <v>247</v>
      </c>
      <c r="AG2082" s="155" t="s">
        <v>247</v>
      </c>
    </row>
    <row r="2083" spans="25:33">
      <c r="Y2083" s="47">
        <v>5289</v>
      </c>
      <c r="Z2083" s="52" t="s">
        <v>411</v>
      </c>
      <c r="AA2083" s="52" t="s">
        <v>247</v>
      </c>
      <c r="AB2083" s="52" t="s">
        <v>247</v>
      </c>
      <c r="AC2083" s="52" t="s">
        <v>247</v>
      </c>
      <c r="AD2083" s="52" t="s">
        <v>1</v>
      </c>
      <c r="AE2083" s="52" t="s">
        <v>383</v>
      </c>
      <c r="AF2083" s="155" t="s">
        <v>247</v>
      </c>
      <c r="AG2083" s="155" t="s">
        <v>247</v>
      </c>
    </row>
    <row r="2084" spans="25:33">
      <c r="Y2084" s="47">
        <v>5290</v>
      </c>
      <c r="Z2084" s="52" t="s">
        <v>411</v>
      </c>
      <c r="AA2084" s="52" t="s">
        <v>247</v>
      </c>
      <c r="AB2084" s="52" t="s">
        <v>247</v>
      </c>
      <c r="AC2084" s="52" t="s">
        <v>247</v>
      </c>
      <c r="AD2084" s="52" t="s">
        <v>1</v>
      </c>
      <c r="AE2084" s="52" t="s">
        <v>383</v>
      </c>
      <c r="AF2084" s="155" t="s">
        <v>247</v>
      </c>
      <c r="AG2084" s="155" t="s">
        <v>247</v>
      </c>
    </row>
    <row r="2085" spans="25:33">
      <c r="Y2085" s="47">
        <v>5291</v>
      </c>
      <c r="Z2085" s="52" t="s">
        <v>411</v>
      </c>
      <c r="AA2085" s="52" t="s">
        <v>247</v>
      </c>
      <c r="AB2085" s="52" t="s">
        <v>247</v>
      </c>
      <c r="AC2085" s="52" t="s">
        <v>247</v>
      </c>
      <c r="AD2085" s="52" t="s">
        <v>1</v>
      </c>
      <c r="AE2085" s="52" t="s">
        <v>383</v>
      </c>
      <c r="AF2085" s="155" t="s">
        <v>247</v>
      </c>
      <c r="AG2085" s="155" t="s">
        <v>247</v>
      </c>
    </row>
    <row r="2086" spans="25:33">
      <c r="Y2086" s="47">
        <v>5301</v>
      </c>
      <c r="Z2086" s="52" t="s">
        <v>410</v>
      </c>
      <c r="AA2086" s="52" t="s">
        <v>247</v>
      </c>
      <c r="AB2086" s="52" t="s">
        <v>247</v>
      </c>
      <c r="AC2086" s="52" t="s">
        <v>247</v>
      </c>
      <c r="AD2086" s="52" t="s">
        <v>1</v>
      </c>
      <c r="AE2086" s="52" t="s">
        <v>383</v>
      </c>
      <c r="AF2086" s="155" t="s">
        <v>247</v>
      </c>
      <c r="AG2086" s="155" t="s">
        <v>247</v>
      </c>
    </row>
    <row r="2087" spans="25:33">
      <c r="Y2087" s="47">
        <v>5302</v>
      </c>
      <c r="Z2087" s="52" t="s">
        <v>410</v>
      </c>
      <c r="AA2087" s="52" t="s">
        <v>247</v>
      </c>
      <c r="AB2087" s="52" t="s">
        <v>247</v>
      </c>
      <c r="AC2087" s="52" t="s">
        <v>247</v>
      </c>
      <c r="AD2087" s="52" t="s">
        <v>1</v>
      </c>
      <c r="AE2087" s="52" t="s">
        <v>383</v>
      </c>
      <c r="AF2087" s="155" t="s">
        <v>247</v>
      </c>
      <c r="AG2087" s="155" t="s">
        <v>247</v>
      </c>
    </row>
    <row r="2088" spans="25:33">
      <c r="Y2088" s="47">
        <v>5303</v>
      </c>
      <c r="Z2088" s="52" t="s">
        <v>410</v>
      </c>
      <c r="AA2088" s="52" t="s">
        <v>247</v>
      </c>
      <c r="AB2088" s="52" t="s">
        <v>247</v>
      </c>
      <c r="AC2088" s="52" t="s">
        <v>247</v>
      </c>
      <c r="AD2088" s="52" t="s">
        <v>1</v>
      </c>
      <c r="AE2088" s="52" t="s">
        <v>383</v>
      </c>
      <c r="AF2088" s="155" t="s">
        <v>247</v>
      </c>
      <c r="AG2088" s="155" t="s">
        <v>247</v>
      </c>
    </row>
    <row r="2089" spans="25:33">
      <c r="Y2089" s="47">
        <v>5304</v>
      </c>
      <c r="Z2089" s="52" t="s">
        <v>410</v>
      </c>
      <c r="AA2089" s="52" t="s">
        <v>247</v>
      </c>
      <c r="AB2089" s="52" t="s">
        <v>247</v>
      </c>
      <c r="AC2089" s="52" t="s">
        <v>247</v>
      </c>
      <c r="AD2089" s="52" t="s">
        <v>1</v>
      </c>
      <c r="AE2089" s="52" t="s">
        <v>383</v>
      </c>
      <c r="AF2089" s="155" t="s">
        <v>247</v>
      </c>
      <c r="AG2089" s="155" t="s">
        <v>247</v>
      </c>
    </row>
    <row r="2090" spans="25:33">
      <c r="Y2090" s="47">
        <v>5305</v>
      </c>
      <c r="Z2090" s="52" t="s">
        <v>410</v>
      </c>
      <c r="AA2090" s="52" t="s">
        <v>247</v>
      </c>
      <c r="AB2090" s="52" t="s">
        <v>247</v>
      </c>
      <c r="AC2090" s="52" t="s">
        <v>247</v>
      </c>
      <c r="AD2090" s="52" t="s">
        <v>1</v>
      </c>
      <c r="AE2090" s="52" t="s">
        <v>383</v>
      </c>
      <c r="AF2090" s="155" t="s">
        <v>247</v>
      </c>
      <c r="AG2090" s="155" t="s">
        <v>247</v>
      </c>
    </row>
    <row r="2091" spans="25:33">
      <c r="Y2091" s="47">
        <v>5306</v>
      </c>
      <c r="Z2091" s="52" t="s">
        <v>410</v>
      </c>
      <c r="AA2091" s="52" t="s">
        <v>247</v>
      </c>
      <c r="AB2091" s="52" t="s">
        <v>247</v>
      </c>
      <c r="AC2091" s="52" t="s">
        <v>247</v>
      </c>
      <c r="AD2091" s="52" t="s">
        <v>1</v>
      </c>
      <c r="AE2091" s="52" t="s">
        <v>383</v>
      </c>
      <c r="AF2091" s="155" t="s">
        <v>247</v>
      </c>
      <c r="AG2091" s="155" t="s">
        <v>247</v>
      </c>
    </row>
    <row r="2092" spans="25:33">
      <c r="Y2092" s="47">
        <v>5307</v>
      </c>
      <c r="Z2092" s="52" t="s">
        <v>410</v>
      </c>
      <c r="AA2092" s="52" t="s">
        <v>247</v>
      </c>
      <c r="AB2092" s="52" t="s">
        <v>247</v>
      </c>
      <c r="AC2092" s="52" t="s">
        <v>247</v>
      </c>
      <c r="AD2092" s="52" t="s">
        <v>1</v>
      </c>
      <c r="AE2092" s="52" t="s">
        <v>383</v>
      </c>
      <c r="AF2092" s="155" t="s">
        <v>247</v>
      </c>
      <c r="AG2092" s="155" t="s">
        <v>247</v>
      </c>
    </row>
    <row r="2093" spans="25:33">
      <c r="Y2093" s="47">
        <v>5308</v>
      </c>
      <c r="Z2093" s="52" t="s">
        <v>410</v>
      </c>
      <c r="AA2093" s="52" t="s">
        <v>247</v>
      </c>
      <c r="AB2093" s="52" t="s">
        <v>247</v>
      </c>
      <c r="AC2093" s="52" t="s">
        <v>247</v>
      </c>
      <c r="AD2093" s="52" t="s">
        <v>1</v>
      </c>
      <c r="AE2093" s="52" t="s">
        <v>383</v>
      </c>
      <c r="AF2093" s="155" t="s">
        <v>247</v>
      </c>
      <c r="AG2093" s="155" t="s">
        <v>247</v>
      </c>
    </row>
    <row r="2094" spans="25:33">
      <c r="Y2094" s="47">
        <v>5309</v>
      </c>
      <c r="Z2094" s="52" t="s">
        <v>410</v>
      </c>
      <c r="AA2094" s="52" t="s">
        <v>247</v>
      </c>
      <c r="AB2094" s="52" t="s">
        <v>247</v>
      </c>
      <c r="AC2094" s="52" t="s">
        <v>247</v>
      </c>
      <c r="AD2094" s="52" t="s">
        <v>1</v>
      </c>
      <c r="AE2094" s="52" t="s">
        <v>383</v>
      </c>
      <c r="AF2094" s="155" t="s">
        <v>247</v>
      </c>
      <c r="AG2094" s="155" t="s">
        <v>247</v>
      </c>
    </row>
    <row r="2095" spans="25:33">
      <c r="Y2095" s="47">
        <v>5310</v>
      </c>
      <c r="Z2095" s="52" t="s">
        <v>410</v>
      </c>
      <c r="AA2095" s="52" t="s">
        <v>247</v>
      </c>
      <c r="AB2095" s="52" t="s">
        <v>247</v>
      </c>
      <c r="AC2095" s="52" t="s">
        <v>247</v>
      </c>
      <c r="AD2095" s="52" t="s">
        <v>1</v>
      </c>
      <c r="AE2095" s="52" t="s">
        <v>383</v>
      </c>
      <c r="AF2095" s="155" t="s">
        <v>247</v>
      </c>
      <c r="AG2095" s="155" t="s">
        <v>247</v>
      </c>
    </row>
    <row r="2096" spans="25:33">
      <c r="Y2096" s="47">
        <v>5311</v>
      </c>
      <c r="Z2096" s="52" t="s">
        <v>410</v>
      </c>
      <c r="AA2096" s="52" t="s">
        <v>247</v>
      </c>
      <c r="AB2096" s="52" t="s">
        <v>247</v>
      </c>
      <c r="AC2096" s="52" t="s">
        <v>247</v>
      </c>
      <c r="AD2096" s="52" t="s">
        <v>1</v>
      </c>
      <c r="AE2096" s="52" t="s">
        <v>383</v>
      </c>
      <c r="AF2096" s="155" t="s">
        <v>247</v>
      </c>
      <c r="AG2096" s="155" t="s">
        <v>247</v>
      </c>
    </row>
    <row r="2097" spans="25:33">
      <c r="Y2097" s="47">
        <v>5312</v>
      </c>
      <c r="Z2097" s="52" t="s">
        <v>410</v>
      </c>
      <c r="AA2097" s="52" t="s">
        <v>247</v>
      </c>
      <c r="AB2097" s="52" t="s">
        <v>247</v>
      </c>
      <c r="AC2097" s="52" t="s">
        <v>247</v>
      </c>
      <c r="AD2097" s="52" t="s">
        <v>1</v>
      </c>
      <c r="AE2097" s="52" t="s">
        <v>383</v>
      </c>
      <c r="AF2097" s="155" t="s">
        <v>247</v>
      </c>
      <c r="AG2097" s="155" t="s">
        <v>247</v>
      </c>
    </row>
    <row r="2098" spans="25:33">
      <c r="Y2098" s="47">
        <v>5313</v>
      </c>
      <c r="Z2098" s="52" t="s">
        <v>410</v>
      </c>
      <c r="AA2098" s="52" t="s">
        <v>247</v>
      </c>
      <c r="AB2098" s="52" t="s">
        <v>247</v>
      </c>
      <c r="AC2098" s="52" t="s">
        <v>247</v>
      </c>
      <c r="AD2098" s="52" t="s">
        <v>1</v>
      </c>
      <c r="AE2098" s="52" t="s">
        <v>383</v>
      </c>
      <c r="AF2098" s="155" t="s">
        <v>247</v>
      </c>
      <c r="AG2098" s="155" t="s">
        <v>247</v>
      </c>
    </row>
    <row r="2099" spans="25:33">
      <c r="Y2099" s="47">
        <v>5314</v>
      </c>
      <c r="Z2099" s="52" t="s">
        <v>410</v>
      </c>
      <c r="AA2099" s="52" t="s">
        <v>247</v>
      </c>
      <c r="AB2099" s="52" t="s">
        <v>247</v>
      </c>
      <c r="AC2099" s="52" t="s">
        <v>247</v>
      </c>
      <c r="AD2099" s="52" t="s">
        <v>1</v>
      </c>
      <c r="AE2099" s="52" t="s">
        <v>383</v>
      </c>
      <c r="AF2099" s="155" t="s">
        <v>247</v>
      </c>
      <c r="AG2099" s="155" t="s">
        <v>247</v>
      </c>
    </row>
    <row r="2100" spans="25:33">
      <c r="Y2100" s="47">
        <v>5315</v>
      </c>
      <c r="Z2100" s="52" t="s">
        <v>410</v>
      </c>
      <c r="AA2100" s="52" t="s">
        <v>247</v>
      </c>
      <c r="AB2100" s="52" t="s">
        <v>247</v>
      </c>
      <c r="AC2100" s="52" t="s">
        <v>247</v>
      </c>
      <c r="AD2100" s="52" t="s">
        <v>1</v>
      </c>
      <c r="AE2100" s="52" t="s">
        <v>383</v>
      </c>
      <c r="AF2100" s="155" t="s">
        <v>247</v>
      </c>
      <c r="AG2100" s="155" t="s">
        <v>247</v>
      </c>
    </row>
    <row r="2101" spans="25:33">
      <c r="Y2101" s="47">
        <v>5316</v>
      </c>
      <c r="Z2101" s="52" t="s">
        <v>410</v>
      </c>
      <c r="AA2101" s="52" t="s">
        <v>247</v>
      </c>
      <c r="AB2101" s="52" t="s">
        <v>247</v>
      </c>
      <c r="AC2101" s="52" t="s">
        <v>247</v>
      </c>
      <c r="AD2101" s="52" t="s">
        <v>1</v>
      </c>
      <c r="AE2101" s="52" t="s">
        <v>383</v>
      </c>
      <c r="AF2101" s="155" t="s">
        <v>247</v>
      </c>
      <c r="AG2101" s="155" t="s">
        <v>247</v>
      </c>
    </row>
    <row r="2102" spans="25:33">
      <c r="Y2102" s="47">
        <v>5317</v>
      </c>
      <c r="Z2102" s="52" t="s">
        <v>410</v>
      </c>
      <c r="AA2102" s="52" t="s">
        <v>247</v>
      </c>
      <c r="AB2102" s="52" t="s">
        <v>247</v>
      </c>
      <c r="AC2102" s="52" t="s">
        <v>247</v>
      </c>
      <c r="AD2102" s="52" t="s">
        <v>1</v>
      </c>
      <c r="AE2102" s="52" t="s">
        <v>383</v>
      </c>
      <c r="AF2102" s="155" t="s">
        <v>247</v>
      </c>
      <c r="AG2102" s="155" t="s">
        <v>247</v>
      </c>
    </row>
    <row r="2103" spans="25:33">
      <c r="Y2103" s="47">
        <v>5318</v>
      </c>
      <c r="Z2103" s="52" t="s">
        <v>410</v>
      </c>
      <c r="AA2103" s="52" t="s">
        <v>247</v>
      </c>
      <c r="AB2103" s="52" t="s">
        <v>247</v>
      </c>
      <c r="AC2103" s="52" t="s">
        <v>247</v>
      </c>
      <c r="AD2103" s="52" t="s">
        <v>1</v>
      </c>
      <c r="AE2103" s="52" t="s">
        <v>383</v>
      </c>
      <c r="AF2103" s="155" t="s">
        <v>247</v>
      </c>
      <c r="AG2103" s="155" t="s">
        <v>247</v>
      </c>
    </row>
    <row r="2104" spans="25:33">
      <c r="Y2104" s="47">
        <v>5319</v>
      </c>
      <c r="Z2104" s="52" t="s">
        <v>410</v>
      </c>
      <c r="AA2104" s="52" t="s">
        <v>247</v>
      </c>
      <c r="AB2104" s="52" t="s">
        <v>247</v>
      </c>
      <c r="AC2104" s="52" t="s">
        <v>247</v>
      </c>
      <c r="AD2104" s="52" t="s">
        <v>1</v>
      </c>
      <c r="AE2104" s="52" t="s">
        <v>383</v>
      </c>
      <c r="AF2104" s="155" t="s">
        <v>247</v>
      </c>
      <c r="AG2104" s="155" t="s">
        <v>247</v>
      </c>
    </row>
    <row r="2105" spans="25:33">
      <c r="Y2105" s="47">
        <v>5320</v>
      </c>
      <c r="Z2105" s="52" t="s">
        <v>410</v>
      </c>
      <c r="AA2105" s="52" t="s">
        <v>247</v>
      </c>
      <c r="AB2105" s="52" t="s">
        <v>247</v>
      </c>
      <c r="AC2105" s="52" t="s">
        <v>247</v>
      </c>
      <c r="AD2105" s="52" t="s">
        <v>1</v>
      </c>
      <c r="AE2105" s="52" t="s">
        <v>383</v>
      </c>
      <c r="AF2105" s="155" t="s">
        <v>247</v>
      </c>
      <c r="AG2105" s="155" t="s">
        <v>247</v>
      </c>
    </row>
    <row r="2106" spans="25:33">
      <c r="Y2106" s="47">
        <v>5321</v>
      </c>
      <c r="Z2106" s="52" t="s">
        <v>410</v>
      </c>
      <c r="AA2106" s="52" t="s">
        <v>247</v>
      </c>
      <c r="AB2106" s="52" t="s">
        <v>247</v>
      </c>
      <c r="AC2106" s="52" t="s">
        <v>247</v>
      </c>
      <c r="AD2106" s="52" t="s">
        <v>1</v>
      </c>
      <c r="AE2106" s="52" t="s">
        <v>383</v>
      </c>
      <c r="AF2106" s="155" t="s">
        <v>247</v>
      </c>
      <c r="AG2106" s="155" t="s">
        <v>247</v>
      </c>
    </row>
    <row r="2107" spans="25:33">
      <c r="Y2107" s="47">
        <v>5322</v>
      </c>
      <c r="Z2107" s="52" t="s">
        <v>410</v>
      </c>
      <c r="AA2107" s="52" t="s">
        <v>247</v>
      </c>
      <c r="AB2107" s="52" t="s">
        <v>247</v>
      </c>
      <c r="AC2107" s="52" t="s">
        <v>247</v>
      </c>
      <c r="AD2107" s="52" t="s">
        <v>1</v>
      </c>
      <c r="AE2107" s="52" t="s">
        <v>383</v>
      </c>
      <c r="AF2107" s="155" t="s">
        <v>247</v>
      </c>
      <c r="AG2107" s="155" t="s">
        <v>247</v>
      </c>
    </row>
    <row r="2108" spans="25:33">
      <c r="Y2108" s="47">
        <v>5323</v>
      </c>
      <c r="Z2108" s="52" t="s">
        <v>410</v>
      </c>
      <c r="AA2108" s="52" t="s">
        <v>247</v>
      </c>
      <c r="AB2108" s="52" t="s">
        <v>247</v>
      </c>
      <c r="AC2108" s="52" t="s">
        <v>247</v>
      </c>
      <c r="AD2108" s="52" t="s">
        <v>1</v>
      </c>
      <c r="AE2108" s="52" t="s">
        <v>383</v>
      </c>
      <c r="AF2108" s="155" t="s">
        <v>247</v>
      </c>
      <c r="AG2108" s="155" t="s">
        <v>247</v>
      </c>
    </row>
    <row r="2109" spans="25:33">
      <c r="Y2109" s="47">
        <v>5324</v>
      </c>
      <c r="Z2109" s="52" t="s">
        <v>410</v>
      </c>
      <c r="AA2109" s="52" t="s">
        <v>247</v>
      </c>
      <c r="AB2109" s="52" t="s">
        <v>247</v>
      </c>
      <c r="AC2109" s="52" t="s">
        <v>247</v>
      </c>
      <c r="AD2109" s="52" t="s">
        <v>1</v>
      </c>
      <c r="AE2109" s="52" t="s">
        <v>383</v>
      </c>
      <c r="AF2109" s="155" t="s">
        <v>247</v>
      </c>
      <c r="AG2109" s="155" t="s">
        <v>247</v>
      </c>
    </row>
    <row r="2110" spans="25:33">
      <c r="Y2110" s="47">
        <v>5325</v>
      </c>
      <c r="Z2110" s="52" t="s">
        <v>410</v>
      </c>
      <c r="AA2110" s="52" t="s">
        <v>247</v>
      </c>
      <c r="AB2110" s="52" t="s">
        <v>247</v>
      </c>
      <c r="AC2110" s="52" t="s">
        <v>247</v>
      </c>
      <c r="AD2110" s="52" t="s">
        <v>1</v>
      </c>
      <c r="AE2110" s="52" t="s">
        <v>383</v>
      </c>
      <c r="AF2110" s="155" t="s">
        <v>247</v>
      </c>
      <c r="AG2110" s="155" t="s">
        <v>247</v>
      </c>
    </row>
    <row r="2111" spans="25:33">
      <c r="Y2111" s="47">
        <v>5326</v>
      </c>
      <c r="Z2111" s="52" t="s">
        <v>410</v>
      </c>
      <c r="AA2111" s="52" t="s">
        <v>247</v>
      </c>
      <c r="AB2111" s="52" t="s">
        <v>247</v>
      </c>
      <c r="AC2111" s="52" t="s">
        <v>247</v>
      </c>
      <c r="AD2111" s="52" t="s">
        <v>1</v>
      </c>
      <c r="AE2111" s="52" t="s">
        <v>383</v>
      </c>
      <c r="AF2111" s="155" t="s">
        <v>247</v>
      </c>
      <c r="AG2111" s="155" t="s">
        <v>247</v>
      </c>
    </row>
    <row r="2112" spans="25:33">
      <c r="Y2112" s="47">
        <v>5327</v>
      </c>
      <c r="Z2112" s="52" t="s">
        <v>410</v>
      </c>
      <c r="AA2112" s="52" t="s">
        <v>247</v>
      </c>
      <c r="AB2112" s="52" t="s">
        <v>247</v>
      </c>
      <c r="AC2112" s="52" t="s">
        <v>247</v>
      </c>
      <c r="AD2112" s="52" t="s">
        <v>1</v>
      </c>
      <c r="AE2112" s="52" t="s">
        <v>383</v>
      </c>
      <c r="AF2112" s="155" t="s">
        <v>247</v>
      </c>
      <c r="AG2112" s="155" t="s">
        <v>247</v>
      </c>
    </row>
    <row r="2113" spans="25:33">
      <c r="Y2113" s="47">
        <v>5328</v>
      </c>
      <c r="Z2113" s="52" t="s">
        <v>410</v>
      </c>
      <c r="AA2113" s="52" t="s">
        <v>247</v>
      </c>
      <c r="AB2113" s="52" t="s">
        <v>247</v>
      </c>
      <c r="AC2113" s="52" t="s">
        <v>247</v>
      </c>
      <c r="AD2113" s="52" t="s">
        <v>1</v>
      </c>
      <c r="AE2113" s="52" t="s">
        <v>383</v>
      </c>
      <c r="AF2113" s="155" t="s">
        <v>247</v>
      </c>
      <c r="AG2113" s="155" t="s">
        <v>247</v>
      </c>
    </row>
    <row r="2114" spans="25:33">
      <c r="Y2114" s="47">
        <v>5329</v>
      </c>
      <c r="Z2114" s="52" t="s">
        <v>410</v>
      </c>
      <c r="AA2114" s="52" t="s">
        <v>247</v>
      </c>
      <c r="AB2114" s="52" t="s">
        <v>247</v>
      </c>
      <c r="AC2114" s="52" t="s">
        <v>247</v>
      </c>
      <c r="AD2114" s="52" t="s">
        <v>1</v>
      </c>
      <c r="AE2114" s="52" t="s">
        <v>383</v>
      </c>
      <c r="AF2114" s="155" t="s">
        <v>247</v>
      </c>
      <c r="AG2114" s="155" t="s">
        <v>247</v>
      </c>
    </row>
    <row r="2115" spans="25:33">
      <c r="Y2115" s="47">
        <v>5330</v>
      </c>
      <c r="Z2115" s="52" t="s">
        <v>410</v>
      </c>
      <c r="AA2115" s="52" t="s">
        <v>247</v>
      </c>
      <c r="AB2115" s="52" t="s">
        <v>247</v>
      </c>
      <c r="AC2115" s="52" t="s">
        <v>247</v>
      </c>
      <c r="AD2115" s="52" t="s">
        <v>1</v>
      </c>
      <c r="AE2115" s="52" t="s">
        <v>383</v>
      </c>
      <c r="AF2115" s="155" t="s">
        <v>247</v>
      </c>
      <c r="AG2115" s="155" t="s">
        <v>247</v>
      </c>
    </row>
    <row r="2116" spans="25:33">
      <c r="Y2116" s="47">
        <v>5331</v>
      </c>
      <c r="Z2116" s="52" t="s">
        <v>410</v>
      </c>
      <c r="AA2116" s="52" t="s">
        <v>247</v>
      </c>
      <c r="AB2116" s="52" t="s">
        <v>247</v>
      </c>
      <c r="AC2116" s="52" t="s">
        <v>247</v>
      </c>
      <c r="AD2116" s="52" t="s">
        <v>1</v>
      </c>
      <c r="AE2116" s="52" t="s">
        <v>383</v>
      </c>
      <c r="AF2116" s="155" t="s">
        <v>247</v>
      </c>
      <c r="AG2116" s="155" t="s">
        <v>247</v>
      </c>
    </row>
    <row r="2117" spans="25:33">
      <c r="Y2117" s="47">
        <v>5332</v>
      </c>
      <c r="Z2117" s="52" t="s">
        <v>410</v>
      </c>
      <c r="AA2117" s="52" t="s">
        <v>247</v>
      </c>
      <c r="AB2117" s="52" t="s">
        <v>247</v>
      </c>
      <c r="AC2117" s="52" t="s">
        <v>247</v>
      </c>
      <c r="AD2117" s="52" t="s">
        <v>1</v>
      </c>
      <c r="AE2117" s="52" t="s">
        <v>383</v>
      </c>
      <c r="AF2117" s="155" t="s">
        <v>247</v>
      </c>
      <c r="AG2117" s="155" t="s">
        <v>247</v>
      </c>
    </row>
    <row r="2118" spans="25:33">
      <c r="Y2118" s="47">
        <v>5333</v>
      </c>
      <c r="Z2118" s="52" t="s">
        <v>410</v>
      </c>
      <c r="AA2118" s="52" t="s">
        <v>247</v>
      </c>
      <c r="AB2118" s="52" t="s">
        <v>247</v>
      </c>
      <c r="AC2118" s="52" t="s">
        <v>247</v>
      </c>
      <c r="AD2118" s="52" t="s">
        <v>1</v>
      </c>
      <c r="AE2118" s="52" t="s">
        <v>383</v>
      </c>
      <c r="AF2118" s="155" t="s">
        <v>247</v>
      </c>
      <c r="AG2118" s="155" t="s">
        <v>247</v>
      </c>
    </row>
    <row r="2119" spans="25:33">
      <c r="Y2119" s="47">
        <v>5334</v>
      </c>
      <c r="Z2119" s="52" t="s">
        <v>410</v>
      </c>
      <c r="AA2119" s="52" t="s">
        <v>247</v>
      </c>
      <c r="AB2119" s="52" t="s">
        <v>247</v>
      </c>
      <c r="AC2119" s="52" t="s">
        <v>247</v>
      </c>
      <c r="AD2119" s="52" t="s">
        <v>1</v>
      </c>
      <c r="AE2119" s="52" t="s">
        <v>383</v>
      </c>
      <c r="AF2119" s="155" t="s">
        <v>247</v>
      </c>
      <c r="AG2119" s="155" t="s">
        <v>247</v>
      </c>
    </row>
    <row r="2120" spans="25:33">
      <c r="Y2120" s="47">
        <v>5335</v>
      </c>
      <c r="Z2120" s="52" t="s">
        <v>410</v>
      </c>
      <c r="AA2120" s="52" t="s">
        <v>247</v>
      </c>
      <c r="AB2120" s="52" t="s">
        <v>247</v>
      </c>
      <c r="AC2120" s="52" t="s">
        <v>247</v>
      </c>
      <c r="AD2120" s="52" t="s">
        <v>1</v>
      </c>
      <c r="AE2120" s="52" t="s">
        <v>383</v>
      </c>
      <c r="AF2120" s="155" t="s">
        <v>247</v>
      </c>
      <c r="AG2120" s="155" t="s">
        <v>247</v>
      </c>
    </row>
    <row r="2121" spans="25:33">
      <c r="Y2121" s="47">
        <v>5336</v>
      </c>
      <c r="Z2121" s="52" t="s">
        <v>410</v>
      </c>
      <c r="AA2121" s="52" t="s">
        <v>247</v>
      </c>
      <c r="AB2121" s="52" t="s">
        <v>247</v>
      </c>
      <c r="AC2121" s="52" t="s">
        <v>247</v>
      </c>
      <c r="AD2121" s="52" t="s">
        <v>1</v>
      </c>
      <c r="AE2121" s="52" t="s">
        <v>383</v>
      </c>
      <c r="AF2121" s="155" t="s">
        <v>247</v>
      </c>
      <c r="AG2121" s="155" t="s">
        <v>247</v>
      </c>
    </row>
    <row r="2122" spans="25:33">
      <c r="Y2122" s="47">
        <v>5337</v>
      </c>
      <c r="Z2122" s="52" t="s">
        <v>410</v>
      </c>
      <c r="AA2122" s="52" t="s">
        <v>247</v>
      </c>
      <c r="AB2122" s="52" t="s">
        <v>247</v>
      </c>
      <c r="AC2122" s="52" t="s">
        <v>247</v>
      </c>
      <c r="AD2122" s="52" t="s">
        <v>1</v>
      </c>
      <c r="AE2122" s="52" t="s">
        <v>383</v>
      </c>
      <c r="AF2122" s="155" t="s">
        <v>247</v>
      </c>
      <c r="AG2122" s="155" t="s">
        <v>247</v>
      </c>
    </row>
    <row r="2123" spans="25:33">
      <c r="Y2123" s="47">
        <v>5338</v>
      </c>
      <c r="Z2123" s="52" t="s">
        <v>410</v>
      </c>
      <c r="AA2123" s="52" t="s">
        <v>247</v>
      </c>
      <c r="AB2123" s="52" t="s">
        <v>247</v>
      </c>
      <c r="AC2123" s="52" t="s">
        <v>247</v>
      </c>
      <c r="AD2123" s="52" t="s">
        <v>1</v>
      </c>
      <c r="AE2123" s="52" t="s">
        <v>383</v>
      </c>
      <c r="AF2123" s="155" t="s">
        <v>247</v>
      </c>
      <c r="AG2123" s="155" t="s">
        <v>247</v>
      </c>
    </row>
    <row r="2124" spans="25:33">
      <c r="Y2124" s="47">
        <v>5339</v>
      </c>
      <c r="Z2124" s="52" t="s">
        <v>410</v>
      </c>
      <c r="AA2124" s="52" t="s">
        <v>247</v>
      </c>
      <c r="AB2124" s="52" t="s">
        <v>247</v>
      </c>
      <c r="AC2124" s="52" t="s">
        <v>247</v>
      </c>
      <c r="AD2124" s="52" t="s">
        <v>1</v>
      </c>
      <c r="AE2124" s="52" t="s">
        <v>383</v>
      </c>
      <c r="AF2124" s="155" t="s">
        <v>247</v>
      </c>
      <c r="AG2124" s="155" t="s">
        <v>247</v>
      </c>
    </row>
    <row r="2125" spans="25:33">
      <c r="Y2125" s="47">
        <v>5340</v>
      </c>
      <c r="Z2125" s="52" t="s">
        <v>410</v>
      </c>
      <c r="AA2125" s="52" t="s">
        <v>247</v>
      </c>
      <c r="AB2125" s="52" t="s">
        <v>247</v>
      </c>
      <c r="AC2125" s="52" t="s">
        <v>247</v>
      </c>
      <c r="AD2125" s="52" t="s">
        <v>1</v>
      </c>
      <c r="AE2125" s="52" t="s">
        <v>383</v>
      </c>
      <c r="AF2125" s="155" t="s">
        <v>247</v>
      </c>
      <c r="AG2125" s="155" t="s">
        <v>247</v>
      </c>
    </row>
    <row r="2126" spans="25:33">
      <c r="Y2126" s="47">
        <v>5341</v>
      </c>
      <c r="Z2126" s="52" t="s">
        <v>410</v>
      </c>
      <c r="AA2126" s="52" t="s">
        <v>247</v>
      </c>
      <c r="AB2126" s="52" t="s">
        <v>247</v>
      </c>
      <c r="AC2126" s="52" t="s">
        <v>247</v>
      </c>
      <c r="AD2126" s="52" t="s">
        <v>1</v>
      </c>
      <c r="AE2126" s="52" t="s">
        <v>383</v>
      </c>
      <c r="AF2126" s="155" t="s">
        <v>247</v>
      </c>
      <c r="AG2126" s="155" t="s">
        <v>247</v>
      </c>
    </row>
    <row r="2127" spans="25:33">
      <c r="Y2127" s="47">
        <v>5342</v>
      </c>
      <c r="Z2127" s="52" t="s">
        <v>410</v>
      </c>
      <c r="AA2127" s="52" t="s">
        <v>247</v>
      </c>
      <c r="AB2127" s="52" t="s">
        <v>247</v>
      </c>
      <c r="AC2127" s="52" t="s">
        <v>247</v>
      </c>
      <c r="AD2127" s="52" t="s">
        <v>1</v>
      </c>
      <c r="AE2127" s="52" t="s">
        <v>383</v>
      </c>
      <c r="AF2127" s="155" t="s">
        <v>247</v>
      </c>
      <c r="AG2127" s="155" t="s">
        <v>247</v>
      </c>
    </row>
    <row r="2128" spans="25:33">
      <c r="Y2128" s="47">
        <v>5343</v>
      </c>
      <c r="Z2128" s="52" t="s">
        <v>410</v>
      </c>
      <c r="AA2128" s="52" t="s">
        <v>247</v>
      </c>
      <c r="AB2128" s="52" t="s">
        <v>247</v>
      </c>
      <c r="AC2128" s="52" t="s">
        <v>247</v>
      </c>
      <c r="AD2128" s="52" t="s">
        <v>1</v>
      </c>
      <c r="AE2128" s="52" t="s">
        <v>383</v>
      </c>
      <c r="AF2128" s="155" t="s">
        <v>247</v>
      </c>
      <c r="AG2128" s="155" t="s">
        <v>247</v>
      </c>
    </row>
    <row r="2129" spans="25:33">
      <c r="Y2129" s="47">
        <v>5344</v>
      </c>
      <c r="Z2129" s="52" t="s">
        <v>410</v>
      </c>
      <c r="AA2129" s="52" t="s">
        <v>247</v>
      </c>
      <c r="AB2129" s="52" t="s">
        <v>247</v>
      </c>
      <c r="AC2129" s="52" t="s">
        <v>247</v>
      </c>
      <c r="AD2129" s="52" t="s">
        <v>1</v>
      </c>
      <c r="AE2129" s="52" t="s">
        <v>383</v>
      </c>
      <c r="AF2129" s="155" t="s">
        <v>247</v>
      </c>
      <c r="AG2129" s="155" t="s">
        <v>247</v>
      </c>
    </row>
    <row r="2130" spans="25:33">
      <c r="Y2130" s="47">
        <v>5345</v>
      </c>
      <c r="Z2130" s="52" t="s">
        <v>410</v>
      </c>
      <c r="AA2130" s="52" t="s">
        <v>247</v>
      </c>
      <c r="AB2130" s="52" t="s">
        <v>247</v>
      </c>
      <c r="AC2130" s="52" t="s">
        <v>247</v>
      </c>
      <c r="AD2130" s="52" t="s">
        <v>1</v>
      </c>
      <c r="AE2130" s="52" t="s">
        <v>383</v>
      </c>
      <c r="AF2130" s="155" t="s">
        <v>247</v>
      </c>
      <c r="AG2130" s="155" t="s">
        <v>247</v>
      </c>
    </row>
    <row r="2131" spans="25:33">
      <c r="Y2131" s="47">
        <v>5346</v>
      </c>
      <c r="Z2131" s="52" t="s">
        <v>410</v>
      </c>
      <c r="AA2131" s="52" t="s">
        <v>247</v>
      </c>
      <c r="AB2131" s="52" t="s">
        <v>247</v>
      </c>
      <c r="AC2131" s="52" t="s">
        <v>247</v>
      </c>
      <c r="AD2131" s="52" t="s">
        <v>1</v>
      </c>
      <c r="AE2131" s="52" t="s">
        <v>383</v>
      </c>
      <c r="AF2131" s="155" t="s">
        <v>247</v>
      </c>
      <c r="AG2131" s="155" t="s">
        <v>247</v>
      </c>
    </row>
    <row r="2132" spans="25:33">
      <c r="Y2132" s="47">
        <v>5347</v>
      </c>
      <c r="Z2132" s="52" t="s">
        <v>410</v>
      </c>
      <c r="AA2132" s="52" t="s">
        <v>247</v>
      </c>
      <c r="AB2132" s="52" t="s">
        <v>247</v>
      </c>
      <c r="AC2132" s="52" t="s">
        <v>247</v>
      </c>
      <c r="AD2132" s="52" t="s">
        <v>1</v>
      </c>
      <c r="AE2132" s="52" t="s">
        <v>383</v>
      </c>
      <c r="AF2132" s="155" t="s">
        <v>247</v>
      </c>
      <c r="AG2132" s="155" t="s">
        <v>247</v>
      </c>
    </row>
    <row r="2133" spans="25:33">
      <c r="Y2133" s="47">
        <v>5348</v>
      </c>
      <c r="Z2133" s="52" t="s">
        <v>410</v>
      </c>
      <c r="AA2133" s="52" t="s">
        <v>247</v>
      </c>
      <c r="AB2133" s="52" t="s">
        <v>247</v>
      </c>
      <c r="AC2133" s="52" t="s">
        <v>247</v>
      </c>
      <c r="AD2133" s="52" t="s">
        <v>1</v>
      </c>
      <c r="AE2133" s="52" t="s">
        <v>383</v>
      </c>
      <c r="AF2133" s="155" t="s">
        <v>247</v>
      </c>
      <c r="AG2133" s="155" t="s">
        <v>247</v>
      </c>
    </row>
    <row r="2134" spans="25:33">
      <c r="Y2134" s="47">
        <v>5349</v>
      </c>
      <c r="Z2134" s="52" t="s">
        <v>410</v>
      </c>
      <c r="AA2134" s="52" t="s">
        <v>247</v>
      </c>
      <c r="AB2134" s="52" t="s">
        <v>247</v>
      </c>
      <c r="AC2134" s="52" t="s">
        <v>247</v>
      </c>
      <c r="AD2134" s="52" t="s">
        <v>1</v>
      </c>
      <c r="AE2134" s="52" t="s">
        <v>383</v>
      </c>
      <c r="AF2134" s="155" t="s">
        <v>247</v>
      </c>
      <c r="AG2134" s="155" t="s">
        <v>247</v>
      </c>
    </row>
    <row r="2135" spans="25:33">
      <c r="Y2135" s="47">
        <v>5350</v>
      </c>
      <c r="Z2135" s="52" t="s">
        <v>410</v>
      </c>
      <c r="AA2135" s="52" t="s">
        <v>247</v>
      </c>
      <c r="AB2135" s="52" t="s">
        <v>247</v>
      </c>
      <c r="AC2135" s="52" t="s">
        <v>247</v>
      </c>
      <c r="AD2135" s="52" t="s">
        <v>1</v>
      </c>
      <c r="AE2135" s="52" t="s">
        <v>383</v>
      </c>
      <c r="AF2135" s="155" t="s">
        <v>247</v>
      </c>
      <c r="AG2135" s="155" t="s">
        <v>247</v>
      </c>
    </row>
    <row r="2136" spans="25:33">
      <c r="Y2136" s="47">
        <v>5351</v>
      </c>
      <c r="Z2136" s="52" t="s">
        <v>410</v>
      </c>
      <c r="AA2136" s="52" t="s">
        <v>247</v>
      </c>
      <c r="AB2136" s="52" t="s">
        <v>247</v>
      </c>
      <c r="AC2136" s="52" t="s">
        <v>247</v>
      </c>
      <c r="AD2136" s="52" t="s">
        <v>1</v>
      </c>
      <c r="AE2136" s="52" t="s">
        <v>383</v>
      </c>
      <c r="AF2136" s="155" t="s">
        <v>247</v>
      </c>
      <c r="AG2136" s="155" t="s">
        <v>247</v>
      </c>
    </row>
    <row r="2137" spans="25:33">
      <c r="Y2137" s="47">
        <v>5352</v>
      </c>
      <c r="Z2137" s="52" t="s">
        <v>410</v>
      </c>
      <c r="AA2137" s="52" t="s">
        <v>247</v>
      </c>
      <c r="AB2137" s="52" t="s">
        <v>247</v>
      </c>
      <c r="AC2137" s="52" t="s">
        <v>247</v>
      </c>
      <c r="AD2137" s="52" t="s">
        <v>1</v>
      </c>
      <c r="AE2137" s="52" t="s">
        <v>383</v>
      </c>
      <c r="AF2137" s="155" t="s">
        <v>247</v>
      </c>
      <c r="AG2137" s="155" t="s">
        <v>247</v>
      </c>
    </row>
    <row r="2138" spans="25:33">
      <c r="Y2138" s="47">
        <v>5353</v>
      </c>
      <c r="Z2138" s="52" t="s">
        <v>410</v>
      </c>
      <c r="AA2138" s="52" t="s">
        <v>247</v>
      </c>
      <c r="AB2138" s="52" t="s">
        <v>247</v>
      </c>
      <c r="AC2138" s="52" t="s">
        <v>247</v>
      </c>
      <c r="AD2138" s="52" t="s">
        <v>1</v>
      </c>
      <c r="AE2138" s="52" t="s">
        <v>383</v>
      </c>
      <c r="AF2138" s="155" t="s">
        <v>247</v>
      </c>
      <c r="AG2138" s="155" t="s">
        <v>247</v>
      </c>
    </row>
    <row r="2139" spans="25:33">
      <c r="Y2139" s="47">
        <v>5354</v>
      </c>
      <c r="Z2139" s="52" t="s">
        <v>410</v>
      </c>
      <c r="AA2139" s="52" t="s">
        <v>247</v>
      </c>
      <c r="AB2139" s="52" t="s">
        <v>247</v>
      </c>
      <c r="AC2139" s="52" t="s">
        <v>247</v>
      </c>
      <c r="AD2139" s="52" t="s">
        <v>1</v>
      </c>
      <c r="AE2139" s="52" t="s">
        <v>383</v>
      </c>
      <c r="AF2139" s="155" t="s">
        <v>247</v>
      </c>
      <c r="AG2139" s="155" t="s">
        <v>247</v>
      </c>
    </row>
    <row r="2140" spans="25:33">
      <c r="Y2140" s="47">
        <v>5355</v>
      </c>
      <c r="Z2140" s="52" t="s">
        <v>410</v>
      </c>
      <c r="AA2140" s="52" t="s">
        <v>247</v>
      </c>
      <c r="AB2140" s="52" t="s">
        <v>247</v>
      </c>
      <c r="AC2140" s="52" t="s">
        <v>247</v>
      </c>
      <c r="AD2140" s="52" t="s">
        <v>1</v>
      </c>
      <c r="AE2140" s="52" t="s">
        <v>383</v>
      </c>
      <c r="AF2140" s="155" t="s">
        <v>247</v>
      </c>
      <c r="AG2140" s="155" t="s">
        <v>247</v>
      </c>
    </row>
    <row r="2141" spans="25:33">
      <c r="Y2141" s="47">
        <v>5356</v>
      </c>
      <c r="Z2141" s="52" t="s">
        <v>410</v>
      </c>
      <c r="AA2141" s="52" t="s">
        <v>247</v>
      </c>
      <c r="AB2141" s="52" t="s">
        <v>247</v>
      </c>
      <c r="AC2141" s="52" t="s">
        <v>247</v>
      </c>
      <c r="AD2141" s="52" t="s">
        <v>1</v>
      </c>
      <c r="AE2141" s="52" t="s">
        <v>383</v>
      </c>
      <c r="AF2141" s="155" t="s">
        <v>247</v>
      </c>
      <c r="AG2141" s="155" t="s">
        <v>247</v>
      </c>
    </row>
    <row r="2142" spans="25:33">
      <c r="Y2142" s="47">
        <v>5357</v>
      </c>
      <c r="Z2142" s="52" t="s">
        <v>410</v>
      </c>
      <c r="AA2142" s="52" t="s">
        <v>247</v>
      </c>
      <c r="AB2142" s="52" t="s">
        <v>247</v>
      </c>
      <c r="AC2142" s="52" t="s">
        <v>247</v>
      </c>
      <c r="AD2142" s="52" t="s">
        <v>1</v>
      </c>
      <c r="AE2142" s="52" t="s">
        <v>383</v>
      </c>
      <c r="AF2142" s="155" t="s">
        <v>247</v>
      </c>
      <c r="AG2142" s="155" t="s">
        <v>247</v>
      </c>
    </row>
    <row r="2143" spans="25:33">
      <c r="Y2143" s="47">
        <v>5358</v>
      </c>
      <c r="Z2143" s="52" t="s">
        <v>410</v>
      </c>
      <c r="AA2143" s="52" t="s">
        <v>247</v>
      </c>
      <c r="AB2143" s="52" t="s">
        <v>247</v>
      </c>
      <c r="AC2143" s="52" t="s">
        <v>247</v>
      </c>
      <c r="AD2143" s="52" t="s">
        <v>1</v>
      </c>
      <c r="AE2143" s="52" t="s">
        <v>383</v>
      </c>
      <c r="AF2143" s="155" t="s">
        <v>247</v>
      </c>
      <c r="AG2143" s="155" t="s">
        <v>247</v>
      </c>
    </row>
    <row r="2144" spans="25:33">
      <c r="Y2144" s="47">
        <v>5359</v>
      </c>
      <c r="Z2144" s="52" t="s">
        <v>410</v>
      </c>
      <c r="AA2144" s="52" t="s">
        <v>247</v>
      </c>
      <c r="AB2144" s="52" t="s">
        <v>247</v>
      </c>
      <c r="AC2144" s="52" t="s">
        <v>247</v>
      </c>
      <c r="AD2144" s="52" t="s">
        <v>1</v>
      </c>
      <c r="AE2144" s="52" t="s">
        <v>383</v>
      </c>
      <c r="AF2144" s="155" t="s">
        <v>247</v>
      </c>
      <c r="AG2144" s="155" t="s">
        <v>247</v>
      </c>
    </row>
    <row r="2145" spans="25:33">
      <c r="Y2145" s="47">
        <v>5360</v>
      </c>
      <c r="Z2145" s="52" t="s">
        <v>410</v>
      </c>
      <c r="AA2145" s="52" t="s">
        <v>247</v>
      </c>
      <c r="AB2145" s="52" t="s">
        <v>247</v>
      </c>
      <c r="AC2145" s="52" t="s">
        <v>247</v>
      </c>
      <c r="AD2145" s="52" t="s">
        <v>1</v>
      </c>
      <c r="AE2145" s="52" t="s">
        <v>383</v>
      </c>
      <c r="AF2145" s="155" t="s">
        <v>247</v>
      </c>
      <c r="AG2145" s="155" t="s">
        <v>247</v>
      </c>
    </row>
    <row r="2146" spans="25:33">
      <c r="Y2146" s="47">
        <v>5361</v>
      </c>
      <c r="Z2146" s="52" t="s">
        <v>410</v>
      </c>
      <c r="AA2146" s="52" t="s">
        <v>247</v>
      </c>
      <c r="AB2146" s="52" t="s">
        <v>247</v>
      </c>
      <c r="AC2146" s="52" t="s">
        <v>247</v>
      </c>
      <c r="AD2146" s="52" t="s">
        <v>1</v>
      </c>
      <c r="AE2146" s="52" t="s">
        <v>383</v>
      </c>
      <c r="AF2146" s="155" t="s">
        <v>247</v>
      </c>
      <c r="AG2146" s="155" t="s">
        <v>247</v>
      </c>
    </row>
    <row r="2147" spans="25:33">
      <c r="Y2147" s="47">
        <v>5362</v>
      </c>
      <c r="Z2147" s="52" t="s">
        <v>410</v>
      </c>
      <c r="AA2147" s="52" t="s">
        <v>247</v>
      </c>
      <c r="AB2147" s="52" t="s">
        <v>247</v>
      </c>
      <c r="AC2147" s="52" t="s">
        <v>247</v>
      </c>
      <c r="AD2147" s="52" t="s">
        <v>1</v>
      </c>
      <c r="AE2147" s="52" t="s">
        <v>383</v>
      </c>
      <c r="AF2147" s="155" t="s">
        <v>247</v>
      </c>
      <c r="AG2147" s="155" t="s">
        <v>247</v>
      </c>
    </row>
    <row r="2148" spans="25:33">
      <c r="Y2148" s="47">
        <v>5363</v>
      </c>
      <c r="Z2148" s="52" t="s">
        <v>410</v>
      </c>
      <c r="AA2148" s="52" t="s">
        <v>247</v>
      </c>
      <c r="AB2148" s="52" t="s">
        <v>247</v>
      </c>
      <c r="AC2148" s="52" t="s">
        <v>247</v>
      </c>
      <c r="AD2148" s="52" t="s">
        <v>1</v>
      </c>
      <c r="AE2148" s="52" t="s">
        <v>383</v>
      </c>
      <c r="AF2148" s="155" t="s">
        <v>247</v>
      </c>
      <c r="AG2148" s="155" t="s">
        <v>247</v>
      </c>
    </row>
    <row r="2149" spans="25:33">
      <c r="Y2149" s="47">
        <v>5364</v>
      </c>
      <c r="Z2149" s="52" t="s">
        <v>410</v>
      </c>
      <c r="AA2149" s="52" t="s">
        <v>247</v>
      </c>
      <c r="AB2149" s="52" t="s">
        <v>247</v>
      </c>
      <c r="AC2149" s="52" t="s">
        <v>247</v>
      </c>
      <c r="AD2149" s="52" t="s">
        <v>1</v>
      </c>
      <c r="AE2149" s="52" t="s">
        <v>383</v>
      </c>
      <c r="AF2149" s="155" t="s">
        <v>247</v>
      </c>
      <c r="AG2149" s="155" t="s">
        <v>247</v>
      </c>
    </row>
    <row r="2150" spans="25:33">
      <c r="Y2150" s="47">
        <v>5365</v>
      </c>
      <c r="Z2150" s="52" t="s">
        <v>410</v>
      </c>
      <c r="AA2150" s="52" t="s">
        <v>247</v>
      </c>
      <c r="AB2150" s="52" t="s">
        <v>247</v>
      </c>
      <c r="AC2150" s="52" t="s">
        <v>247</v>
      </c>
      <c r="AD2150" s="52" t="s">
        <v>1</v>
      </c>
      <c r="AE2150" s="52" t="s">
        <v>383</v>
      </c>
      <c r="AF2150" s="155" t="s">
        <v>247</v>
      </c>
      <c r="AG2150" s="155" t="s">
        <v>247</v>
      </c>
    </row>
    <row r="2151" spans="25:33">
      <c r="Y2151" s="47">
        <v>5366</v>
      </c>
      <c r="Z2151" s="52" t="s">
        <v>410</v>
      </c>
      <c r="AA2151" s="52" t="s">
        <v>247</v>
      </c>
      <c r="AB2151" s="52" t="s">
        <v>247</v>
      </c>
      <c r="AC2151" s="52" t="s">
        <v>247</v>
      </c>
      <c r="AD2151" s="52" t="s">
        <v>1</v>
      </c>
      <c r="AE2151" s="52" t="s">
        <v>383</v>
      </c>
      <c r="AF2151" s="155" t="s">
        <v>247</v>
      </c>
      <c r="AG2151" s="155" t="s">
        <v>247</v>
      </c>
    </row>
    <row r="2152" spans="25:33">
      <c r="Y2152" s="47">
        <v>5367</v>
      </c>
      <c r="Z2152" s="52" t="s">
        <v>410</v>
      </c>
      <c r="AA2152" s="52" t="s">
        <v>247</v>
      </c>
      <c r="AB2152" s="52" t="s">
        <v>247</v>
      </c>
      <c r="AC2152" s="52" t="s">
        <v>247</v>
      </c>
      <c r="AD2152" s="52" t="s">
        <v>1</v>
      </c>
      <c r="AE2152" s="52" t="s">
        <v>383</v>
      </c>
      <c r="AF2152" s="155" t="s">
        <v>247</v>
      </c>
      <c r="AG2152" s="155" t="s">
        <v>247</v>
      </c>
    </row>
    <row r="2153" spans="25:33">
      <c r="Y2153" s="47">
        <v>5368</v>
      </c>
      <c r="Z2153" s="52" t="s">
        <v>410</v>
      </c>
      <c r="AA2153" s="52" t="s">
        <v>247</v>
      </c>
      <c r="AB2153" s="52" t="s">
        <v>247</v>
      </c>
      <c r="AC2153" s="52" t="s">
        <v>247</v>
      </c>
      <c r="AD2153" s="52" t="s">
        <v>1</v>
      </c>
      <c r="AE2153" s="52" t="s">
        <v>383</v>
      </c>
      <c r="AF2153" s="155" t="s">
        <v>247</v>
      </c>
      <c r="AG2153" s="155" t="s">
        <v>247</v>
      </c>
    </row>
    <row r="2154" spans="25:33">
      <c r="Y2154" s="47">
        <v>5369</v>
      </c>
      <c r="Z2154" s="52" t="s">
        <v>410</v>
      </c>
      <c r="AA2154" s="52" t="s">
        <v>247</v>
      </c>
      <c r="AB2154" s="52" t="s">
        <v>247</v>
      </c>
      <c r="AC2154" s="52" t="s">
        <v>247</v>
      </c>
      <c r="AD2154" s="52" t="s">
        <v>1</v>
      </c>
      <c r="AE2154" s="52" t="s">
        <v>383</v>
      </c>
      <c r="AF2154" s="155" t="s">
        <v>247</v>
      </c>
      <c r="AG2154" s="155" t="s">
        <v>247</v>
      </c>
    </row>
    <row r="2155" spans="25:33">
      <c r="Y2155" s="47">
        <v>5370</v>
      </c>
      <c r="Z2155" s="52" t="s">
        <v>410</v>
      </c>
      <c r="AA2155" s="52" t="s">
        <v>247</v>
      </c>
      <c r="AB2155" s="52" t="s">
        <v>247</v>
      </c>
      <c r="AC2155" s="52" t="s">
        <v>247</v>
      </c>
      <c r="AD2155" s="52" t="s">
        <v>1</v>
      </c>
      <c r="AE2155" s="52" t="s">
        <v>383</v>
      </c>
      <c r="AF2155" s="155" t="s">
        <v>247</v>
      </c>
      <c r="AG2155" s="155" t="s">
        <v>247</v>
      </c>
    </row>
    <row r="2156" spans="25:33">
      <c r="Y2156" s="47">
        <v>5371</v>
      </c>
      <c r="Z2156" s="52" t="s">
        <v>410</v>
      </c>
      <c r="AA2156" s="52" t="s">
        <v>247</v>
      </c>
      <c r="AB2156" s="52" t="s">
        <v>247</v>
      </c>
      <c r="AC2156" s="52" t="s">
        <v>247</v>
      </c>
      <c r="AD2156" s="52" t="s">
        <v>1</v>
      </c>
      <c r="AE2156" s="52" t="s">
        <v>383</v>
      </c>
      <c r="AF2156" s="155" t="s">
        <v>247</v>
      </c>
      <c r="AG2156" s="155" t="s">
        <v>247</v>
      </c>
    </row>
    <row r="2157" spans="25:33">
      <c r="Y2157" s="47">
        <v>5372</v>
      </c>
      <c r="Z2157" s="52" t="s">
        <v>410</v>
      </c>
      <c r="AA2157" s="52" t="s">
        <v>247</v>
      </c>
      <c r="AB2157" s="52" t="s">
        <v>247</v>
      </c>
      <c r="AC2157" s="52" t="s">
        <v>247</v>
      </c>
      <c r="AD2157" s="52" t="s">
        <v>1</v>
      </c>
      <c r="AE2157" s="52" t="s">
        <v>383</v>
      </c>
      <c r="AF2157" s="155" t="s">
        <v>247</v>
      </c>
      <c r="AG2157" s="155" t="s">
        <v>247</v>
      </c>
    </row>
    <row r="2158" spans="25:33">
      <c r="Y2158" s="47">
        <v>5373</v>
      </c>
      <c r="Z2158" s="52" t="s">
        <v>410</v>
      </c>
      <c r="AA2158" s="52" t="s">
        <v>247</v>
      </c>
      <c r="AB2158" s="52" t="s">
        <v>247</v>
      </c>
      <c r="AC2158" s="52" t="s">
        <v>247</v>
      </c>
      <c r="AD2158" s="52" t="s">
        <v>1</v>
      </c>
      <c r="AE2158" s="52" t="s">
        <v>383</v>
      </c>
      <c r="AF2158" s="155" t="s">
        <v>247</v>
      </c>
      <c r="AG2158" s="155" t="s">
        <v>247</v>
      </c>
    </row>
    <row r="2159" spans="25:33">
      <c r="Y2159" s="47">
        <v>5374</v>
      </c>
      <c r="Z2159" s="52" t="s">
        <v>410</v>
      </c>
      <c r="AA2159" s="52" t="s">
        <v>247</v>
      </c>
      <c r="AB2159" s="52" t="s">
        <v>247</v>
      </c>
      <c r="AC2159" s="52" t="s">
        <v>247</v>
      </c>
      <c r="AD2159" s="52" t="s">
        <v>1</v>
      </c>
      <c r="AE2159" s="52" t="s">
        <v>383</v>
      </c>
      <c r="AF2159" s="155" t="s">
        <v>247</v>
      </c>
      <c r="AG2159" s="155" t="s">
        <v>247</v>
      </c>
    </row>
    <row r="2160" spans="25:33">
      <c r="Y2160" s="47">
        <v>5375</v>
      </c>
      <c r="Z2160" s="52" t="s">
        <v>410</v>
      </c>
      <c r="AA2160" s="52" t="s">
        <v>247</v>
      </c>
      <c r="AB2160" s="52" t="s">
        <v>247</v>
      </c>
      <c r="AC2160" s="52" t="s">
        <v>247</v>
      </c>
      <c r="AD2160" s="52" t="s">
        <v>1</v>
      </c>
      <c r="AE2160" s="52" t="s">
        <v>383</v>
      </c>
      <c r="AF2160" s="155" t="s">
        <v>247</v>
      </c>
      <c r="AG2160" s="155" t="s">
        <v>247</v>
      </c>
    </row>
    <row r="2161" spans="25:33">
      <c r="Y2161" s="47">
        <v>5376</v>
      </c>
      <c r="Z2161" s="52" t="s">
        <v>410</v>
      </c>
      <c r="AA2161" s="52" t="s">
        <v>247</v>
      </c>
      <c r="AB2161" s="52" t="s">
        <v>247</v>
      </c>
      <c r="AC2161" s="52" t="s">
        <v>247</v>
      </c>
      <c r="AD2161" s="52" t="s">
        <v>1</v>
      </c>
      <c r="AE2161" s="52" t="s">
        <v>383</v>
      </c>
      <c r="AF2161" s="155" t="s">
        <v>247</v>
      </c>
      <c r="AG2161" s="155" t="s">
        <v>247</v>
      </c>
    </row>
    <row r="2162" spans="25:33">
      <c r="Y2162" s="47">
        <v>5377</v>
      </c>
      <c r="Z2162" s="52" t="s">
        <v>410</v>
      </c>
      <c r="AA2162" s="52" t="s">
        <v>247</v>
      </c>
      <c r="AB2162" s="52" t="s">
        <v>247</v>
      </c>
      <c r="AC2162" s="52" t="s">
        <v>247</v>
      </c>
      <c r="AD2162" s="52" t="s">
        <v>1</v>
      </c>
      <c r="AE2162" s="52" t="s">
        <v>383</v>
      </c>
      <c r="AF2162" s="155" t="s">
        <v>247</v>
      </c>
      <c r="AG2162" s="155" t="s">
        <v>247</v>
      </c>
    </row>
    <row r="2163" spans="25:33">
      <c r="Y2163" s="47">
        <v>5378</v>
      </c>
      <c r="Z2163" s="52" t="s">
        <v>410</v>
      </c>
      <c r="AA2163" s="52" t="s">
        <v>247</v>
      </c>
      <c r="AB2163" s="52" t="s">
        <v>247</v>
      </c>
      <c r="AC2163" s="52" t="s">
        <v>247</v>
      </c>
      <c r="AD2163" s="52" t="s">
        <v>1</v>
      </c>
      <c r="AE2163" s="52" t="s">
        <v>383</v>
      </c>
      <c r="AF2163" s="155" t="s">
        <v>247</v>
      </c>
      <c r="AG2163" s="155" t="s">
        <v>247</v>
      </c>
    </row>
    <row r="2164" spans="25:33">
      <c r="Y2164" s="47">
        <v>5379</v>
      </c>
      <c r="Z2164" s="52" t="s">
        <v>410</v>
      </c>
      <c r="AA2164" s="52" t="s">
        <v>247</v>
      </c>
      <c r="AB2164" s="52" t="s">
        <v>247</v>
      </c>
      <c r="AC2164" s="52" t="s">
        <v>247</v>
      </c>
      <c r="AD2164" s="52" t="s">
        <v>1</v>
      </c>
      <c r="AE2164" s="52" t="s">
        <v>383</v>
      </c>
      <c r="AF2164" s="155" t="s">
        <v>247</v>
      </c>
      <c r="AG2164" s="155" t="s">
        <v>247</v>
      </c>
    </row>
    <row r="2165" spans="25:33">
      <c r="Y2165" s="47">
        <v>5380</v>
      </c>
      <c r="Z2165" s="52" t="s">
        <v>410</v>
      </c>
      <c r="AA2165" s="52" t="s">
        <v>247</v>
      </c>
      <c r="AB2165" s="52" t="s">
        <v>247</v>
      </c>
      <c r="AC2165" s="52" t="s">
        <v>247</v>
      </c>
      <c r="AD2165" s="52" t="s">
        <v>1</v>
      </c>
      <c r="AE2165" s="52" t="s">
        <v>383</v>
      </c>
      <c r="AF2165" s="155" t="s">
        <v>247</v>
      </c>
      <c r="AG2165" s="155" t="s">
        <v>247</v>
      </c>
    </row>
    <row r="2166" spans="25:33">
      <c r="Y2166" s="47">
        <v>5381</v>
      </c>
      <c r="Z2166" s="52" t="s">
        <v>410</v>
      </c>
      <c r="AA2166" s="52" t="s">
        <v>247</v>
      </c>
      <c r="AB2166" s="52" t="s">
        <v>247</v>
      </c>
      <c r="AC2166" s="52" t="s">
        <v>247</v>
      </c>
      <c r="AD2166" s="52" t="s">
        <v>1</v>
      </c>
      <c r="AE2166" s="52" t="s">
        <v>383</v>
      </c>
      <c r="AF2166" s="155" t="s">
        <v>247</v>
      </c>
      <c r="AG2166" s="155" t="s">
        <v>247</v>
      </c>
    </row>
    <row r="2167" spans="25:33">
      <c r="Y2167" s="47">
        <v>5382</v>
      </c>
      <c r="Z2167" s="52" t="s">
        <v>410</v>
      </c>
      <c r="AA2167" s="52" t="s">
        <v>247</v>
      </c>
      <c r="AB2167" s="52" t="s">
        <v>247</v>
      </c>
      <c r="AC2167" s="52" t="s">
        <v>247</v>
      </c>
      <c r="AD2167" s="52" t="s">
        <v>1</v>
      </c>
      <c r="AE2167" s="52" t="s">
        <v>383</v>
      </c>
      <c r="AF2167" s="155" t="s">
        <v>247</v>
      </c>
      <c r="AG2167" s="155" t="s">
        <v>247</v>
      </c>
    </row>
    <row r="2168" spans="25:33">
      <c r="Y2168" s="47">
        <v>5383</v>
      </c>
      <c r="Z2168" s="52" t="s">
        <v>410</v>
      </c>
      <c r="AA2168" s="52" t="s">
        <v>247</v>
      </c>
      <c r="AB2168" s="52" t="s">
        <v>247</v>
      </c>
      <c r="AC2168" s="52" t="s">
        <v>247</v>
      </c>
      <c r="AD2168" s="52" t="s">
        <v>1</v>
      </c>
      <c r="AE2168" s="52" t="s">
        <v>383</v>
      </c>
      <c r="AF2168" s="155" t="s">
        <v>247</v>
      </c>
      <c r="AG2168" s="155" t="s">
        <v>247</v>
      </c>
    </row>
    <row r="2169" spans="25:33">
      <c r="Y2169" s="47">
        <v>5384</v>
      </c>
      <c r="Z2169" s="52" t="s">
        <v>410</v>
      </c>
      <c r="AA2169" s="52" t="s">
        <v>247</v>
      </c>
      <c r="AB2169" s="52" t="s">
        <v>247</v>
      </c>
      <c r="AC2169" s="52" t="s">
        <v>247</v>
      </c>
      <c r="AD2169" s="52" t="s">
        <v>1</v>
      </c>
      <c r="AE2169" s="52" t="s">
        <v>383</v>
      </c>
      <c r="AF2169" s="155" t="s">
        <v>247</v>
      </c>
      <c r="AG2169" s="155" t="s">
        <v>247</v>
      </c>
    </row>
    <row r="2170" spans="25:33">
      <c r="Y2170" s="47">
        <v>5385</v>
      </c>
      <c r="Z2170" s="52" t="s">
        <v>410</v>
      </c>
      <c r="AA2170" s="52" t="s">
        <v>247</v>
      </c>
      <c r="AB2170" s="52" t="s">
        <v>247</v>
      </c>
      <c r="AC2170" s="52" t="s">
        <v>247</v>
      </c>
      <c r="AD2170" s="52" t="s">
        <v>1</v>
      </c>
      <c r="AE2170" s="52" t="s">
        <v>383</v>
      </c>
      <c r="AF2170" s="155" t="s">
        <v>247</v>
      </c>
      <c r="AG2170" s="155" t="s">
        <v>247</v>
      </c>
    </row>
    <row r="2171" spans="25:33">
      <c r="Y2171" s="47">
        <v>5386</v>
      </c>
      <c r="Z2171" s="52" t="s">
        <v>410</v>
      </c>
      <c r="AA2171" s="52" t="s">
        <v>247</v>
      </c>
      <c r="AB2171" s="52" t="s">
        <v>247</v>
      </c>
      <c r="AC2171" s="52" t="s">
        <v>247</v>
      </c>
      <c r="AD2171" s="52" t="s">
        <v>1</v>
      </c>
      <c r="AE2171" s="52" t="s">
        <v>383</v>
      </c>
      <c r="AF2171" s="155" t="s">
        <v>247</v>
      </c>
      <c r="AG2171" s="155" t="s">
        <v>247</v>
      </c>
    </row>
    <row r="2172" spans="25:33">
      <c r="Y2172" s="47">
        <v>5387</v>
      </c>
      <c r="Z2172" s="52" t="s">
        <v>410</v>
      </c>
      <c r="AA2172" s="52" t="s">
        <v>247</v>
      </c>
      <c r="AB2172" s="52" t="s">
        <v>247</v>
      </c>
      <c r="AC2172" s="52" t="s">
        <v>247</v>
      </c>
      <c r="AD2172" s="52" t="s">
        <v>1</v>
      </c>
      <c r="AE2172" s="52" t="s">
        <v>383</v>
      </c>
      <c r="AF2172" s="155" t="s">
        <v>247</v>
      </c>
      <c r="AG2172" s="155" t="s">
        <v>247</v>
      </c>
    </row>
    <row r="2173" spans="25:33">
      <c r="Y2173" s="47">
        <v>5388</v>
      </c>
      <c r="Z2173" s="52" t="s">
        <v>410</v>
      </c>
      <c r="AA2173" s="52" t="s">
        <v>247</v>
      </c>
      <c r="AB2173" s="52" t="s">
        <v>247</v>
      </c>
      <c r="AC2173" s="52" t="s">
        <v>247</v>
      </c>
      <c r="AD2173" s="52" t="s">
        <v>1</v>
      </c>
      <c r="AE2173" s="52" t="s">
        <v>383</v>
      </c>
      <c r="AF2173" s="155" t="s">
        <v>247</v>
      </c>
      <c r="AG2173" s="155" t="s">
        <v>247</v>
      </c>
    </row>
    <row r="2174" spans="25:33">
      <c r="Y2174" s="47">
        <v>5389</v>
      </c>
      <c r="Z2174" s="52" t="s">
        <v>410</v>
      </c>
      <c r="AA2174" s="52" t="s">
        <v>247</v>
      </c>
      <c r="AB2174" s="52" t="s">
        <v>247</v>
      </c>
      <c r="AC2174" s="52" t="s">
        <v>247</v>
      </c>
      <c r="AD2174" s="52" t="s">
        <v>1</v>
      </c>
      <c r="AE2174" s="52" t="s">
        <v>383</v>
      </c>
      <c r="AF2174" s="155" t="s">
        <v>247</v>
      </c>
      <c r="AG2174" s="155" t="s">
        <v>247</v>
      </c>
    </row>
    <row r="2175" spans="25:33">
      <c r="Y2175" s="47">
        <v>5390</v>
      </c>
      <c r="Z2175" s="52" t="s">
        <v>410</v>
      </c>
      <c r="AA2175" s="52" t="s">
        <v>247</v>
      </c>
      <c r="AB2175" s="52" t="s">
        <v>247</v>
      </c>
      <c r="AC2175" s="52" t="s">
        <v>247</v>
      </c>
      <c r="AD2175" s="52" t="s">
        <v>1</v>
      </c>
      <c r="AE2175" s="52" t="s">
        <v>383</v>
      </c>
      <c r="AF2175" s="155" t="s">
        <v>247</v>
      </c>
      <c r="AG2175" s="155" t="s">
        <v>247</v>
      </c>
    </row>
    <row r="2176" spans="25:33">
      <c r="Y2176" s="47">
        <v>5391</v>
      </c>
      <c r="Z2176" s="52" t="s">
        <v>410</v>
      </c>
      <c r="AA2176" s="52" t="s">
        <v>247</v>
      </c>
      <c r="AB2176" s="52" t="s">
        <v>247</v>
      </c>
      <c r="AC2176" s="52" t="s">
        <v>247</v>
      </c>
      <c r="AD2176" s="52" t="s">
        <v>1</v>
      </c>
      <c r="AE2176" s="52" t="s">
        <v>383</v>
      </c>
      <c r="AF2176" s="155" t="s">
        <v>247</v>
      </c>
      <c r="AG2176" s="155" t="s">
        <v>247</v>
      </c>
    </row>
    <row r="2177" spans="25:33">
      <c r="Y2177" s="47">
        <v>5392</v>
      </c>
      <c r="Z2177" s="52" t="s">
        <v>410</v>
      </c>
      <c r="AA2177" s="52" t="s">
        <v>247</v>
      </c>
      <c r="AB2177" s="52" t="s">
        <v>247</v>
      </c>
      <c r="AC2177" s="52" t="s">
        <v>247</v>
      </c>
      <c r="AD2177" s="52" t="s">
        <v>1</v>
      </c>
      <c r="AE2177" s="52" t="s">
        <v>383</v>
      </c>
      <c r="AF2177" s="155" t="s">
        <v>247</v>
      </c>
      <c r="AG2177" s="155" t="s">
        <v>247</v>
      </c>
    </row>
    <row r="2178" spans="25:33">
      <c r="Y2178" s="47">
        <v>5393</v>
      </c>
      <c r="Z2178" s="52" t="s">
        <v>410</v>
      </c>
      <c r="AA2178" s="52" t="s">
        <v>247</v>
      </c>
      <c r="AB2178" s="52" t="s">
        <v>247</v>
      </c>
      <c r="AC2178" s="52" t="s">
        <v>247</v>
      </c>
      <c r="AD2178" s="52" t="s">
        <v>1</v>
      </c>
      <c r="AE2178" s="52" t="s">
        <v>383</v>
      </c>
      <c r="AF2178" s="155" t="s">
        <v>247</v>
      </c>
      <c r="AG2178" s="155" t="s">
        <v>247</v>
      </c>
    </row>
    <row r="2179" spans="25:33">
      <c r="Y2179" s="47">
        <v>5394</v>
      </c>
      <c r="Z2179" s="52" t="s">
        <v>410</v>
      </c>
      <c r="AA2179" s="52" t="s">
        <v>247</v>
      </c>
      <c r="AB2179" s="52" t="s">
        <v>247</v>
      </c>
      <c r="AC2179" s="52" t="s">
        <v>247</v>
      </c>
      <c r="AD2179" s="52" t="s">
        <v>1</v>
      </c>
      <c r="AE2179" s="52" t="s">
        <v>383</v>
      </c>
      <c r="AF2179" s="155" t="s">
        <v>247</v>
      </c>
      <c r="AG2179" s="155" t="s">
        <v>247</v>
      </c>
    </row>
    <row r="2180" spans="25:33">
      <c r="Y2180" s="47">
        <v>5395</v>
      </c>
      <c r="Z2180" s="52" t="s">
        <v>410</v>
      </c>
      <c r="AA2180" s="52" t="s">
        <v>247</v>
      </c>
      <c r="AB2180" s="52" t="s">
        <v>247</v>
      </c>
      <c r="AC2180" s="52" t="s">
        <v>247</v>
      </c>
      <c r="AD2180" s="52" t="s">
        <v>1</v>
      </c>
      <c r="AE2180" s="52" t="s">
        <v>383</v>
      </c>
      <c r="AF2180" s="155" t="s">
        <v>247</v>
      </c>
      <c r="AG2180" s="155" t="s">
        <v>247</v>
      </c>
    </row>
    <row r="2181" spans="25:33">
      <c r="Y2181" s="47">
        <v>5396</v>
      </c>
      <c r="Z2181" s="52" t="s">
        <v>410</v>
      </c>
      <c r="AA2181" s="52" t="s">
        <v>247</v>
      </c>
      <c r="AB2181" s="52" t="s">
        <v>247</v>
      </c>
      <c r="AC2181" s="52" t="s">
        <v>247</v>
      </c>
      <c r="AD2181" s="52" t="s">
        <v>1</v>
      </c>
      <c r="AE2181" s="52" t="s">
        <v>383</v>
      </c>
      <c r="AF2181" s="155" t="s">
        <v>247</v>
      </c>
      <c r="AG2181" s="155" t="s">
        <v>247</v>
      </c>
    </row>
    <row r="2182" spans="25:33">
      <c r="Y2182" s="47">
        <v>5397</v>
      </c>
      <c r="Z2182" s="52" t="s">
        <v>410</v>
      </c>
      <c r="AA2182" s="52" t="s">
        <v>247</v>
      </c>
      <c r="AB2182" s="52" t="s">
        <v>247</v>
      </c>
      <c r="AC2182" s="52" t="s">
        <v>247</v>
      </c>
      <c r="AD2182" s="52" t="s">
        <v>1</v>
      </c>
      <c r="AE2182" s="52" t="s">
        <v>383</v>
      </c>
      <c r="AF2182" s="155" t="s">
        <v>247</v>
      </c>
      <c r="AG2182" s="155" t="s">
        <v>247</v>
      </c>
    </row>
    <row r="2183" spans="25:33">
      <c r="Y2183" s="47">
        <v>5398</v>
      </c>
      <c r="Z2183" s="52" t="s">
        <v>410</v>
      </c>
      <c r="AA2183" s="52" t="s">
        <v>247</v>
      </c>
      <c r="AB2183" s="52" t="s">
        <v>247</v>
      </c>
      <c r="AC2183" s="52" t="s">
        <v>247</v>
      </c>
      <c r="AD2183" s="52" t="s">
        <v>1</v>
      </c>
      <c r="AE2183" s="52" t="s">
        <v>383</v>
      </c>
      <c r="AF2183" s="155" t="s">
        <v>247</v>
      </c>
      <c r="AG2183" s="155" t="s">
        <v>247</v>
      </c>
    </row>
    <row r="2184" spans="25:33">
      <c r="Y2184" s="47">
        <v>5399</v>
      </c>
      <c r="Z2184" s="52" t="s">
        <v>410</v>
      </c>
      <c r="AA2184" s="52" t="s">
        <v>247</v>
      </c>
      <c r="AB2184" s="52" t="s">
        <v>247</v>
      </c>
      <c r="AC2184" s="52" t="s">
        <v>247</v>
      </c>
      <c r="AD2184" s="52" t="s">
        <v>1</v>
      </c>
      <c r="AE2184" s="52" t="s">
        <v>383</v>
      </c>
      <c r="AF2184" s="155" t="s">
        <v>247</v>
      </c>
      <c r="AG2184" s="155" t="s">
        <v>247</v>
      </c>
    </row>
    <row r="2185" spans="25:33">
      <c r="Y2185" s="47">
        <v>5400</v>
      </c>
      <c r="Z2185" s="52" t="s">
        <v>410</v>
      </c>
      <c r="AA2185" s="52" t="s">
        <v>247</v>
      </c>
      <c r="AB2185" s="52" t="s">
        <v>247</v>
      </c>
      <c r="AC2185" s="52" t="s">
        <v>247</v>
      </c>
      <c r="AD2185" s="52" t="s">
        <v>1</v>
      </c>
      <c r="AE2185" s="52" t="s">
        <v>383</v>
      </c>
      <c r="AF2185" s="155" t="s">
        <v>247</v>
      </c>
      <c r="AG2185" s="155" t="s">
        <v>247</v>
      </c>
    </row>
    <row r="2186" spans="25:33">
      <c r="Y2186" s="47">
        <v>5401</v>
      </c>
      <c r="Z2186" s="52" t="s">
        <v>410</v>
      </c>
      <c r="AA2186" s="52" t="s">
        <v>247</v>
      </c>
      <c r="AB2186" s="52" t="s">
        <v>247</v>
      </c>
      <c r="AC2186" s="52" t="s">
        <v>247</v>
      </c>
      <c r="AD2186" s="52" t="s">
        <v>1</v>
      </c>
      <c r="AE2186" s="52" t="s">
        <v>383</v>
      </c>
      <c r="AF2186" s="155" t="s">
        <v>247</v>
      </c>
      <c r="AG2186" s="155" t="s">
        <v>247</v>
      </c>
    </row>
    <row r="2187" spans="25:33">
      <c r="Y2187" s="47">
        <v>5402</v>
      </c>
      <c r="Z2187" s="52" t="s">
        <v>410</v>
      </c>
      <c r="AA2187" s="52" t="s">
        <v>247</v>
      </c>
      <c r="AB2187" s="52" t="s">
        <v>247</v>
      </c>
      <c r="AC2187" s="52" t="s">
        <v>247</v>
      </c>
      <c r="AD2187" s="52" t="s">
        <v>1</v>
      </c>
      <c r="AE2187" s="52" t="s">
        <v>383</v>
      </c>
      <c r="AF2187" s="155" t="s">
        <v>247</v>
      </c>
      <c r="AG2187" s="155" t="s">
        <v>247</v>
      </c>
    </row>
    <row r="2188" spans="25:33">
      <c r="Y2188" s="47">
        <v>5403</v>
      </c>
      <c r="Z2188" s="52" t="s">
        <v>410</v>
      </c>
      <c r="AA2188" s="52" t="s">
        <v>247</v>
      </c>
      <c r="AB2188" s="52" t="s">
        <v>247</v>
      </c>
      <c r="AC2188" s="52" t="s">
        <v>247</v>
      </c>
      <c r="AD2188" s="52" t="s">
        <v>1</v>
      </c>
      <c r="AE2188" s="52" t="s">
        <v>383</v>
      </c>
      <c r="AF2188" s="155" t="s">
        <v>247</v>
      </c>
      <c r="AG2188" s="155" t="s">
        <v>247</v>
      </c>
    </row>
    <row r="2189" spans="25:33">
      <c r="Y2189" s="47">
        <v>5404</v>
      </c>
      <c r="Z2189" s="52" t="s">
        <v>410</v>
      </c>
      <c r="AA2189" s="52" t="s">
        <v>247</v>
      </c>
      <c r="AB2189" s="52" t="s">
        <v>247</v>
      </c>
      <c r="AC2189" s="52" t="s">
        <v>247</v>
      </c>
      <c r="AD2189" s="52" t="s">
        <v>1</v>
      </c>
      <c r="AE2189" s="52" t="s">
        <v>383</v>
      </c>
      <c r="AF2189" s="155" t="s">
        <v>247</v>
      </c>
      <c r="AG2189" s="155" t="s">
        <v>247</v>
      </c>
    </row>
    <row r="2190" spans="25:33">
      <c r="Y2190" s="47">
        <v>5405</v>
      </c>
      <c r="Z2190" s="52" t="s">
        <v>410</v>
      </c>
      <c r="AA2190" s="52" t="s">
        <v>247</v>
      </c>
      <c r="AB2190" s="52" t="s">
        <v>247</v>
      </c>
      <c r="AC2190" s="52" t="s">
        <v>247</v>
      </c>
      <c r="AD2190" s="52" t="s">
        <v>1</v>
      </c>
      <c r="AE2190" s="52" t="s">
        <v>383</v>
      </c>
      <c r="AF2190" s="155" t="s">
        <v>247</v>
      </c>
      <c r="AG2190" s="155" t="s">
        <v>247</v>
      </c>
    </row>
    <row r="2191" spans="25:33">
      <c r="Y2191" s="47">
        <v>5406</v>
      </c>
      <c r="Z2191" s="52" t="s">
        <v>410</v>
      </c>
      <c r="AA2191" s="52" t="s">
        <v>247</v>
      </c>
      <c r="AB2191" s="52" t="s">
        <v>247</v>
      </c>
      <c r="AC2191" s="52" t="s">
        <v>247</v>
      </c>
      <c r="AD2191" s="52" t="s">
        <v>1</v>
      </c>
      <c r="AE2191" s="52" t="s">
        <v>383</v>
      </c>
      <c r="AF2191" s="155" t="s">
        <v>247</v>
      </c>
      <c r="AG2191" s="155" t="s">
        <v>247</v>
      </c>
    </row>
    <row r="2192" spans="25:33">
      <c r="Y2192" s="47">
        <v>5407</v>
      </c>
      <c r="Z2192" s="52" t="s">
        <v>410</v>
      </c>
      <c r="AA2192" s="52" t="s">
        <v>247</v>
      </c>
      <c r="AB2192" s="52" t="s">
        <v>247</v>
      </c>
      <c r="AC2192" s="52" t="s">
        <v>247</v>
      </c>
      <c r="AD2192" s="52" t="s">
        <v>1</v>
      </c>
      <c r="AE2192" s="52" t="s">
        <v>383</v>
      </c>
      <c r="AF2192" s="155" t="s">
        <v>247</v>
      </c>
      <c r="AG2192" s="155" t="s">
        <v>247</v>
      </c>
    </row>
    <row r="2193" spans="25:33">
      <c r="Y2193" s="47">
        <v>5408</v>
      </c>
      <c r="Z2193" s="52" t="s">
        <v>410</v>
      </c>
      <c r="AA2193" s="52" t="s">
        <v>247</v>
      </c>
      <c r="AB2193" s="52" t="s">
        <v>247</v>
      </c>
      <c r="AC2193" s="52" t="s">
        <v>247</v>
      </c>
      <c r="AD2193" s="52" t="s">
        <v>1</v>
      </c>
      <c r="AE2193" s="52" t="s">
        <v>383</v>
      </c>
      <c r="AF2193" s="155" t="s">
        <v>247</v>
      </c>
      <c r="AG2193" s="155" t="s">
        <v>247</v>
      </c>
    </row>
    <row r="2194" spans="25:33">
      <c r="Y2194" s="47">
        <v>5409</v>
      </c>
      <c r="Z2194" s="52" t="s">
        <v>410</v>
      </c>
      <c r="AA2194" s="52" t="s">
        <v>247</v>
      </c>
      <c r="AB2194" s="52" t="s">
        <v>247</v>
      </c>
      <c r="AC2194" s="52" t="s">
        <v>247</v>
      </c>
      <c r="AD2194" s="52" t="s">
        <v>1</v>
      </c>
      <c r="AE2194" s="52" t="s">
        <v>383</v>
      </c>
      <c r="AF2194" s="155" t="s">
        <v>247</v>
      </c>
      <c r="AG2194" s="155" t="s">
        <v>247</v>
      </c>
    </row>
    <row r="2195" spans="25:33">
      <c r="Y2195" s="47">
        <v>5410</v>
      </c>
      <c r="Z2195" s="52" t="s">
        <v>410</v>
      </c>
      <c r="AA2195" s="52" t="s">
        <v>247</v>
      </c>
      <c r="AB2195" s="52" t="s">
        <v>247</v>
      </c>
      <c r="AC2195" s="52" t="s">
        <v>247</v>
      </c>
      <c r="AD2195" s="52" t="s">
        <v>1</v>
      </c>
      <c r="AE2195" s="52" t="s">
        <v>383</v>
      </c>
      <c r="AF2195" s="155" t="s">
        <v>247</v>
      </c>
      <c r="AG2195" s="155" t="s">
        <v>247</v>
      </c>
    </row>
    <row r="2196" spans="25:33">
      <c r="Y2196" s="47">
        <v>5411</v>
      </c>
      <c r="Z2196" s="52" t="s">
        <v>410</v>
      </c>
      <c r="AA2196" s="52" t="s">
        <v>247</v>
      </c>
      <c r="AB2196" s="52" t="s">
        <v>247</v>
      </c>
      <c r="AC2196" s="52" t="s">
        <v>247</v>
      </c>
      <c r="AD2196" s="52" t="s">
        <v>1</v>
      </c>
      <c r="AE2196" s="52" t="s">
        <v>383</v>
      </c>
      <c r="AF2196" s="155" t="s">
        <v>247</v>
      </c>
      <c r="AG2196" s="155" t="s">
        <v>247</v>
      </c>
    </row>
    <row r="2197" spans="25:33">
      <c r="Y2197" s="47">
        <v>5412</v>
      </c>
      <c r="Z2197" s="52" t="s">
        <v>410</v>
      </c>
      <c r="AA2197" s="52" t="s">
        <v>247</v>
      </c>
      <c r="AB2197" s="52" t="s">
        <v>247</v>
      </c>
      <c r="AC2197" s="52" t="s">
        <v>247</v>
      </c>
      <c r="AD2197" s="52" t="s">
        <v>1</v>
      </c>
      <c r="AE2197" s="52" t="s">
        <v>383</v>
      </c>
      <c r="AF2197" s="155" t="s">
        <v>247</v>
      </c>
      <c r="AG2197" s="155" t="s">
        <v>247</v>
      </c>
    </row>
    <row r="2198" spans="25:33">
      <c r="Y2198" s="47">
        <v>5413</v>
      </c>
      <c r="Z2198" s="52" t="s">
        <v>410</v>
      </c>
      <c r="AA2198" s="52" t="s">
        <v>247</v>
      </c>
      <c r="AB2198" s="52" t="s">
        <v>247</v>
      </c>
      <c r="AC2198" s="52" t="s">
        <v>247</v>
      </c>
      <c r="AD2198" s="52" t="s">
        <v>1</v>
      </c>
      <c r="AE2198" s="52" t="s">
        <v>383</v>
      </c>
      <c r="AF2198" s="155" t="s">
        <v>247</v>
      </c>
      <c r="AG2198" s="155" t="s">
        <v>247</v>
      </c>
    </row>
    <row r="2199" spans="25:33">
      <c r="Y2199" s="47">
        <v>5414</v>
      </c>
      <c r="Z2199" s="52" t="s">
        <v>410</v>
      </c>
      <c r="AA2199" s="52" t="s">
        <v>247</v>
      </c>
      <c r="AB2199" s="52" t="s">
        <v>247</v>
      </c>
      <c r="AC2199" s="52" t="s">
        <v>247</v>
      </c>
      <c r="AD2199" s="52" t="s">
        <v>1</v>
      </c>
      <c r="AE2199" s="52" t="s">
        <v>383</v>
      </c>
      <c r="AF2199" s="155" t="s">
        <v>247</v>
      </c>
      <c r="AG2199" s="155" t="s">
        <v>247</v>
      </c>
    </row>
    <row r="2200" spans="25:33">
      <c r="Y2200" s="47">
        <v>5415</v>
      </c>
      <c r="Z2200" s="52" t="s">
        <v>410</v>
      </c>
      <c r="AA2200" s="52" t="s">
        <v>247</v>
      </c>
      <c r="AB2200" s="52" t="s">
        <v>247</v>
      </c>
      <c r="AC2200" s="52" t="s">
        <v>247</v>
      </c>
      <c r="AD2200" s="52" t="s">
        <v>1</v>
      </c>
      <c r="AE2200" s="52" t="s">
        <v>383</v>
      </c>
      <c r="AF2200" s="155" t="s">
        <v>247</v>
      </c>
      <c r="AG2200" s="155" t="s">
        <v>247</v>
      </c>
    </row>
    <row r="2201" spans="25:33">
      <c r="Y2201" s="47">
        <v>5416</v>
      </c>
      <c r="Z2201" s="52" t="s">
        <v>410</v>
      </c>
      <c r="AA2201" s="52" t="s">
        <v>247</v>
      </c>
      <c r="AB2201" s="52" t="s">
        <v>247</v>
      </c>
      <c r="AC2201" s="52" t="s">
        <v>247</v>
      </c>
      <c r="AD2201" s="52" t="s">
        <v>1</v>
      </c>
      <c r="AE2201" s="52" t="s">
        <v>383</v>
      </c>
      <c r="AF2201" s="155" t="s">
        <v>247</v>
      </c>
      <c r="AG2201" s="155" t="s">
        <v>247</v>
      </c>
    </row>
    <row r="2202" spans="25:33">
      <c r="Y2202" s="47">
        <v>5417</v>
      </c>
      <c r="Z2202" s="52" t="s">
        <v>410</v>
      </c>
      <c r="AA2202" s="52" t="s">
        <v>247</v>
      </c>
      <c r="AB2202" s="52" t="s">
        <v>247</v>
      </c>
      <c r="AC2202" s="52" t="s">
        <v>247</v>
      </c>
      <c r="AD2202" s="52" t="s">
        <v>1</v>
      </c>
      <c r="AE2202" s="52" t="s">
        <v>383</v>
      </c>
      <c r="AF2202" s="155" t="s">
        <v>247</v>
      </c>
      <c r="AG2202" s="155" t="s">
        <v>247</v>
      </c>
    </row>
    <row r="2203" spans="25:33">
      <c r="Y2203" s="47">
        <v>5418</v>
      </c>
      <c r="Z2203" s="52" t="s">
        <v>410</v>
      </c>
      <c r="AA2203" s="52" t="s">
        <v>247</v>
      </c>
      <c r="AB2203" s="52" t="s">
        <v>247</v>
      </c>
      <c r="AC2203" s="52" t="s">
        <v>247</v>
      </c>
      <c r="AD2203" s="52" t="s">
        <v>1</v>
      </c>
      <c r="AE2203" s="52" t="s">
        <v>383</v>
      </c>
      <c r="AF2203" s="155" t="s">
        <v>247</v>
      </c>
      <c r="AG2203" s="155" t="s">
        <v>247</v>
      </c>
    </row>
    <row r="2204" spans="25:33">
      <c r="Y2204" s="47">
        <v>5419</v>
      </c>
      <c r="Z2204" s="52" t="s">
        <v>410</v>
      </c>
      <c r="AA2204" s="52" t="s">
        <v>247</v>
      </c>
      <c r="AB2204" s="52" t="s">
        <v>247</v>
      </c>
      <c r="AC2204" s="52" t="s">
        <v>247</v>
      </c>
      <c r="AD2204" s="52" t="s">
        <v>1</v>
      </c>
      <c r="AE2204" s="52" t="s">
        <v>383</v>
      </c>
      <c r="AF2204" s="155" t="s">
        <v>247</v>
      </c>
      <c r="AG2204" s="155" t="s">
        <v>247</v>
      </c>
    </row>
    <row r="2205" spans="25:33">
      <c r="Y2205" s="47">
        <v>5420</v>
      </c>
      <c r="Z2205" s="52" t="s">
        <v>410</v>
      </c>
      <c r="AA2205" s="52" t="s">
        <v>247</v>
      </c>
      <c r="AB2205" s="52" t="s">
        <v>247</v>
      </c>
      <c r="AC2205" s="52" t="s">
        <v>247</v>
      </c>
      <c r="AD2205" s="52" t="s">
        <v>1</v>
      </c>
      <c r="AE2205" s="52" t="s">
        <v>383</v>
      </c>
      <c r="AF2205" s="155" t="s">
        <v>247</v>
      </c>
      <c r="AG2205" s="155" t="s">
        <v>247</v>
      </c>
    </row>
    <row r="2206" spans="25:33">
      <c r="Y2206" s="47">
        <v>5421</v>
      </c>
      <c r="Z2206" s="52" t="s">
        <v>410</v>
      </c>
      <c r="AA2206" s="52" t="s">
        <v>247</v>
      </c>
      <c r="AB2206" s="52" t="s">
        <v>247</v>
      </c>
      <c r="AC2206" s="52" t="s">
        <v>247</v>
      </c>
      <c r="AD2206" s="52" t="s">
        <v>1</v>
      </c>
      <c r="AE2206" s="52" t="s">
        <v>383</v>
      </c>
      <c r="AF2206" s="155" t="s">
        <v>247</v>
      </c>
      <c r="AG2206" s="155" t="s">
        <v>247</v>
      </c>
    </row>
    <row r="2207" spans="25:33">
      <c r="Y2207" s="47">
        <v>5422</v>
      </c>
      <c r="Z2207" s="52" t="s">
        <v>410</v>
      </c>
      <c r="AA2207" s="52" t="s">
        <v>247</v>
      </c>
      <c r="AB2207" s="52" t="s">
        <v>247</v>
      </c>
      <c r="AC2207" s="52" t="s">
        <v>247</v>
      </c>
      <c r="AD2207" s="52" t="s">
        <v>1</v>
      </c>
      <c r="AE2207" s="52" t="s">
        <v>383</v>
      </c>
      <c r="AF2207" s="155" t="s">
        <v>247</v>
      </c>
      <c r="AG2207" s="155" t="s">
        <v>247</v>
      </c>
    </row>
    <row r="2208" spans="25:33">
      <c r="Y2208" s="47">
        <v>5423</v>
      </c>
      <c r="Z2208" s="52" t="s">
        <v>410</v>
      </c>
      <c r="AA2208" s="52" t="s">
        <v>247</v>
      </c>
      <c r="AB2208" s="52" t="s">
        <v>247</v>
      </c>
      <c r="AC2208" s="52" t="s">
        <v>247</v>
      </c>
      <c r="AD2208" s="52" t="s">
        <v>1</v>
      </c>
      <c r="AE2208" s="52" t="s">
        <v>383</v>
      </c>
      <c r="AF2208" s="155" t="s">
        <v>247</v>
      </c>
      <c r="AG2208" s="155" t="s">
        <v>247</v>
      </c>
    </row>
    <row r="2209" spans="25:33">
      <c r="Y2209" s="47">
        <v>5424</v>
      </c>
      <c r="Z2209" s="52" t="s">
        <v>410</v>
      </c>
      <c r="AA2209" s="52" t="s">
        <v>247</v>
      </c>
      <c r="AB2209" s="52" t="s">
        <v>247</v>
      </c>
      <c r="AC2209" s="52" t="s">
        <v>247</v>
      </c>
      <c r="AD2209" s="52" t="s">
        <v>1</v>
      </c>
      <c r="AE2209" s="52" t="s">
        <v>383</v>
      </c>
      <c r="AF2209" s="155" t="s">
        <v>247</v>
      </c>
      <c r="AG2209" s="155" t="s">
        <v>247</v>
      </c>
    </row>
    <row r="2210" spans="25:33">
      <c r="Y2210" s="47">
        <v>5425</v>
      </c>
      <c r="Z2210" s="52" t="s">
        <v>410</v>
      </c>
      <c r="AA2210" s="52" t="s">
        <v>247</v>
      </c>
      <c r="AB2210" s="52" t="s">
        <v>247</v>
      </c>
      <c r="AC2210" s="52" t="s">
        <v>247</v>
      </c>
      <c r="AD2210" s="52" t="s">
        <v>1</v>
      </c>
      <c r="AE2210" s="52" t="s">
        <v>383</v>
      </c>
      <c r="AF2210" s="155" t="s">
        <v>247</v>
      </c>
      <c r="AG2210" s="155" t="s">
        <v>247</v>
      </c>
    </row>
    <row r="2211" spans="25:33">
      <c r="Y2211" s="47">
        <v>5426</v>
      </c>
      <c r="Z2211" s="52" t="s">
        <v>410</v>
      </c>
      <c r="AA2211" s="52" t="s">
        <v>247</v>
      </c>
      <c r="AB2211" s="52" t="s">
        <v>247</v>
      </c>
      <c r="AC2211" s="52" t="s">
        <v>247</v>
      </c>
      <c r="AD2211" s="52" t="s">
        <v>1</v>
      </c>
      <c r="AE2211" s="52" t="s">
        <v>383</v>
      </c>
      <c r="AF2211" s="155" t="s">
        <v>247</v>
      </c>
      <c r="AG2211" s="155" t="s">
        <v>247</v>
      </c>
    </row>
    <row r="2212" spans="25:33">
      <c r="Y2212" s="47">
        <v>5427</v>
      </c>
      <c r="Z2212" s="52" t="s">
        <v>410</v>
      </c>
      <c r="AA2212" s="52" t="s">
        <v>247</v>
      </c>
      <c r="AB2212" s="52" t="s">
        <v>247</v>
      </c>
      <c r="AC2212" s="52" t="s">
        <v>247</v>
      </c>
      <c r="AD2212" s="52" t="s">
        <v>1</v>
      </c>
      <c r="AE2212" s="52" t="s">
        <v>383</v>
      </c>
      <c r="AF2212" s="155" t="s">
        <v>247</v>
      </c>
      <c r="AG2212" s="155" t="s">
        <v>247</v>
      </c>
    </row>
    <row r="2213" spans="25:33">
      <c r="Y2213" s="47">
        <v>5428</v>
      </c>
      <c r="Z2213" s="52" t="s">
        <v>410</v>
      </c>
      <c r="AA2213" s="52" t="s">
        <v>247</v>
      </c>
      <c r="AB2213" s="52" t="s">
        <v>247</v>
      </c>
      <c r="AC2213" s="52" t="s">
        <v>247</v>
      </c>
      <c r="AD2213" s="52" t="s">
        <v>1</v>
      </c>
      <c r="AE2213" s="52" t="s">
        <v>383</v>
      </c>
      <c r="AF2213" s="155" t="s">
        <v>247</v>
      </c>
      <c r="AG2213" s="155" t="s">
        <v>247</v>
      </c>
    </row>
    <row r="2214" spans="25:33">
      <c r="Y2214" s="47">
        <v>5429</v>
      </c>
      <c r="Z2214" s="52" t="s">
        <v>410</v>
      </c>
      <c r="AA2214" s="52" t="s">
        <v>247</v>
      </c>
      <c r="AB2214" s="52" t="s">
        <v>247</v>
      </c>
      <c r="AC2214" s="52" t="s">
        <v>247</v>
      </c>
      <c r="AD2214" s="52" t="s">
        <v>1</v>
      </c>
      <c r="AE2214" s="52" t="s">
        <v>383</v>
      </c>
      <c r="AF2214" s="155" t="s">
        <v>247</v>
      </c>
      <c r="AG2214" s="155" t="s">
        <v>247</v>
      </c>
    </row>
    <row r="2215" spans="25:33">
      <c r="Y2215" s="47">
        <v>5430</v>
      </c>
      <c r="Z2215" s="52" t="s">
        <v>410</v>
      </c>
      <c r="AA2215" s="52" t="s">
        <v>247</v>
      </c>
      <c r="AB2215" s="52" t="s">
        <v>247</v>
      </c>
      <c r="AC2215" s="52" t="s">
        <v>247</v>
      </c>
      <c r="AD2215" s="52" t="s">
        <v>1</v>
      </c>
      <c r="AE2215" s="52" t="s">
        <v>383</v>
      </c>
      <c r="AF2215" s="155" t="s">
        <v>247</v>
      </c>
      <c r="AG2215" s="155" t="s">
        <v>247</v>
      </c>
    </row>
    <row r="2216" spans="25:33">
      <c r="Y2216" s="47">
        <v>5431</v>
      </c>
      <c r="Z2216" s="52" t="s">
        <v>410</v>
      </c>
      <c r="AA2216" s="52" t="s">
        <v>247</v>
      </c>
      <c r="AB2216" s="52" t="s">
        <v>247</v>
      </c>
      <c r="AC2216" s="52" t="s">
        <v>247</v>
      </c>
      <c r="AD2216" s="52" t="s">
        <v>1</v>
      </c>
      <c r="AE2216" s="52" t="s">
        <v>383</v>
      </c>
      <c r="AF2216" s="155" t="s">
        <v>247</v>
      </c>
      <c r="AG2216" s="155" t="s">
        <v>247</v>
      </c>
    </row>
    <row r="2217" spans="25:33">
      <c r="Y2217" s="47">
        <v>5432</v>
      </c>
      <c r="Z2217" s="52" t="s">
        <v>410</v>
      </c>
      <c r="AA2217" s="52" t="s">
        <v>247</v>
      </c>
      <c r="AB2217" s="52" t="s">
        <v>247</v>
      </c>
      <c r="AC2217" s="52" t="s">
        <v>247</v>
      </c>
      <c r="AD2217" s="52" t="s">
        <v>1</v>
      </c>
      <c r="AE2217" s="52" t="s">
        <v>383</v>
      </c>
      <c r="AF2217" s="155" t="s">
        <v>247</v>
      </c>
      <c r="AG2217" s="155" t="s">
        <v>247</v>
      </c>
    </row>
    <row r="2218" spans="25:33">
      <c r="Y2218" s="47">
        <v>5433</v>
      </c>
      <c r="Z2218" s="52" t="s">
        <v>410</v>
      </c>
      <c r="AA2218" s="52" t="s">
        <v>247</v>
      </c>
      <c r="AB2218" s="52" t="s">
        <v>247</v>
      </c>
      <c r="AC2218" s="52" t="s">
        <v>247</v>
      </c>
      <c r="AD2218" s="52" t="s">
        <v>1</v>
      </c>
      <c r="AE2218" s="52" t="s">
        <v>383</v>
      </c>
      <c r="AF2218" s="155" t="s">
        <v>247</v>
      </c>
      <c r="AG2218" s="155" t="s">
        <v>247</v>
      </c>
    </row>
    <row r="2219" spans="25:33">
      <c r="Y2219" s="47">
        <v>5434</v>
      </c>
      <c r="Z2219" s="52" t="s">
        <v>410</v>
      </c>
      <c r="AA2219" s="52" t="s">
        <v>247</v>
      </c>
      <c r="AB2219" s="52" t="s">
        <v>247</v>
      </c>
      <c r="AC2219" s="52" t="s">
        <v>247</v>
      </c>
      <c r="AD2219" s="52" t="s">
        <v>1</v>
      </c>
      <c r="AE2219" s="52" t="s">
        <v>383</v>
      </c>
      <c r="AF2219" s="155" t="s">
        <v>247</v>
      </c>
      <c r="AG2219" s="155" t="s">
        <v>247</v>
      </c>
    </row>
    <row r="2220" spans="25:33">
      <c r="Y2220" s="47">
        <v>5435</v>
      </c>
      <c r="Z2220" s="52" t="s">
        <v>410</v>
      </c>
      <c r="AA2220" s="52" t="s">
        <v>247</v>
      </c>
      <c r="AB2220" s="52" t="s">
        <v>247</v>
      </c>
      <c r="AC2220" s="52" t="s">
        <v>247</v>
      </c>
      <c r="AD2220" s="52" t="s">
        <v>1</v>
      </c>
      <c r="AE2220" s="52" t="s">
        <v>383</v>
      </c>
      <c r="AF2220" s="155" t="s">
        <v>247</v>
      </c>
      <c r="AG2220" s="155" t="s">
        <v>247</v>
      </c>
    </row>
    <row r="2221" spans="25:33">
      <c r="Y2221" s="47">
        <v>5436</v>
      </c>
      <c r="Z2221" s="52" t="s">
        <v>410</v>
      </c>
      <c r="AA2221" s="52" t="s">
        <v>247</v>
      </c>
      <c r="AB2221" s="52" t="s">
        <v>247</v>
      </c>
      <c r="AC2221" s="52" t="s">
        <v>247</v>
      </c>
      <c r="AD2221" s="52" t="s">
        <v>1</v>
      </c>
      <c r="AE2221" s="52" t="s">
        <v>383</v>
      </c>
      <c r="AF2221" s="155" t="s">
        <v>247</v>
      </c>
      <c r="AG2221" s="155" t="s">
        <v>247</v>
      </c>
    </row>
    <row r="2222" spans="25:33">
      <c r="Y2222" s="47">
        <v>5437</v>
      </c>
      <c r="Z2222" s="52" t="s">
        <v>410</v>
      </c>
      <c r="AA2222" s="52" t="s">
        <v>247</v>
      </c>
      <c r="AB2222" s="52" t="s">
        <v>247</v>
      </c>
      <c r="AC2222" s="52" t="s">
        <v>247</v>
      </c>
      <c r="AD2222" s="52" t="s">
        <v>1</v>
      </c>
      <c r="AE2222" s="52" t="s">
        <v>383</v>
      </c>
      <c r="AF2222" s="155" t="s">
        <v>247</v>
      </c>
      <c r="AG2222" s="155" t="s">
        <v>247</v>
      </c>
    </row>
    <row r="2223" spans="25:33">
      <c r="Y2223" s="47">
        <v>5438</v>
      </c>
      <c r="Z2223" s="52" t="s">
        <v>410</v>
      </c>
      <c r="AA2223" s="52" t="s">
        <v>247</v>
      </c>
      <c r="AB2223" s="52" t="s">
        <v>247</v>
      </c>
      <c r="AC2223" s="52" t="s">
        <v>247</v>
      </c>
      <c r="AD2223" s="52" t="s">
        <v>1</v>
      </c>
      <c r="AE2223" s="52" t="s">
        <v>383</v>
      </c>
      <c r="AF2223" s="155" t="s">
        <v>247</v>
      </c>
      <c r="AG2223" s="155" t="s">
        <v>247</v>
      </c>
    </row>
    <row r="2224" spans="25:33">
      <c r="Y2224" s="47">
        <v>5439</v>
      </c>
      <c r="Z2224" s="52" t="s">
        <v>410</v>
      </c>
      <c r="AA2224" s="52" t="s">
        <v>247</v>
      </c>
      <c r="AB2224" s="52" t="s">
        <v>247</v>
      </c>
      <c r="AC2224" s="52" t="s">
        <v>247</v>
      </c>
      <c r="AD2224" s="52" t="s">
        <v>1</v>
      </c>
      <c r="AE2224" s="52" t="s">
        <v>383</v>
      </c>
      <c r="AF2224" s="155" t="s">
        <v>247</v>
      </c>
      <c r="AG2224" s="155" t="s">
        <v>247</v>
      </c>
    </row>
    <row r="2225" spans="25:33">
      <c r="Y2225" s="47">
        <v>5440</v>
      </c>
      <c r="Z2225" s="52" t="s">
        <v>410</v>
      </c>
      <c r="AA2225" s="52" t="s">
        <v>247</v>
      </c>
      <c r="AB2225" s="52" t="s">
        <v>247</v>
      </c>
      <c r="AC2225" s="52" t="s">
        <v>247</v>
      </c>
      <c r="AD2225" s="52" t="s">
        <v>1</v>
      </c>
      <c r="AE2225" s="52" t="s">
        <v>383</v>
      </c>
      <c r="AF2225" s="155" t="s">
        <v>247</v>
      </c>
      <c r="AG2225" s="155" t="s">
        <v>247</v>
      </c>
    </row>
    <row r="2226" spans="25:33">
      <c r="Y2226" s="47">
        <v>5441</v>
      </c>
      <c r="Z2226" s="52" t="s">
        <v>410</v>
      </c>
      <c r="AA2226" s="52" t="s">
        <v>247</v>
      </c>
      <c r="AB2226" s="52" t="s">
        <v>247</v>
      </c>
      <c r="AC2226" s="52" t="s">
        <v>247</v>
      </c>
      <c r="AD2226" s="52" t="s">
        <v>1</v>
      </c>
      <c r="AE2226" s="52" t="s">
        <v>383</v>
      </c>
      <c r="AF2226" s="155" t="s">
        <v>247</v>
      </c>
      <c r="AG2226" s="155" t="s">
        <v>247</v>
      </c>
    </row>
    <row r="2227" spans="25:33">
      <c r="Y2227" s="47">
        <v>5442</v>
      </c>
      <c r="Z2227" s="52" t="s">
        <v>410</v>
      </c>
      <c r="AA2227" s="52" t="s">
        <v>247</v>
      </c>
      <c r="AB2227" s="52" t="s">
        <v>247</v>
      </c>
      <c r="AC2227" s="52" t="s">
        <v>247</v>
      </c>
      <c r="AD2227" s="52" t="s">
        <v>1</v>
      </c>
      <c r="AE2227" s="52" t="s">
        <v>383</v>
      </c>
      <c r="AF2227" s="155" t="s">
        <v>247</v>
      </c>
      <c r="AG2227" s="155" t="s">
        <v>247</v>
      </c>
    </row>
    <row r="2228" spans="25:33">
      <c r="Y2228" s="47">
        <v>5443</v>
      </c>
      <c r="Z2228" s="52" t="s">
        <v>410</v>
      </c>
      <c r="AA2228" s="52" t="s">
        <v>247</v>
      </c>
      <c r="AB2228" s="52" t="s">
        <v>247</v>
      </c>
      <c r="AC2228" s="52" t="s">
        <v>247</v>
      </c>
      <c r="AD2228" s="52" t="s">
        <v>1</v>
      </c>
      <c r="AE2228" s="52" t="s">
        <v>383</v>
      </c>
      <c r="AF2228" s="155" t="s">
        <v>247</v>
      </c>
      <c r="AG2228" s="155" t="s">
        <v>247</v>
      </c>
    </row>
    <row r="2229" spans="25:33">
      <c r="Y2229" s="47">
        <v>5444</v>
      </c>
      <c r="Z2229" s="52" t="s">
        <v>410</v>
      </c>
      <c r="AA2229" s="52" t="s">
        <v>247</v>
      </c>
      <c r="AB2229" s="52" t="s">
        <v>247</v>
      </c>
      <c r="AC2229" s="52" t="s">
        <v>247</v>
      </c>
      <c r="AD2229" s="52" t="s">
        <v>1</v>
      </c>
      <c r="AE2229" s="52" t="s">
        <v>383</v>
      </c>
      <c r="AF2229" s="155" t="s">
        <v>247</v>
      </c>
      <c r="AG2229" s="155" t="s">
        <v>247</v>
      </c>
    </row>
    <row r="2230" spans="25:33">
      <c r="Y2230" s="47">
        <v>5445</v>
      </c>
      <c r="Z2230" s="52" t="s">
        <v>410</v>
      </c>
      <c r="AA2230" s="52" t="s">
        <v>247</v>
      </c>
      <c r="AB2230" s="52" t="s">
        <v>247</v>
      </c>
      <c r="AC2230" s="52" t="s">
        <v>247</v>
      </c>
      <c r="AD2230" s="52" t="s">
        <v>1</v>
      </c>
      <c r="AE2230" s="52" t="s">
        <v>383</v>
      </c>
      <c r="AF2230" s="155" t="s">
        <v>247</v>
      </c>
      <c r="AG2230" s="155" t="s">
        <v>247</v>
      </c>
    </row>
    <row r="2231" spans="25:33">
      <c r="Y2231" s="47">
        <v>5446</v>
      </c>
      <c r="Z2231" s="52" t="s">
        <v>410</v>
      </c>
      <c r="AA2231" s="52" t="s">
        <v>247</v>
      </c>
      <c r="AB2231" s="52" t="s">
        <v>247</v>
      </c>
      <c r="AC2231" s="52" t="s">
        <v>247</v>
      </c>
      <c r="AD2231" s="52" t="s">
        <v>1</v>
      </c>
      <c r="AE2231" s="52" t="s">
        <v>383</v>
      </c>
      <c r="AF2231" s="155" t="s">
        <v>247</v>
      </c>
      <c r="AG2231" s="155" t="s">
        <v>247</v>
      </c>
    </row>
    <row r="2232" spans="25:33">
      <c r="Y2232" s="47">
        <v>5447</v>
      </c>
      <c r="Z2232" s="52" t="s">
        <v>410</v>
      </c>
      <c r="AA2232" s="52" t="s">
        <v>247</v>
      </c>
      <c r="AB2232" s="52" t="s">
        <v>247</v>
      </c>
      <c r="AC2232" s="52" t="s">
        <v>247</v>
      </c>
      <c r="AD2232" s="52" t="s">
        <v>1</v>
      </c>
      <c r="AE2232" s="52" t="s">
        <v>383</v>
      </c>
      <c r="AF2232" s="155" t="s">
        <v>247</v>
      </c>
      <c r="AG2232" s="155" t="s">
        <v>247</v>
      </c>
    </row>
    <row r="2233" spans="25:33">
      <c r="Y2233" s="47">
        <v>5448</v>
      </c>
      <c r="Z2233" s="52" t="s">
        <v>410</v>
      </c>
      <c r="AA2233" s="52" t="s">
        <v>247</v>
      </c>
      <c r="AB2233" s="52" t="s">
        <v>247</v>
      </c>
      <c r="AC2233" s="52" t="s">
        <v>247</v>
      </c>
      <c r="AD2233" s="52" t="s">
        <v>1</v>
      </c>
      <c r="AE2233" s="52" t="s">
        <v>383</v>
      </c>
      <c r="AF2233" s="155" t="s">
        <v>247</v>
      </c>
      <c r="AG2233" s="155" t="s">
        <v>247</v>
      </c>
    </row>
    <row r="2234" spans="25:33">
      <c r="Y2234" s="47">
        <v>5449</v>
      </c>
      <c r="Z2234" s="52" t="s">
        <v>410</v>
      </c>
      <c r="AA2234" s="52" t="s">
        <v>247</v>
      </c>
      <c r="AB2234" s="52" t="s">
        <v>247</v>
      </c>
      <c r="AC2234" s="52" t="s">
        <v>247</v>
      </c>
      <c r="AD2234" s="52" t="s">
        <v>1</v>
      </c>
      <c r="AE2234" s="52" t="s">
        <v>383</v>
      </c>
      <c r="AF2234" s="155" t="s">
        <v>247</v>
      </c>
      <c r="AG2234" s="155" t="s">
        <v>247</v>
      </c>
    </row>
    <row r="2235" spans="25:33">
      <c r="Y2235" s="47">
        <v>5450</v>
      </c>
      <c r="Z2235" s="52" t="s">
        <v>410</v>
      </c>
      <c r="AA2235" s="52" t="s">
        <v>247</v>
      </c>
      <c r="AB2235" s="52" t="s">
        <v>247</v>
      </c>
      <c r="AC2235" s="52" t="s">
        <v>247</v>
      </c>
      <c r="AD2235" s="52" t="s">
        <v>1</v>
      </c>
      <c r="AE2235" s="52" t="s">
        <v>383</v>
      </c>
      <c r="AF2235" s="155" t="s">
        <v>247</v>
      </c>
      <c r="AG2235" s="155" t="s">
        <v>247</v>
      </c>
    </row>
    <row r="2236" spans="25:33">
      <c r="Y2236" s="47">
        <v>5451</v>
      </c>
      <c r="Z2236" s="52" t="s">
        <v>410</v>
      </c>
      <c r="AA2236" s="52" t="s">
        <v>247</v>
      </c>
      <c r="AB2236" s="52" t="s">
        <v>247</v>
      </c>
      <c r="AC2236" s="52" t="s">
        <v>247</v>
      </c>
      <c r="AD2236" s="52" t="s">
        <v>1</v>
      </c>
      <c r="AE2236" s="52" t="s">
        <v>383</v>
      </c>
      <c r="AF2236" s="155" t="s">
        <v>247</v>
      </c>
      <c r="AG2236" s="155" t="s">
        <v>247</v>
      </c>
    </row>
    <row r="2237" spans="25:33">
      <c r="Y2237" s="47">
        <v>5452</v>
      </c>
      <c r="Z2237" s="52" t="s">
        <v>410</v>
      </c>
      <c r="AA2237" s="52" t="s">
        <v>247</v>
      </c>
      <c r="AB2237" s="52" t="s">
        <v>247</v>
      </c>
      <c r="AC2237" s="52" t="s">
        <v>247</v>
      </c>
      <c r="AD2237" s="52" t="s">
        <v>1</v>
      </c>
      <c r="AE2237" s="52" t="s">
        <v>383</v>
      </c>
      <c r="AF2237" s="155" t="s">
        <v>247</v>
      </c>
      <c r="AG2237" s="155" t="s">
        <v>247</v>
      </c>
    </row>
    <row r="2238" spans="25:33">
      <c r="Y2238" s="47">
        <v>5453</v>
      </c>
      <c r="Z2238" s="52" t="s">
        <v>410</v>
      </c>
      <c r="AA2238" s="52" t="s">
        <v>247</v>
      </c>
      <c r="AB2238" s="52" t="s">
        <v>247</v>
      </c>
      <c r="AC2238" s="52" t="s">
        <v>247</v>
      </c>
      <c r="AD2238" s="52" t="s">
        <v>1</v>
      </c>
      <c r="AE2238" s="52" t="s">
        <v>383</v>
      </c>
      <c r="AF2238" s="155" t="s">
        <v>247</v>
      </c>
      <c r="AG2238" s="155" t="s">
        <v>247</v>
      </c>
    </row>
    <row r="2239" spans="25:33">
      <c r="Y2239" s="47">
        <v>5454</v>
      </c>
      <c r="Z2239" s="52" t="s">
        <v>410</v>
      </c>
      <c r="AA2239" s="52" t="s">
        <v>247</v>
      </c>
      <c r="AB2239" s="52" t="s">
        <v>247</v>
      </c>
      <c r="AC2239" s="52" t="s">
        <v>247</v>
      </c>
      <c r="AD2239" s="52" t="s">
        <v>1</v>
      </c>
      <c r="AE2239" s="52" t="s">
        <v>383</v>
      </c>
      <c r="AF2239" s="155" t="s">
        <v>247</v>
      </c>
      <c r="AG2239" s="155" t="s">
        <v>247</v>
      </c>
    </row>
    <row r="2240" spans="25:33">
      <c r="Y2240" s="47">
        <v>5455</v>
      </c>
      <c r="Z2240" s="52" t="s">
        <v>410</v>
      </c>
      <c r="AA2240" s="52" t="s">
        <v>247</v>
      </c>
      <c r="AB2240" s="52" t="s">
        <v>247</v>
      </c>
      <c r="AC2240" s="52" t="s">
        <v>247</v>
      </c>
      <c r="AD2240" s="52" t="s">
        <v>1</v>
      </c>
      <c r="AE2240" s="52" t="s">
        <v>383</v>
      </c>
      <c r="AF2240" s="155" t="s">
        <v>247</v>
      </c>
      <c r="AG2240" s="155" t="s">
        <v>247</v>
      </c>
    </row>
    <row r="2241" spans="25:33">
      <c r="Y2241" s="47">
        <v>5456</v>
      </c>
      <c r="Z2241" s="52" t="s">
        <v>410</v>
      </c>
      <c r="AA2241" s="52" t="s">
        <v>247</v>
      </c>
      <c r="AB2241" s="52" t="s">
        <v>247</v>
      </c>
      <c r="AC2241" s="52" t="s">
        <v>247</v>
      </c>
      <c r="AD2241" s="52" t="s">
        <v>1</v>
      </c>
      <c r="AE2241" s="52" t="s">
        <v>383</v>
      </c>
      <c r="AF2241" s="155" t="s">
        <v>247</v>
      </c>
      <c r="AG2241" s="155" t="s">
        <v>247</v>
      </c>
    </row>
    <row r="2242" spans="25:33">
      <c r="Y2242" s="47">
        <v>5457</v>
      </c>
      <c r="Z2242" s="52" t="s">
        <v>410</v>
      </c>
      <c r="AA2242" s="52" t="s">
        <v>247</v>
      </c>
      <c r="AB2242" s="52" t="s">
        <v>247</v>
      </c>
      <c r="AC2242" s="52" t="s">
        <v>247</v>
      </c>
      <c r="AD2242" s="52" t="s">
        <v>1</v>
      </c>
      <c r="AE2242" s="52" t="s">
        <v>383</v>
      </c>
      <c r="AF2242" s="155" t="s">
        <v>247</v>
      </c>
      <c r="AG2242" s="155" t="s">
        <v>247</v>
      </c>
    </row>
    <row r="2243" spans="25:33">
      <c r="Y2243" s="47">
        <v>5458</v>
      </c>
      <c r="Z2243" s="52" t="s">
        <v>410</v>
      </c>
      <c r="AA2243" s="52" t="s">
        <v>247</v>
      </c>
      <c r="AB2243" s="52" t="s">
        <v>247</v>
      </c>
      <c r="AC2243" s="52" t="s">
        <v>247</v>
      </c>
      <c r="AD2243" s="52" t="s">
        <v>1</v>
      </c>
      <c r="AE2243" s="52" t="s">
        <v>383</v>
      </c>
      <c r="AF2243" s="155" t="s">
        <v>247</v>
      </c>
      <c r="AG2243" s="155" t="s">
        <v>247</v>
      </c>
    </row>
    <row r="2244" spans="25:33">
      <c r="Y2244" s="47">
        <v>5459</v>
      </c>
      <c r="Z2244" s="52" t="s">
        <v>410</v>
      </c>
      <c r="AA2244" s="52" t="s">
        <v>247</v>
      </c>
      <c r="AB2244" s="52" t="s">
        <v>247</v>
      </c>
      <c r="AC2244" s="52" t="s">
        <v>247</v>
      </c>
      <c r="AD2244" s="52" t="s">
        <v>1</v>
      </c>
      <c r="AE2244" s="52" t="s">
        <v>383</v>
      </c>
      <c r="AF2244" s="155" t="s">
        <v>247</v>
      </c>
      <c r="AG2244" s="155" t="s">
        <v>247</v>
      </c>
    </row>
    <row r="2245" spans="25:33">
      <c r="Y2245" s="47">
        <v>5460</v>
      </c>
      <c r="Z2245" s="52" t="s">
        <v>410</v>
      </c>
      <c r="AA2245" s="52" t="s">
        <v>247</v>
      </c>
      <c r="AB2245" s="52" t="s">
        <v>247</v>
      </c>
      <c r="AC2245" s="52" t="s">
        <v>247</v>
      </c>
      <c r="AD2245" s="52" t="s">
        <v>1</v>
      </c>
      <c r="AE2245" s="52" t="s">
        <v>383</v>
      </c>
      <c r="AF2245" s="155" t="s">
        <v>247</v>
      </c>
      <c r="AG2245" s="155" t="s">
        <v>247</v>
      </c>
    </row>
    <row r="2246" spans="25:33">
      <c r="Y2246" s="47">
        <v>5461</v>
      </c>
      <c r="Z2246" s="52" t="s">
        <v>410</v>
      </c>
      <c r="AA2246" s="52" t="s">
        <v>247</v>
      </c>
      <c r="AB2246" s="52" t="s">
        <v>247</v>
      </c>
      <c r="AC2246" s="52" t="s">
        <v>247</v>
      </c>
      <c r="AD2246" s="52" t="s">
        <v>1</v>
      </c>
      <c r="AE2246" s="52" t="s">
        <v>383</v>
      </c>
      <c r="AF2246" s="155" t="s">
        <v>247</v>
      </c>
      <c r="AG2246" s="155" t="s">
        <v>247</v>
      </c>
    </row>
    <row r="2247" spans="25:33">
      <c r="Y2247" s="47">
        <v>5462</v>
      </c>
      <c r="Z2247" s="52" t="s">
        <v>410</v>
      </c>
      <c r="AA2247" s="52" t="s">
        <v>247</v>
      </c>
      <c r="AB2247" s="52" t="s">
        <v>247</v>
      </c>
      <c r="AC2247" s="52" t="s">
        <v>247</v>
      </c>
      <c r="AD2247" s="52" t="s">
        <v>1</v>
      </c>
      <c r="AE2247" s="52" t="s">
        <v>383</v>
      </c>
      <c r="AF2247" s="155" t="s">
        <v>247</v>
      </c>
      <c r="AG2247" s="155" t="s">
        <v>247</v>
      </c>
    </row>
    <row r="2248" spans="25:33">
      <c r="Y2248" s="47">
        <v>5463</v>
      </c>
      <c r="Z2248" s="52" t="s">
        <v>410</v>
      </c>
      <c r="AA2248" s="52" t="s">
        <v>247</v>
      </c>
      <c r="AB2248" s="52" t="s">
        <v>247</v>
      </c>
      <c r="AC2248" s="52" t="s">
        <v>247</v>
      </c>
      <c r="AD2248" s="52" t="s">
        <v>1</v>
      </c>
      <c r="AE2248" s="52" t="s">
        <v>383</v>
      </c>
      <c r="AF2248" s="155" t="s">
        <v>247</v>
      </c>
      <c r="AG2248" s="155" t="s">
        <v>247</v>
      </c>
    </row>
    <row r="2249" spans="25:33">
      <c r="Y2249" s="47">
        <v>5464</v>
      </c>
      <c r="Z2249" s="52" t="s">
        <v>410</v>
      </c>
      <c r="AA2249" s="52" t="s">
        <v>247</v>
      </c>
      <c r="AB2249" s="52" t="s">
        <v>247</v>
      </c>
      <c r="AC2249" s="52" t="s">
        <v>247</v>
      </c>
      <c r="AD2249" s="52" t="s">
        <v>1</v>
      </c>
      <c r="AE2249" s="52" t="s">
        <v>383</v>
      </c>
      <c r="AF2249" s="155" t="s">
        <v>247</v>
      </c>
      <c r="AG2249" s="155" t="s">
        <v>247</v>
      </c>
    </row>
    <row r="2250" spans="25:33">
      <c r="Y2250" s="47">
        <v>5465</v>
      </c>
      <c r="Z2250" s="52" t="s">
        <v>410</v>
      </c>
      <c r="AA2250" s="52" t="s">
        <v>247</v>
      </c>
      <c r="AB2250" s="52" t="s">
        <v>247</v>
      </c>
      <c r="AC2250" s="52" t="s">
        <v>247</v>
      </c>
      <c r="AD2250" s="52" t="s">
        <v>1</v>
      </c>
      <c r="AE2250" s="52" t="s">
        <v>383</v>
      </c>
      <c r="AF2250" s="155" t="s">
        <v>247</v>
      </c>
      <c r="AG2250" s="155" t="s">
        <v>247</v>
      </c>
    </row>
    <row r="2251" spans="25:33">
      <c r="Y2251" s="47">
        <v>5466</v>
      </c>
      <c r="Z2251" s="52" t="s">
        <v>410</v>
      </c>
      <c r="AA2251" s="52" t="s">
        <v>247</v>
      </c>
      <c r="AB2251" s="52" t="s">
        <v>247</v>
      </c>
      <c r="AC2251" s="52" t="s">
        <v>247</v>
      </c>
      <c r="AD2251" s="52" t="s">
        <v>1</v>
      </c>
      <c r="AE2251" s="52" t="s">
        <v>383</v>
      </c>
      <c r="AF2251" s="155" t="s">
        <v>247</v>
      </c>
      <c r="AG2251" s="155" t="s">
        <v>247</v>
      </c>
    </row>
    <row r="2252" spans="25:33">
      <c r="Y2252" s="47">
        <v>5467</v>
      </c>
      <c r="Z2252" s="52" t="s">
        <v>410</v>
      </c>
      <c r="AA2252" s="52" t="s">
        <v>247</v>
      </c>
      <c r="AB2252" s="52" t="s">
        <v>247</v>
      </c>
      <c r="AC2252" s="52" t="s">
        <v>247</v>
      </c>
      <c r="AD2252" s="52" t="s">
        <v>1</v>
      </c>
      <c r="AE2252" s="52" t="s">
        <v>383</v>
      </c>
      <c r="AF2252" s="155" t="s">
        <v>247</v>
      </c>
      <c r="AG2252" s="155" t="s">
        <v>247</v>
      </c>
    </row>
    <row r="2253" spans="25:33">
      <c r="Y2253" s="47">
        <v>5468</v>
      </c>
      <c r="Z2253" s="52" t="s">
        <v>410</v>
      </c>
      <c r="AA2253" s="52" t="s">
        <v>247</v>
      </c>
      <c r="AB2253" s="52" t="s">
        <v>247</v>
      </c>
      <c r="AC2253" s="52" t="s">
        <v>247</v>
      </c>
      <c r="AD2253" s="52" t="s">
        <v>1</v>
      </c>
      <c r="AE2253" s="52" t="s">
        <v>383</v>
      </c>
      <c r="AF2253" s="155" t="s">
        <v>247</v>
      </c>
      <c r="AG2253" s="155" t="s">
        <v>247</v>
      </c>
    </row>
    <row r="2254" spans="25:33">
      <c r="Y2254" s="47">
        <v>5469</v>
      </c>
      <c r="Z2254" s="52" t="s">
        <v>410</v>
      </c>
      <c r="AA2254" s="52" t="s">
        <v>247</v>
      </c>
      <c r="AB2254" s="52" t="s">
        <v>247</v>
      </c>
      <c r="AC2254" s="52" t="s">
        <v>247</v>
      </c>
      <c r="AD2254" s="52" t="s">
        <v>1</v>
      </c>
      <c r="AE2254" s="52" t="s">
        <v>383</v>
      </c>
      <c r="AF2254" s="155" t="s">
        <v>247</v>
      </c>
      <c r="AG2254" s="155" t="s">
        <v>247</v>
      </c>
    </row>
    <row r="2255" spans="25:33">
      <c r="Y2255" s="47">
        <v>5470</v>
      </c>
      <c r="Z2255" s="52" t="s">
        <v>410</v>
      </c>
      <c r="AA2255" s="52" t="s">
        <v>247</v>
      </c>
      <c r="AB2255" s="52" t="s">
        <v>247</v>
      </c>
      <c r="AC2255" s="52" t="s">
        <v>247</v>
      </c>
      <c r="AD2255" s="52" t="s">
        <v>1</v>
      </c>
      <c r="AE2255" s="52" t="s">
        <v>383</v>
      </c>
      <c r="AF2255" s="155" t="s">
        <v>247</v>
      </c>
      <c r="AG2255" s="155" t="s">
        <v>247</v>
      </c>
    </row>
    <row r="2256" spans="25:33">
      <c r="Y2256" s="47">
        <v>5471</v>
      </c>
      <c r="Z2256" s="52" t="s">
        <v>410</v>
      </c>
      <c r="AA2256" s="52" t="s">
        <v>247</v>
      </c>
      <c r="AB2256" s="52" t="s">
        <v>247</v>
      </c>
      <c r="AC2256" s="52" t="s">
        <v>247</v>
      </c>
      <c r="AD2256" s="52" t="s">
        <v>1</v>
      </c>
      <c r="AE2256" s="52" t="s">
        <v>383</v>
      </c>
      <c r="AF2256" s="155" t="s">
        <v>247</v>
      </c>
      <c r="AG2256" s="155" t="s">
        <v>247</v>
      </c>
    </row>
    <row r="2257" spans="25:33">
      <c r="Y2257" s="47">
        <v>5472</v>
      </c>
      <c r="Z2257" s="52" t="s">
        <v>410</v>
      </c>
      <c r="AA2257" s="52" t="s">
        <v>247</v>
      </c>
      <c r="AB2257" s="52" t="s">
        <v>247</v>
      </c>
      <c r="AC2257" s="52" t="s">
        <v>247</v>
      </c>
      <c r="AD2257" s="52" t="s">
        <v>1</v>
      </c>
      <c r="AE2257" s="52" t="s">
        <v>383</v>
      </c>
      <c r="AF2257" s="155" t="s">
        <v>247</v>
      </c>
      <c r="AG2257" s="155" t="s">
        <v>247</v>
      </c>
    </row>
    <row r="2258" spans="25:33">
      <c r="Y2258" s="47">
        <v>5473</v>
      </c>
      <c r="Z2258" s="52" t="s">
        <v>410</v>
      </c>
      <c r="AA2258" s="52" t="s">
        <v>247</v>
      </c>
      <c r="AB2258" s="52" t="s">
        <v>247</v>
      </c>
      <c r="AC2258" s="52" t="s">
        <v>247</v>
      </c>
      <c r="AD2258" s="52" t="s">
        <v>1</v>
      </c>
      <c r="AE2258" s="52" t="s">
        <v>383</v>
      </c>
      <c r="AF2258" s="155" t="s">
        <v>247</v>
      </c>
      <c r="AG2258" s="155" t="s">
        <v>247</v>
      </c>
    </row>
    <row r="2259" spans="25:33">
      <c r="Y2259" s="47">
        <v>5474</v>
      </c>
      <c r="Z2259" s="52" t="s">
        <v>410</v>
      </c>
      <c r="AA2259" s="52" t="s">
        <v>247</v>
      </c>
      <c r="AB2259" s="52" t="s">
        <v>247</v>
      </c>
      <c r="AC2259" s="52" t="s">
        <v>247</v>
      </c>
      <c r="AD2259" s="52" t="s">
        <v>1</v>
      </c>
      <c r="AE2259" s="52" t="s">
        <v>383</v>
      </c>
      <c r="AF2259" s="155" t="s">
        <v>247</v>
      </c>
      <c r="AG2259" s="155" t="s">
        <v>247</v>
      </c>
    </row>
    <row r="2260" spans="25:33">
      <c r="Y2260" s="47">
        <v>5475</v>
      </c>
      <c r="Z2260" s="52" t="s">
        <v>410</v>
      </c>
      <c r="AA2260" s="52" t="s">
        <v>247</v>
      </c>
      <c r="AB2260" s="52" t="s">
        <v>247</v>
      </c>
      <c r="AC2260" s="52" t="s">
        <v>247</v>
      </c>
      <c r="AD2260" s="52" t="s">
        <v>1</v>
      </c>
      <c r="AE2260" s="52" t="s">
        <v>383</v>
      </c>
      <c r="AF2260" s="155" t="s">
        <v>247</v>
      </c>
      <c r="AG2260" s="155" t="s">
        <v>247</v>
      </c>
    </row>
    <row r="2261" spans="25:33">
      <c r="Y2261" s="47">
        <v>5476</v>
      </c>
      <c r="Z2261" s="52" t="s">
        <v>410</v>
      </c>
      <c r="AA2261" s="52" t="s">
        <v>247</v>
      </c>
      <c r="AB2261" s="52" t="s">
        <v>247</v>
      </c>
      <c r="AC2261" s="52" t="s">
        <v>247</v>
      </c>
      <c r="AD2261" s="52" t="s">
        <v>1</v>
      </c>
      <c r="AE2261" s="52" t="s">
        <v>383</v>
      </c>
      <c r="AF2261" s="155" t="s">
        <v>247</v>
      </c>
      <c r="AG2261" s="155" t="s">
        <v>247</v>
      </c>
    </row>
    <row r="2262" spans="25:33">
      <c r="Y2262" s="47">
        <v>5477</v>
      </c>
      <c r="Z2262" s="52" t="s">
        <v>410</v>
      </c>
      <c r="AA2262" s="52" t="s">
        <v>247</v>
      </c>
      <c r="AB2262" s="52" t="s">
        <v>247</v>
      </c>
      <c r="AC2262" s="52" t="s">
        <v>247</v>
      </c>
      <c r="AD2262" s="52" t="s">
        <v>1</v>
      </c>
      <c r="AE2262" s="52" t="s">
        <v>383</v>
      </c>
      <c r="AF2262" s="155" t="s">
        <v>247</v>
      </c>
      <c r="AG2262" s="155" t="s">
        <v>247</v>
      </c>
    </row>
    <row r="2263" spans="25:33">
      <c r="Y2263" s="47">
        <v>5478</v>
      </c>
      <c r="Z2263" s="52" t="s">
        <v>410</v>
      </c>
      <c r="AA2263" s="52" t="s">
        <v>247</v>
      </c>
      <c r="AB2263" s="52" t="s">
        <v>247</v>
      </c>
      <c r="AC2263" s="52" t="s">
        <v>247</v>
      </c>
      <c r="AD2263" s="52" t="s">
        <v>1</v>
      </c>
      <c r="AE2263" s="52" t="s">
        <v>383</v>
      </c>
      <c r="AF2263" s="155" t="s">
        <v>247</v>
      </c>
      <c r="AG2263" s="155" t="s">
        <v>247</v>
      </c>
    </row>
    <row r="2264" spans="25:33">
      <c r="Y2264" s="47">
        <v>5479</v>
      </c>
      <c r="Z2264" s="52" t="s">
        <v>410</v>
      </c>
      <c r="AA2264" s="52" t="s">
        <v>247</v>
      </c>
      <c r="AB2264" s="52" t="s">
        <v>247</v>
      </c>
      <c r="AC2264" s="52" t="s">
        <v>247</v>
      </c>
      <c r="AD2264" s="52" t="s">
        <v>1</v>
      </c>
      <c r="AE2264" s="52" t="s">
        <v>383</v>
      </c>
      <c r="AF2264" s="155" t="s">
        <v>247</v>
      </c>
      <c r="AG2264" s="155" t="s">
        <v>247</v>
      </c>
    </row>
    <row r="2265" spans="25:33">
      <c r="Y2265" s="47">
        <v>5480</v>
      </c>
      <c r="Z2265" s="52" t="s">
        <v>410</v>
      </c>
      <c r="AA2265" s="52" t="s">
        <v>247</v>
      </c>
      <c r="AB2265" s="52" t="s">
        <v>247</v>
      </c>
      <c r="AC2265" s="52" t="s">
        <v>247</v>
      </c>
      <c r="AD2265" s="52" t="s">
        <v>1</v>
      </c>
      <c r="AE2265" s="52" t="s">
        <v>383</v>
      </c>
      <c r="AF2265" s="155" t="s">
        <v>247</v>
      </c>
      <c r="AG2265" s="155" t="s">
        <v>247</v>
      </c>
    </row>
    <row r="2266" spans="25:33">
      <c r="Y2266" s="47">
        <v>5481</v>
      </c>
      <c r="Z2266" s="52" t="s">
        <v>410</v>
      </c>
      <c r="AA2266" s="52" t="s">
        <v>247</v>
      </c>
      <c r="AB2266" s="52" t="s">
        <v>247</v>
      </c>
      <c r="AC2266" s="52" t="s">
        <v>247</v>
      </c>
      <c r="AD2266" s="52" t="s">
        <v>1</v>
      </c>
      <c r="AE2266" s="52" t="s">
        <v>383</v>
      </c>
      <c r="AF2266" s="155" t="s">
        <v>247</v>
      </c>
      <c r="AG2266" s="155" t="s">
        <v>247</v>
      </c>
    </row>
    <row r="2267" spans="25:33">
      <c r="Y2267" s="47">
        <v>5482</v>
      </c>
      <c r="Z2267" s="52" t="s">
        <v>410</v>
      </c>
      <c r="AA2267" s="52" t="s">
        <v>247</v>
      </c>
      <c r="AB2267" s="52" t="s">
        <v>247</v>
      </c>
      <c r="AC2267" s="52" t="s">
        <v>247</v>
      </c>
      <c r="AD2267" s="52" t="s">
        <v>1</v>
      </c>
      <c r="AE2267" s="52" t="s">
        <v>383</v>
      </c>
      <c r="AF2267" s="155" t="s">
        <v>247</v>
      </c>
      <c r="AG2267" s="155" t="s">
        <v>247</v>
      </c>
    </row>
    <row r="2268" spans="25:33">
      <c r="Y2268" s="47">
        <v>5483</v>
      </c>
      <c r="Z2268" s="52" t="s">
        <v>410</v>
      </c>
      <c r="AA2268" s="52" t="s">
        <v>247</v>
      </c>
      <c r="AB2268" s="52" t="s">
        <v>247</v>
      </c>
      <c r="AC2268" s="52" t="s">
        <v>247</v>
      </c>
      <c r="AD2268" s="52" t="s">
        <v>1</v>
      </c>
      <c r="AE2268" s="52" t="s">
        <v>383</v>
      </c>
      <c r="AF2268" s="155" t="s">
        <v>247</v>
      </c>
      <c r="AG2268" s="155" t="s">
        <v>247</v>
      </c>
    </row>
    <row r="2269" spans="25:33">
      <c r="Y2269" s="47">
        <v>5484</v>
      </c>
      <c r="Z2269" s="52" t="s">
        <v>410</v>
      </c>
      <c r="AA2269" s="52" t="s">
        <v>247</v>
      </c>
      <c r="AB2269" s="52" t="s">
        <v>247</v>
      </c>
      <c r="AC2269" s="52" t="s">
        <v>247</v>
      </c>
      <c r="AD2269" s="52" t="s">
        <v>1</v>
      </c>
      <c r="AE2269" s="52" t="s">
        <v>383</v>
      </c>
      <c r="AF2269" s="155" t="s">
        <v>247</v>
      </c>
      <c r="AG2269" s="155" t="s">
        <v>247</v>
      </c>
    </row>
    <row r="2270" spans="25:33">
      <c r="Y2270" s="47">
        <v>5485</v>
      </c>
      <c r="Z2270" s="52" t="s">
        <v>410</v>
      </c>
      <c r="AA2270" s="52" t="s">
        <v>247</v>
      </c>
      <c r="AB2270" s="52" t="s">
        <v>247</v>
      </c>
      <c r="AC2270" s="52" t="s">
        <v>247</v>
      </c>
      <c r="AD2270" s="52" t="s">
        <v>1</v>
      </c>
      <c r="AE2270" s="52" t="s">
        <v>383</v>
      </c>
      <c r="AF2270" s="155" t="s">
        <v>247</v>
      </c>
      <c r="AG2270" s="155" t="s">
        <v>247</v>
      </c>
    </row>
    <row r="2271" spans="25:33">
      <c r="Y2271" s="47">
        <v>5486</v>
      </c>
      <c r="Z2271" s="52" t="s">
        <v>410</v>
      </c>
      <c r="AA2271" s="52" t="s">
        <v>247</v>
      </c>
      <c r="AB2271" s="52" t="s">
        <v>247</v>
      </c>
      <c r="AC2271" s="52" t="s">
        <v>247</v>
      </c>
      <c r="AD2271" s="52" t="s">
        <v>1</v>
      </c>
      <c r="AE2271" s="52" t="s">
        <v>383</v>
      </c>
      <c r="AF2271" s="155" t="s">
        <v>247</v>
      </c>
      <c r="AG2271" s="155" t="s">
        <v>247</v>
      </c>
    </row>
    <row r="2272" spans="25:33">
      <c r="Y2272" s="47">
        <v>5487</v>
      </c>
      <c r="Z2272" s="52" t="s">
        <v>410</v>
      </c>
      <c r="AA2272" s="52" t="s">
        <v>247</v>
      </c>
      <c r="AB2272" s="52" t="s">
        <v>247</v>
      </c>
      <c r="AC2272" s="52" t="s">
        <v>247</v>
      </c>
      <c r="AD2272" s="52" t="s">
        <v>1</v>
      </c>
      <c r="AE2272" s="52" t="s">
        <v>383</v>
      </c>
      <c r="AF2272" s="155" t="s">
        <v>247</v>
      </c>
      <c r="AG2272" s="155" t="s">
        <v>247</v>
      </c>
    </row>
    <row r="2273" spans="25:33">
      <c r="Y2273" s="47">
        <v>5488</v>
      </c>
      <c r="Z2273" s="52" t="s">
        <v>410</v>
      </c>
      <c r="AA2273" s="52" t="s">
        <v>247</v>
      </c>
      <c r="AB2273" s="52" t="s">
        <v>247</v>
      </c>
      <c r="AC2273" s="52" t="s">
        <v>247</v>
      </c>
      <c r="AD2273" s="52" t="s">
        <v>1</v>
      </c>
      <c r="AE2273" s="52" t="s">
        <v>383</v>
      </c>
      <c r="AF2273" s="155" t="s">
        <v>247</v>
      </c>
      <c r="AG2273" s="155" t="s">
        <v>247</v>
      </c>
    </row>
    <row r="2274" spans="25:33">
      <c r="Y2274" s="47">
        <v>5489</v>
      </c>
      <c r="Z2274" s="52" t="s">
        <v>410</v>
      </c>
      <c r="AA2274" s="52" t="s">
        <v>247</v>
      </c>
      <c r="AB2274" s="52" t="s">
        <v>247</v>
      </c>
      <c r="AC2274" s="52" t="s">
        <v>247</v>
      </c>
      <c r="AD2274" s="52" t="s">
        <v>1</v>
      </c>
      <c r="AE2274" s="52" t="s">
        <v>383</v>
      </c>
      <c r="AF2274" s="155" t="s">
        <v>247</v>
      </c>
      <c r="AG2274" s="155" t="s">
        <v>247</v>
      </c>
    </row>
    <row r="2275" spans="25:33">
      <c r="Y2275" s="47">
        <v>5490</v>
      </c>
      <c r="Z2275" s="52" t="s">
        <v>410</v>
      </c>
      <c r="AA2275" s="52" t="s">
        <v>247</v>
      </c>
      <c r="AB2275" s="52" t="s">
        <v>247</v>
      </c>
      <c r="AC2275" s="52" t="s">
        <v>247</v>
      </c>
      <c r="AD2275" s="52" t="s">
        <v>1</v>
      </c>
      <c r="AE2275" s="52" t="s">
        <v>383</v>
      </c>
      <c r="AF2275" s="155" t="s">
        <v>247</v>
      </c>
      <c r="AG2275" s="155" t="s">
        <v>247</v>
      </c>
    </row>
    <row r="2276" spans="25:33">
      <c r="Y2276" s="47">
        <v>5491</v>
      </c>
      <c r="Z2276" s="52" t="s">
        <v>410</v>
      </c>
      <c r="AA2276" s="52" t="s">
        <v>247</v>
      </c>
      <c r="AB2276" s="52" t="s">
        <v>247</v>
      </c>
      <c r="AC2276" s="52" t="s">
        <v>247</v>
      </c>
      <c r="AD2276" s="52" t="s">
        <v>1</v>
      </c>
      <c r="AE2276" s="52" t="s">
        <v>383</v>
      </c>
      <c r="AF2276" s="155" t="s">
        <v>247</v>
      </c>
      <c r="AG2276" s="155" t="s">
        <v>247</v>
      </c>
    </row>
    <row r="2277" spans="25:33">
      <c r="Y2277" s="47">
        <v>5492</v>
      </c>
      <c r="Z2277" s="52" t="s">
        <v>410</v>
      </c>
      <c r="AA2277" s="52" t="s">
        <v>247</v>
      </c>
      <c r="AB2277" s="52" t="s">
        <v>247</v>
      </c>
      <c r="AC2277" s="52" t="s">
        <v>247</v>
      </c>
      <c r="AD2277" s="52" t="s">
        <v>1</v>
      </c>
      <c r="AE2277" s="52" t="s">
        <v>383</v>
      </c>
      <c r="AF2277" s="155" t="s">
        <v>247</v>
      </c>
      <c r="AG2277" s="155" t="s">
        <v>247</v>
      </c>
    </row>
    <row r="2278" spans="25:33">
      <c r="Y2278" s="47">
        <v>5493</v>
      </c>
      <c r="Z2278" s="52" t="s">
        <v>410</v>
      </c>
      <c r="AA2278" s="52" t="s">
        <v>247</v>
      </c>
      <c r="AB2278" s="52" t="s">
        <v>247</v>
      </c>
      <c r="AC2278" s="52" t="s">
        <v>247</v>
      </c>
      <c r="AD2278" s="52" t="s">
        <v>1</v>
      </c>
      <c r="AE2278" s="52" t="s">
        <v>383</v>
      </c>
      <c r="AF2278" s="155" t="s">
        <v>247</v>
      </c>
      <c r="AG2278" s="155" t="s">
        <v>247</v>
      </c>
    </row>
    <row r="2279" spans="25:33">
      <c r="Y2279" s="47">
        <v>5494</v>
      </c>
      <c r="Z2279" s="52" t="s">
        <v>410</v>
      </c>
      <c r="AA2279" s="52" t="s">
        <v>247</v>
      </c>
      <c r="AB2279" s="52" t="s">
        <v>247</v>
      </c>
      <c r="AC2279" s="52" t="s">
        <v>247</v>
      </c>
      <c r="AD2279" s="52" t="s">
        <v>1</v>
      </c>
      <c r="AE2279" s="52" t="s">
        <v>383</v>
      </c>
      <c r="AF2279" s="155" t="s">
        <v>247</v>
      </c>
      <c r="AG2279" s="155" t="s">
        <v>247</v>
      </c>
    </row>
    <row r="2280" spans="25:33">
      <c r="Y2280" s="47">
        <v>5495</v>
      </c>
      <c r="Z2280" s="52" t="s">
        <v>410</v>
      </c>
      <c r="AA2280" s="52" t="s">
        <v>247</v>
      </c>
      <c r="AB2280" s="52" t="s">
        <v>247</v>
      </c>
      <c r="AC2280" s="52" t="s">
        <v>247</v>
      </c>
      <c r="AD2280" s="52" t="s">
        <v>1</v>
      </c>
      <c r="AE2280" s="52" t="s">
        <v>383</v>
      </c>
      <c r="AF2280" s="155" t="s">
        <v>247</v>
      </c>
      <c r="AG2280" s="155" t="s">
        <v>247</v>
      </c>
    </row>
    <row r="2281" spans="25:33">
      <c r="Y2281" s="47">
        <v>5496</v>
      </c>
      <c r="Z2281" s="52" t="s">
        <v>410</v>
      </c>
      <c r="AA2281" s="52" t="s">
        <v>247</v>
      </c>
      <c r="AB2281" s="52" t="s">
        <v>247</v>
      </c>
      <c r="AC2281" s="52" t="s">
        <v>247</v>
      </c>
      <c r="AD2281" s="52" t="s">
        <v>1</v>
      </c>
      <c r="AE2281" s="52" t="s">
        <v>383</v>
      </c>
      <c r="AF2281" s="155" t="s">
        <v>247</v>
      </c>
      <c r="AG2281" s="155" t="s">
        <v>247</v>
      </c>
    </row>
    <row r="2282" spans="25:33">
      <c r="Y2282" s="47">
        <v>5497</v>
      </c>
      <c r="Z2282" s="52" t="s">
        <v>410</v>
      </c>
      <c r="AA2282" s="52" t="s">
        <v>247</v>
      </c>
      <c r="AB2282" s="52" t="s">
        <v>247</v>
      </c>
      <c r="AC2282" s="52" t="s">
        <v>247</v>
      </c>
      <c r="AD2282" s="52" t="s">
        <v>1</v>
      </c>
      <c r="AE2282" s="52" t="s">
        <v>383</v>
      </c>
      <c r="AF2282" s="155" t="s">
        <v>247</v>
      </c>
      <c r="AG2282" s="155" t="s">
        <v>247</v>
      </c>
    </row>
    <row r="2283" spans="25:33">
      <c r="Y2283" s="47">
        <v>5498</v>
      </c>
      <c r="Z2283" s="52" t="s">
        <v>410</v>
      </c>
      <c r="AA2283" s="52" t="s">
        <v>247</v>
      </c>
      <c r="AB2283" s="52" t="s">
        <v>247</v>
      </c>
      <c r="AC2283" s="52" t="s">
        <v>247</v>
      </c>
      <c r="AD2283" s="52" t="s">
        <v>1</v>
      </c>
      <c r="AE2283" s="52" t="s">
        <v>383</v>
      </c>
      <c r="AF2283" s="155" t="s">
        <v>247</v>
      </c>
      <c r="AG2283" s="155" t="s">
        <v>247</v>
      </c>
    </row>
    <row r="2284" spans="25:33">
      <c r="Y2284" s="47">
        <v>5499</v>
      </c>
      <c r="Z2284" s="52" t="s">
        <v>410</v>
      </c>
      <c r="AA2284" s="52" t="s">
        <v>247</v>
      </c>
      <c r="AB2284" s="52" t="s">
        <v>247</v>
      </c>
      <c r="AC2284" s="52" t="s">
        <v>247</v>
      </c>
      <c r="AD2284" s="52" t="s">
        <v>1</v>
      </c>
      <c r="AE2284" s="52" t="s">
        <v>383</v>
      </c>
      <c r="AF2284" s="155" t="s">
        <v>247</v>
      </c>
      <c r="AG2284" s="155" t="s">
        <v>247</v>
      </c>
    </row>
    <row r="2285" spans="25:33">
      <c r="Y2285" s="47">
        <v>5500</v>
      </c>
      <c r="Z2285" s="52" t="s">
        <v>410</v>
      </c>
      <c r="AA2285" s="52" t="s">
        <v>247</v>
      </c>
      <c r="AB2285" s="52" t="s">
        <v>247</v>
      </c>
      <c r="AC2285" s="52" t="s">
        <v>247</v>
      </c>
      <c r="AD2285" s="52" t="s">
        <v>1</v>
      </c>
      <c r="AE2285" s="52" t="s">
        <v>383</v>
      </c>
      <c r="AF2285" s="155" t="s">
        <v>247</v>
      </c>
      <c r="AG2285" s="155" t="s">
        <v>247</v>
      </c>
    </row>
    <row r="2286" spans="25:33">
      <c r="Y2286" s="47">
        <v>5501</v>
      </c>
      <c r="Z2286" s="52" t="s">
        <v>410</v>
      </c>
      <c r="AA2286" s="52" t="s">
        <v>247</v>
      </c>
      <c r="AB2286" s="52" t="s">
        <v>247</v>
      </c>
      <c r="AC2286" s="52" t="s">
        <v>247</v>
      </c>
      <c r="AD2286" s="52" t="s">
        <v>1</v>
      </c>
      <c r="AE2286" s="52" t="s">
        <v>383</v>
      </c>
      <c r="AF2286" s="155" t="s">
        <v>247</v>
      </c>
      <c r="AG2286" s="155" t="s">
        <v>247</v>
      </c>
    </row>
    <row r="2287" spans="25:33">
      <c r="Y2287" s="47">
        <v>5502</v>
      </c>
      <c r="Z2287" s="52" t="s">
        <v>410</v>
      </c>
      <c r="AA2287" s="52" t="s">
        <v>247</v>
      </c>
      <c r="AB2287" s="52" t="s">
        <v>247</v>
      </c>
      <c r="AC2287" s="52" t="s">
        <v>247</v>
      </c>
      <c r="AD2287" s="52" t="s">
        <v>1</v>
      </c>
      <c r="AE2287" s="52" t="s">
        <v>383</v>
      </c>
      <c r="AF2287" s="155" t="s">
        <v>247</v>
      </c>
      <c r="AG2287" s="155" t="s">
        <v>247</v>
      </c>
    </row>
    <row r="2288" spans="25:33">
      <c r="Y2288" s="47">
        <v>5503</v>
      </c>
      <c r="Z2288" s="52" t="s">
        <v>410</v>
      </c>
      <c r="AA2288" s="52" t="s">
        <v>247</v>
      </c>
      <c r="AB2288" s="52" t="s">
        <v>247</v>
      </c>
      <c r="AC2288" s="52" t="s">
        <v>247</v>
      </c>
      <c r="AD2288" s="52" t="s">
        <v>1</v>
      </c>
      <c r="AE2288" s="52" t="s">
        <v>383</v>
      </c>
      <c r="AF2288" s="155" t="s">
        <v>247</v>
      </c>
      <c r="AG2288" s="155" t="s">
        <v>247</v>
      </c>
    </row>
    <row r="2289" spans="25:33">
      <c r="Y2289" s="47">
        <v>5504</v>
      </c>
      <c r="Z2289" s="52" t="s">
        <v>410</v>
      </c>
      <c r="AA2289" s="52" t="s">
        <v>247</v>
      </c>
      <c r="AB2289" s="52" t="s">
        <v>247</v>
      </c>
      <c r="AC2289" s="52" t="s">
        <v>247</v>
      </c>
      <c r="AD2289" s="52" t="s">
        <v>1</v>
      </c>
      <c r="AE2289" s="52" t="s">
        <v>383</v>
      </c>
      <c r="AF2289" s="155" t="s">
        <v>247</v>
      </c>
      <c r="AG2289" s="155" t="s">
        <v>247</v>
      </c>
    </row>
    <row r="2290" spans="25:33">
      <c r="Y2290" s="47">
        <v>5505</v>
      </c>
      <c r="Z2290" s="52" t="s">
        <v>410</v>
      </c>
      <c r="AA2290" s="52" t="s">
        <v>247</v>
      </c>
      <c r="AB2290" s="52" t="s">
        <v>247</v>
      </c>
      <c r="AC2290" s="52" t="s">
        <v>247</v>
      </c>
      <c r="AD2290" s="52" t="s">
        <v>1</v>
      </c>
      <c r="AE2290" s="52" t="s">
        <v>383</v>
      </c>
      <c r="AF2290" s="155" t="s">
        <v>247</v>
      </c>
      <c r="AG2290" s="155" t="s">
        <v>247</v>
      </c>
    </row>
    <row r="2291" spans="25:33">
      <c r="Y2291" s="47">
        <v>5506</v>
      </c>
      <c r="Z2291" s="52" t="s">
        <v>410</v>
      </c>
      <c r="AA2291" s="52" t="s">
        <v>247</v>
      </c>
      <c r="AB2291" s="52" t="s">
        <v>247</v>
      </c>
      <c r="AC2291" s="52" t="s">
        <v>247</v>
      </c>
      <c r="AD2291" s="52" t="s">
        <v>1</v>
      </c>
      <c r="AE2291" s="52" t="s">
        <v>383</v>
      </c>
      <c r="AF2291" s="155" t="s">
        <v>247</v>
      </c>
      <c r="AG2291" s="155" t="s">
        <v>247</v>
      </c>
    </row>
    <row r="2292" spans="25:33">
      <c r="Y2292" s="47">
        <v>5507</v>
      </c>
      <c r="Z2292" s="52" t="s">
        <v>410</v>
      </c>
      <c r="AA2292" s="52" t="s">
        <v>247</v>
      </c>
      <c r="AB2292" s="52" t="s">
        <v>247</v>
      </c>
      <c r="AC2292" s="52" t="s">
        <v>247</v>
      </c>
      <c r="AD2292" s="52" t="s">
        <v>1</v>
      </c>
      <c r="AE2292" s="52" t="s">
        <v>383</v>
      </c>
      <c r="AF2292" s="155" t="s">
        <v>247</v>
      </c>
      <c r="AG2292" s="155" t="s">
        <v>247</v>
      </c>
    </row>
    <row r="2293" spans="25:33">
      <c r="Y2293" s="47">
        <v>5508</v>
      </c>
      <c r="Z2293" s="52" t="s">
        <v>410</v>
      </c>
      <c r="AA2293" s="52" t="s">
        <v>247</v>
      </c>
      <c r="AB2293" s="52" t="s">
        <v>247</v>
      </c>
      <c r="AC2293" s="52" t="s">
        <v>247</v>
      </c>
      <c r="AD2293" s="52" t="s">
        <v>1</v>
      </c>
      <c r="AE2293" s="52" t="s">
        <v>383</v>
      </c>
      <c r="AF2293" s="155" t="s">
        <v>247</v>
      </c>
      <c r="AG2293" s="155" t="s">
        <v>247</v>
      </c>
    </row>
    <row r="2294" spans="25:33">
      <c r="Y2294" s="47">
        <v>5509</v>
      </c>
      <c r="Z2294" s="52" t="s">
        <v>410</v>
      </c>
      <c r="AA2294" s="52" t="s">
        <v>247</v>
      </c>
      <c r="AB2294" s="52" t="s">
        <v>247</v>
      </c>
      <c r="AC2294" s="52" t="s">
        <v>247</v>
      </c>
      <c r="AD2294" s="52" t="s">
        <v>1</v>
      </c>
      <c r="AE2294" s="52" t="s">
        <v>383</v>
      </c>
      <c r="AF2294" s="155" t="s">
        <v>247</v>
      </c>
      <c r="AG2294" s="155" t="s">
        <v>247</v>
      </c>
    </row>
    <row r="2295" spans="25:33">
      <c r="Y2295" s="47">
        <v>5510</v>
      </c>
      <c r="Z2295" s="52" t="s">
        <v>410</v>
      </c>
      <c r="AA2295" s="52" t="s">
        <v>247</v>
      </c>
      <c r="AB2295" s="52" t="s">
        <v>247</v>
      </c>
      <c r="AC2295" s="52" t="s">
        <v>247</v>
      </c>
      <c r="AD2295" s="52" t="s">
        <v>1</v>
      </c>
      <c r="AE2295" s="52" t="s">
        <v>383</v>
      </c>
      <c r="AF2295" s="155" t="s">
        <v>247</v>
      </c>
      <c r="AG2295" s="155" t="s">
        <v>247</v>
      </c>
    </row>
    <row r="2296" spans="25:33">
      <c r="Y2296" s="47">
        <v>5511</v>
      </c>
      <c r="Z2296" s="52" t="s">
        <v>410</v>
      </c>
      <c r="AA2296" s="52" t="s">
        <v>247</v>
      </c>
      <c r="AB2296" s="52" t="s">
        <v>247</v>
      </c>
      <c r="AC2296" s="52" t="s">
        <v>247</v>
      </c>
      <c r="AD2296" s="52" t="s">
        <v>1</v>
      </c>
      <c r="AE2296" s="52" t="s">
        <v>383</v>
      </c>
      <c r="AF2296" s="155" t="s">
        <v>247</v>
      </c>
      <c r="AG2296" s="155" t="s">
        <v>247</v>
      </c>
    </row>
    <row r="2297" spans="25:33">
      <c r="Y2297" s="47">
        <v>5512</v>
      </c>
      <c r="Z2297" s="52" t="s">
        <v>410</v>
      </c>
      <c r="AA2297" s="52" t="s">
        <v>247</v>
      </c>
      <c r="AB2297" s="52" t="s">
        <v>247</v>
      </c>
      <c r="AC2297" s="52" t="s">
        <v>247</v>
      </c>
      <c r="AD2297" s="52" t="s">
        <v>1</v>
      </c>
      <c r="AE2297" s="52" t="s">
        <v>383</v>
      </c>
      <c r="AF2297" s="155" t="s">
        <v>247</v>
      </c>
      <c r="AG2297" s="155" t="s">
        <v>247</v>
      </c>
    </row>
    <row r="2298" spans="25:33">
      <c r="Y2298" s="47">
        <v>5513</v>
      </c>
      <c r="Z2298" s="52" t="s">
        <v>410</v>
      </c>
      <c r="AA2298" s="52" t="s">
        <v>247</v>
      </c>
      <c r="AB2298" s="52" t="s">
        <v>247</v>
      </c>
      <c r="AC2298" s="52" t="s">
        <v>247</v>
      </c>
      <c r="AD2298" s="52" t="s">
        <v>1</v>
      </c>
      <c r="AE2298" s="52" t="s">
        <v>383</v>
      </c>
      <c r="AF2298" s="155" t="s">
        <v>247</v>
      </c>
      <c r="AG2298" s="155" t="s">
        <v>247</v>
      </c>
    </row>
    <row r="2299" spans="25:33">
      <c r="Y2299" s="47">
        <v>5514</v>
      </c>
      <c r="Z2299" s="52" t="s">
        <v>410</v>
      </c>
      <c r="AA2299" s="52" t="s">
        <v>247</v>
      </c>
      <c r="AB2299" s="52" t="s">
        <v>247</v>
      </c>
      <c r="AC2299" s="52" t="s">
        <v>247</v>
      </c>
      <c r="AD2299" s="52" t="s">
        <v>1</v>
      </c>
      <c r="AE2299" s="52" t="s">
        <v>383</v>
      </c>
      <c r="AF2299" s="155" t="s">
        <v>247</v>
      </c>
      <c r="AG2299" s="155" t="s">
        <v>247</v>
      </c>
    </row>
    <row r="2300" spans="25:33">
      <c r="Y2300" s="47">
        <v>5515</v>
      </c>
      <c r="Z2300" s="52" t="s">
        <v>410</v>
      </c>
      <c r="AA2300" s="52" t="s">
        <v>247</v>
      </c>
      <c r="AB2300" s="52" t="s">
        <v>247</v>
      </c>
      <c r="AC2300" s="52" t="s">
        <v>247</v>
      </c>
      <c r="AD2300" s="52" t="s">
        <v>1</v>
      </c>
      <c r="AE2300" s="52" t="s">
        <v>383</v>
      </c>
      <c r="AF2300" s="155" t="s">
        <v>247</v>
      </c>
      <c r="AG2300" s="155" t="s">
        <v>247</v>
      </c>
    </row>
    <row r="2301" spans="25:33">
      <c r="Y2301" s="47">
        <v>5516</v>
      </c>
      <c r="Z2301" s="52" t="s">
        <v>410</v>
      </c>
      <c r="AA2301" s="52" t="s">
        <v>247</v>
      </c>
      <c r="AB2301" s="52" t="s">
        <v>247</v>
      </c>
      <c r="AC2301" s="52" t="s">
        <v>247</v>
      </c>
      <c r="AD2301" s="52" t="s">
        <v>1</v>
      </c>
      <c r="AE2301" s="52" t="s">
        <v>383</v>
      </c>
      <c r="AF2301" s="155" t="s">
        <v>247</v>
      </c>
      <c r="AG2301" s="155" t="s">
        <v>247</v>
      </c>
    </row>
    <row r="2302" spans="25:33">
      <c r="Y2302" s="47">
        <v>5517</v>
      </c>
      <c r="Z2302" s="52" t="s">
        <v>410</v>
      </c>
      <c r="AA2302" s="52" t="s">
        <v>247</v>
      </c>
      <c r="AB2302" s="52" t="s">
        <v>247</v>
      </c>
      <c r="AC2302" s="52" t="s">
        <v>247</v>
      </c>
      <c r="AD2302" s="52" t="s">
        <v>1</v>
      </c>
      <c r="AE2302" s="52" t="s">
        <v>383</v>
      </c>
      <c r="AF2302" s="155" t="s">
        <v>247</v>
      </c>
      <c r="AG2302" s="155" t="s">
        <v>247</v>
      </c>
    </row>
    <row r="2303" spans="25:33">
      <c r="Y2303" s="47">
        <v>5518</v>
      </c>
      <c r="Z2303" s="52" t="s">
        <v>410</v>
      </c>
      <c r="AA2303" s="52" t="s">
        <v>247</v>
      </c>
      <c r="AB2303" s="52" t="s">
        <v>247</v>
      </c>
      <c r="AC2303" s="52" t="s">
        <v>247</v>
      </c>
      <c r="AD2303" s="52" t="s">
        <v>1</v>
      </c>
      <c r="AE2303" s="52" t="s">
        <v>383</v>
      </c>
      <c r="AF2303" s="155" t="s">
        <v>247</v>
      </c>
      <c r="AG2303" s="155" t="s">
        <v>247</v>
      </c>
    </row>
    <row r="2304" spans="25:33">
      <c r="Y2304" s="47">
        <v>5519</v>
      </c>
      <c r="Z2304" s="52" t="s">
        <v>410</v>
      </c>
      <c r="AA2304" s="52" t="s">
        <v>247</v>
      </c>
      <c r="AB2304" s="52" t="s">
        <v>247</v>
      </c>
      <c r="AC2304" s="52" t="s">
        <v>247</v>
      </c>
      <c r="AD2304" s="52" t="s">
        <v>1</v>
      </c>
      <c r="AE2304" s="52" t="s">
        <v>383</v>
      </c>
      <c r="AF2304" s="155" t="s">
        <v>247</v>
      </c>
      <c r="AG2304" s="155" t="s">
        <v>247</v>
      </c>
    </row>
    <row r="2305" spans="25:33">
      <c r="Y2305" s="47">
        <v>5520</v>
      </c>
      <c r="Z2305" s="52" t="s">
        <v>410</v>
      </c>
      <c r="AA2305" s="52" t="s">
        <v>247</v>
      </c>
      <c r="AB2305" s="52" t="s">
        <v>247</v>
      </c>
      <c r="AC2305" s="52" t="s">
        <v>247</v>
      </c>
      <c r="AD2305" s="52" t="s">
        <v>1</v>
      </c>
      <c r="AE2305" s="52" t="s">
        <v>383</v>
      </c>
      <c r="AF2305" s="155" t="s">
        <v>247</v>
      </c>
      <c r="AG2305" s="155" t="s">
        <v>247</v>
      </c>
    </row>
    <row r="2306" spans="25:33">
      <c r="Y2306" s="47">
        <v>5521</v>
      </c>
      <c r="Z2306" s="52" t="s">
        <v>410</v>
      </c>
      <c r="AA2306" s="52" t="s">
        <v>247</v>
      </c>
      <c r="AB2306" s="52" t="s">
        <v>247</v>
      </c>
      <c r="AC2306" s="52" t="s">
        <v>247</v>
      </c>
      <c r="AD2306" s="52" t="s">
        <v>1</v>
      </c>
      <c r="AE2306" s="52" t="s">
        <v>383</v>
      </c>
      <c r="AF2306" s="155" t="s">
        <v>247</v>
      </c>
      <c r="AG2306" s="155" t="s">
        <v>247</v>
      </c>
    </row>
    <row r="2307" spans="25:33">
      <c r="Y2307" s="47">
        <v>5522</v>
      </c>
      <c r="Z2307" s="52" t="s">
        <v>410</v>
      </c>
      <c r="AA2307" s="52" t="s">
        <v>247</v>
      </c>
      <c r="AB2307" s="52" t="s">
        <v>247</v>
      </c>
      <c r="AC2307" s="52" t="s">
        <v>247</v>
      </c>
      <c r="AD2307" s="52" t="s">
        <v>1</v>
      </c>
      <c r="AE2307" s="52" t="s">
        <v>383</v>
      </c>
      <c r="AF2307" s="155" t="s">
        <v>247</v>
      </c>
      <c r="AG2307" s="155" t="s">
        <v>247</v>
      </c>
    </row>
    <row r="2308" spans="25:33">
      <c r="Y2308" s="47">
        <v>5523</v>
      </c>
      <c r="Z2308" s="52" t="s">
        <v>410</v>
      </c>
      <c r="AA2308" s="52" t="s">
        <v>247</v>
      </c>
      <c r="AB2308" s="52" t="s">
        <v>247</v>
      </c>
      <c r="AC2308" s="52" t="s">
        <v>247</v>
      </c>
      <c r="AD2308" s="52" t="s">
        <v>1</v>
      </c>
      <c r="AE2308" s="52" t="s">
        <v>383</v>
      </c>
      <c r="AF2308" s="155" t="s">
        <v>247</v>
      </c>
      <c r="AG2308" s="155" t="s">
        <v>247</v>
      </c>
    </row>
    <row r="2309" spans="25:33">
      <c r="Y2309" s="47">
        <v>5524</v>
      </c>
      <c r="Z2309" s="52" t="s">
        <v>410</v>
      </c>
      <c r="AA2309" s="52" t="s">
        <v>247</v>
      </c>
      <c r="AB2309" s="52" t="s">
        <v>247</v>
      </c>
      <c r="AC2309" s="52" t="s">
        <v>247</v>
      </c>
      <c r="AD2309" s="52" t="s">
        <v>1</v>
      </c>
      <c r="AE2309" s="52" t="s">
        <v>383</v>
      </c>
      <c r="AF2309" s="155" t="s">
        <v>247</v>
      </c>
      <c r="AG2309" s="155" t="s">
        <v>247</v>
      </c>
    </row>
    <row r="2310" spans="25:33">
      <c r="Y2310" s="47">
        <v>5525</v>
      </c>
      <c r="Z2310" s="52" t="s">
        <v>410</v>
      </c>
      <c r="AA2310" s="52" t="s">
        <v>247</v>
      </c>
      <c r="AB2310" s="52" t="s">
        <v>247</v>
      </c>
      <c r="AC2310" s="52" t="s">
        <v>247</v>
      </c>
      <c r="AD2310" s="52" t="s">
        <v>1</v>
      </c>
      <c r="AE2310" s="52" t="s">
        <v>383</v>
      </c>
      <c r="AF2310" s="155" t="s">
        <v>247</v>
      </c>
      <c r="AG2310" s="155" t="s">
        <v>247</v>
      </c>
    </row>
    <row r="2311" spans="25:33">
      <c r="Y2311" s="47">
        <v>5526</v>
      </c>
      <c r="Z2311" s="52" t="s">
        <v>410</v>
      </c>
      <c r="AA2311" s="52" t="s">
        <v>247</v>
      </c>
      <c r="AB2311" s="52" t="s">
        <v>247</v>
      </c>
      <c r="AC2311" s="52" t="s">
        <v>247</v>
      </c>
      <c r="AD2311" s="52" t="s">
        <v>1</v>
      </c>
      <c r="AE2311" s="52" t="s">
        <v>383</v>
      </c>
      <c r="AF2311" s="155" t="s">
        <v>247</v>
      </c>
      <c r="AG2311" s="155" t="s">
        <v>247</v>
      </c>
    </row>
    <row r="2312" spans="25:33">
      <c r="Y2312" s="47">
        <v>5527</v>
      </c>
      <c r="Z2312" s="52" t="s">
        <v>410</v>
      </c>
      <c r="AA2312" s="52" t="s">
        <v>247</v>
      </c>
      <c r="AB2312" s="52" t="s">
        <v>247</v>
      </c>
      <c r="AC2312" s="52" t="s">
        <v>247</v>
      </c>
      <c r="AD2312" s="52" t="s">
        <v>1</v>
      </c>
      <c r="AE2312" s="52" t="s">
        <v>383</v>
      </c>
      <c r="AF2312" s="155" t="s">
        <v>247</v>
      </c>
      <c r="AG2312" s="155" t="s">
        <v>247</v>
      </c>
    </row>
    <row r="2313" spans="25:33">
      <c r="Y2313" s="47">
        <v>5528</v>
      </c>
      <c r="Z2313" s="52" t="s">
        <v>410</v>
      </c>
      <c r="AA2313" s="52" t="s">
        <v>247</v>
      </c>
      <c r="AB2313" s="52" t="s">
        <v>247</v>
      </c>
      <c r="AC2313" s="52" t="s">
        <v>247</v>
      </c>
      <c r="AD2313" s="52" t="s">
        <v>1</v>
      </c>
      <c r="AE2313" s="52" t="s">
        <v>383</v>
      </c>
      <c r="AF2313" s="155" t="s">
        <v>247</v>
      </c>
      <c r="AG2313" s="155" t="s">
        <v>247</v>
      </c>
    </row>
    <row r="2314" spans="25:33">
      <c r="Y2314" s="47">
        <v>5529</v>
      </c>
      <c r="Z2314" s="52" t="s">
        <v>410</v>
      </c>
      <c r="AA2314" s="52" t="s">
        <v>247</v>
      </c>
      <c r="AB2314" s="52" t="s">
        <v>247</v>
      </c>
      <c r="AC2314" s="52" t="s">
        <v>247</v>
      </c>
      <c r="AD2314" s="52" t="s">
        <v>1</v>
      </c>
      <c r="AE2314" s="52" t="s">
        <v>383</v>
      </c>
      <c r="AF2314" s="155" t="s">
        <v>247</v>
      </c>
      <c r="AG2314" s="155" t="s">
        <v>247</v>
      </c>
    </row>
    <row r="2315" spans="25:33">
      <c r="Y2315" s="47">
        <v>5530</v>
      </c>
      <c r="Z2315" s="52" t="s">
        <v>410</v>
      </c>
      <c r="AA2315" s="52" t="s">
        <v>247</v>
      </c>
      <c r="AB2315" s="52" t="s">
        <v>247</v>
      </c>
      <c r="AC2315" s="52" t="s">
        <v>247</v>
      </c>
      <c r="AD2315" s="52" t="s">
        <v>1</v>
      </c>
      <c r="AE2315" s="52" t="s">
        <v>383</v>
      </c>
      <c r="AF2315" s="155" t="s">
        <v>247</v>
      </c>
      <c r="AG2315" s="155" t="s">
        <v>247</v>
      </c>
    </row>
    <row r="2316" spans="25:33">
      <c r="Y2316" s="47">
        <v>5531</v>
      </c>
      <c r="Z2316" s="52" t="s">
        <v>410</v>
      </c>
      <c r="AA2316" s="52" t="s">
        <v>247</v>
      </c>
      <c r="AB2316" s="52" t="s">
        <v>247</v>
      </c>
      <c r="AC2316" s="52" t="s">
        <v>247</v>
      </c>
      <c r="AD2316" s="52" t="s">
        <v>1</v>
      </c>
      <c r="AE2316" s="52" t="s">
        <v>383</v>
      </c>
      <c r="AF2316" s="155" t="s">
        <v>247</v>
      </c>
      <c r="AG2316" s="155" t="s">
        <v>247</v>
      </c>
    </row>
    <row r="2317" spans="25:33">
      <c r="Y2317" s="47">
        <v>5532</v>
      </c>
      <c r="Z2317" s="52" t="s">
        <v>410</v>
      </c>
      <c r="AA2317" s="52" t="s">
        <v>247</v>
      </c>
      <c r="AB2317" s="52" t="s">
        <v>247</v>
      </c>
      <c r="AC2317" s="52" t="s">
        <v>247</v>
      </c>
      <c r="AD2317" s="52" t="s">
        <v>1</v>
      </c>
      <c r="AE2317" s="52" t="s">
        <v>383</v>
      </c>
      <c r="AF2317" s="155" t="s">
        <v>247</v>
      </c>
      <c r="AG2317" s="155" t="s">
        <v>247</v>
      </c>
    </row>
    <row r="2318" spans="25:33">
      <c r="Y2318" s="47">
        <v>5533</v>
      </c>
      <c r="Z2318" s="52" t="s">
        <v>410</v>
      </c>
      <c r="AA2318" s="52" t="s">
        <v>247</v>
      </c>
      <c r="AB2318" s="52" t="s">
        <v>247</v>
      </c>
      <c r="AC2318" s="52" t="s">
        <v>247</v>
      </c>
      <c r="AD2318" s="52" t="s">
        <v>1</v>
      </c>
      <c r="AE2318" s="52" t="s">
        <v>383</v>
      </c>
      <c r="AF2318" s="155" t="s">
        <v>247</v>
      </c>
      <c r="AG2318" s="155" t="s">
        <v>247</v>
      </c>
    </row>
    <row r="2319" spans="25:33">
      <c r="Y2319" s="47">
        <v>5534</v>
      </c>
      <c r="Z2319" s="52" t="s">
        <v>410</v>
      </c>
      <c r="AA2319" s="52" t="s">
        <v>247</v>
      </c>
      <c r="AB2319" s="52" t="s">
        <v>247</v>
      </c>
      <c r="AC2319" s="52" t="s">
        <v>247</v>
      </c>
      <c r="AD2319" s="52" t="s">
        <v>1</v>
      </c>
      <c r="AE2319" s="52" t="s">
        <v>383</v>
      </c>
      <c r="AF2319" s="155" t="s">
        <v>247</v>
      </c>
      <c r="AG2319" s="155" t="s">
        <v>247</v>
      </c>
    </row>
    <row r="2320" spans="25:33">
      <c r="Y2320" s="47">
        <v>5535</v>
      </c>
      <c r="Z2320" s="52" t="s">
        <v>410</v>
      </c>
      <c r="AA2320" s="52" t="s">
        <v>247</v>
      </c>
      <c r="AB2320" s="52" t="s">
        <v>247</v>
      </c>
      <c r="AC2320" s="52" t="s">
        <v>247</v>
      </c>
      <c r="AD2320" s="52" t="s">
        <v>1</v>
      </c>
      <c r="AE2320" s="52" t="s">
        <v>383</v>
      </c>
      <c r="AF2320" s="155" t="s">
        <v>247</v>
      </c>
      <c r="AG2320" s="155" t="s">
        <v>247</v>
      </c>
    </row>
    <row r="2321" spans="25:33">
      <c r="Y2321" s="47">
        <v>5536</v>
      </c>
      <c r="Z2321" s="52" t="s">
        <v>410</v>
      </c>
      <c r="AA2321" s="52" t="s">
        <v>247</v>
      </c>
      <c r="AB2321" s="52" t="s">
        <v>247</v>
      </c>
      <c r="AC2321" s="52" t="s">
        <v>247</v>
      </c>
      <c r="AD2321" s="52" t="s">
        <v>1</v>
      </c>
      <c r="AE2321" s="52" t="s">
        <v>383</v>
      </c>
      <c r="AF2321" s="155" t="s">
        <v>247</v>
      </c>
      <c r="AG2321" s="155" t="s">
        <v>247</v>
      </c>
    </row>
    <row r="2322" spans="25:33">
      <c r="Y2322" s="47">
        <v>5537</v>
      </c>
      <c r="Z2322" s="52" t="s">
        <v>410</v>
      </c>
      <c r="AA2322" s="52" t="s">
        <v>247</v>
      </c>
      <c r="AB2322" s="52" t="s">
        <v>247</v>
      </c>
      <c r="AC2322" s="52" t="s">
        <v>247</v>
      </c>
      <c r="AD2322" s="52" t="s">
        <v>1</v>
      </c>
      <c r="AE2322" s="52" t="s">
        <v>383</v>
      </c>
      <c r="AF2322" s="155" t="s">
        <v>247</v>
      </c>
      <c r="AG2322" s="155" t="s">
        <v>247</v>
      </c>
    </row>
    <row r="2323" spans="25:33">
      <c r="Y2323" s="47">
        <v>5538</v>
      </c>
      <c r="Z2323" s="52" t="s">
        <v>410</v>
      </c>
      <c r="AA2323" s="52" t="s">
        <v>247</v>
      </c>
      <c r="AB2323" s="52" t="s">
        <v>247</v>
      </c>
      <c r="AC2323" s="52" t="s">
        <v>247</v>
      </c>
      <c r="AD2323" s="52" t="s">
        <v>1</v>
      </c>
      <c r="AE2323" s="52" t="s">
        <v>383</v>
      </c>
      <c r="AF2323" s="155" t="s">
        <v>247</v>
      </c>
      <c r="AG2323" s="155" t="s">
        <v>247</v>
      </c>
    </row>
    <row r="2324" spans="25:33">
      <c r="Y2324" s="47">
        <v>5539</v>
      </c>
      <c r="Z2324" s="52" t="s">
        <v>410</v>
      </c>
      <c r="AA2324" s="52" t="s">
        <v>247</v>
      </c>
      <c r="AB2324" s="52" t="s">
        <v>247</v>
      </c>
      <c r="AC2324" s="52" t="s">
        <v>247</v>
      </c>
      <c r="AD2324" s="52" t="s">
        <v>1</v>
      </c>
      <c r="AE2324" s="52" t="s">
        <v>383</v>
      </c>
      <c r="AF2324" s="155" t="s">
        <v>247</v>
      </c>
      <c r="AG2324" s="155" t="s">
        <v>247</v>
      </c>
    </row>
    <row r="2325" spans="25:33">
      <c r="Y2325" s="47">
        <v>5540</v>
      </c>
      <c r="Z2325" s="52" t="s">
        <v>410</v>
      </c>
      <c r="AA2325" s="52" t="s">
        <v>247</v>
      </c>
      <c r="AB2325" s="52" t="s">
        <v>247</v>
      </c>
      <c r="AC2325" s="52" t="s">
        <v>247</v>
      </c>
      <c r="AD2325" s="52" t="s">
        <v>1</v>
      </c>
      <c r="AE2325" s="52" t="s">
        <v>383</v>
      </c>
      <c r="AF2325" s="155" t="s">
        <v>247</v>
      </c>
      <c r="AG2325" s="155" t="s">
        <v>247</v>
      </c>
    </row>
    <row r="2326" spans="25:33">
      <c r="Y2326" s="47">
        <v>5541</v>
      </c>
      <c r="Z2326" s="52" t="s">
        <v>410</v>
      </c>
      <c r="AA2326" s="52" t="s">
        <v>247</v>
      </c>
      <c r="AB2326" s="52" t="s">
        <v>247</v>
      </c>
      <c r="AC2326" s="52" t="s">
        <v>247</v>
      </c>
      <c r="AD2326" s="52" t="s">
        <v>1</v>
      </c>
      <c r="AE2326" s="52" t="s">
        <v>383</v>
      </c>
      <c r="AF2326" s="155" t="s">
        <v>247</v>
      </c>
      <c r="AG2326" s="155" t="s">
        <v>247</v>
      </c>
    </row>
    <row r="2327" spans="25:33">
      <c r="Y2327" s="47">
        <v>5542</v>
      </c>
      <c r="Z2327" s="52" t="s">
        <v>410</v>
      </c>
      <c r="AA2327" s="52" t="s">
        <v>247</v>
      </c>
      <c r="AB2327" s="52" t="s">
        <v>247</v>
      </c>
      <c r="AC2327" s="52" t="s">
        <v>247</v>
      </c>
      <c r="AD2327" s="52" t="s">
        <v>1</v>
      </c>
      <c r="AE2327" s="52" t="s">
        <v>383</v>
      </c>
      <c r="AF2327" s="155" t="s">
        <v>247</v>
      </c>
      <c r="AG2327" s="155" t="s">
        <v>247</v>
      </c>
    </row>
    <row r="2328" spans="25:33">
      <c r="Y2328" s="47">
        <v>5543</v>
      </c>
      <c r="Z2328" s="52" t="s">
        <v>410</v>
      </c>
      <c r="AA2328" s="52" t="s">
        <v>247</v>
      </c>
      <c r="AB2328" s="52" t="s">
        <v>247</v>
      </c>
      <c r="AC2328" s="52" t="s">
        <v>247</v>
      </c>
      <c r="AD2328" s="52" t="s">
        <v>1</v>
      </c>
      <c r="AE2328" s="52" t="s">
        <v>383</v>
      </c>
      <c r="AF2328" s="155" t="s">
        <v>247</v>
      </c>
      <c r="AG2328" s="155" t="s">
        <v>247</v>
      </c>
    </row>
    <row r="2329" spans="25:33">
      <c r="Y2329" s="47">
        <v>5544</v>
      </c>
      <c r="Z2329" s="52" t="s">
        <v>410</v>
      </c>
      <c r="AA2329" s="52" t="s">
        <v>247</v>
      </c>
      <c r="AB2329" s="52" t="s">
        <v>247</v>
      </c>
      <c r="AC2329" s="52" t="s">
        <v>247</v>
      </c>
      <c r="AD2329" s="52" t="s">
        <v>1</v>
      </c>
      <c r="AE2329" s="52" t="s">
        <v>383</v>
      </c>
      <c r="AF2329" s="155" t="s">
        <v>247</v>
      </c>
      <c r="AG2329" s="155" t="s">
        <v>247</v>
      </c>
    </row>
    <row r="2330" spans="25:33">
      <c r="Y2330" s="47">
        <v>5545</v>
      </c>
      <c r="Z2330" s="52" t="s">
        <v>410</v>
      </c>
      <c r="AA2330" s="52" t="s">
        <v>247</v>
      </c>
      <c r="AB2330" s="52" t="s">
        <v>247</v>
      </c>
      <c r="AC2330" s="52" t="s">
        <v>247</v>
      </c>
      <c r="AD2330" s="52" t="s">
        <v>1</v>
      </c>
      <c r="AE2330" s="52" t="s">
        <v>383</v>
      </c>
      <c r="AF2330" s="155" t="s">
        <v>247</v>
      </c>
      <c r="AG2330" s="155" t="s">
        <v>247</v>
      </c>
    </row>
    <row r="2331" spans="25:33">
      <c r="Y2331" s="47">
        <v>5546</v>
      </c>
      <c r="Z2331" s="52" t="s">
        <v>410</v>
      </c>
      <c r="AA2331" s="52" t="s">
        <v>247</v>
      </c>
      <c r="AB2331" s="52" t="s">
        <v>247</v>
      </c>
      <c r="AC2331" s="52" t="s">
        <v>247</v>
      </c>
      <c r="AD2331" s="52" t="s">
        <v>1</v>
      </c>
      <c r="AE2331" s="52" t="s">
        <v>383</v>
      </c>
      <c r="AF2331" s="155" t="s">
        <v>247</v>
      </c>
      <c r="AG2331" s="155" t="s">
        <v>247</v>
      </c>
    </row>
    <row r="2332" spans="25:33">
      <c r="Y2332" s="47">
        <v>5547</v>
      </c>
      <c r="Z2332" s="52" t="s">
        <v>410</v>
      </c>
      <c r="AA2332" s="52" t="s">
        <v>247</v>
      </c>
      <c r="AB2332" s="52" t="s">
        <v>247</v>
      </c>
      <c r="AC2332" s="52" t="s">
        <v>247</v>
      </c>
      <c r="AD2332" s="52" t="s">
        <v>1</v>
      </c>
      <c r="AE2332" s="52" t="s">
        <v>383</v>
      </c>
      <c r="AF2332" s="155" t="s">
        <v>247</v>
      </c>
      <c r="AG2332" s="155" t="s">
        <v>247</v>
      </c>
    </row>
    <row r="2333" spans="25:33">
      <c r="Y2333" s="47">
        <v>5548</v>
      </c>
      <c r="Z2333" s="52" t="s">
        <v>410</v>
      </c>
      <c r="AA2333" s="52" t="s">
        <v>247</v>
      </c>
      <c r="AB2333" s="52" t="s">
        <v>247</v>
      </c>
      <c r="AC2333" s="52" t="s">
        <v>247</v>
      </c>
      <c r="AD2333" s="52" t="s">
        <v>1</v>
      </c>
      <c r="AE2333" s="52" t="s">
        <v>383</v>
      </c>
      <c r="AF2333" s="155" t="s">
        <v>247</v>
      </c>
      <c r="AG2333" s="155" t="s">
        <v>247</v>
      </c>
    </row>
    <row r="2334" spans="25:33">
      <c r="Y2334" s="47">
        <v>5549</v>
      </c>
      <c r="Z2334" s="52" t="s">
        <v>410</v>
      </c>
      <c r="AA2334" s="52" t="s">
        <v>247</v>
      </c>
      <c r="AB2334" s="52" t="s">
        <v>247</v>
      </c>
      <c r="AC2334" s="52" t="s">
        <v>247</v>
      </c>
      <c r="AD2334" s="52" t="s">
        <v>1</v>
      </c>
      <c r="AE2334" s="52" t="s">
        <v>383</v>
      </c>
      <c r="AF2334" s="155" t="s">
        <v>247</v>
      </c>
      <c r="AG2334" s="155" t="s">
        <v>247</v>
      </c>
    </row>
    <row r="2335" spans="25:33">
      <c r="Y2335" s="47">
        <v>5550</v>
      </c>
      <c r="Z2335" s="52" t="s">
        <v>410</v>
      </c>
      <c r="AA2335" s="52" t="s">
        <v>247</v>
      </c>
      <c r="AB2335" s="52" t="s">
        <v>247</v>
      </c>
      <c r="AC2335" s="52" t="s">
        <v>247</v>
      </c>
      <c r="AD2335" s="52" t="s">
        <v>1</v>
      </c>
      <c r="AE2335" s="52" t="s">
        <v>383</v>
      </c>
      <c r="AF2335" s="155" t="s">
        <v>247</v>
      </c>
      <c r="AG2335" s="155" t="s">
        <v>247</v>
      </c>
    </row>
    <row r="2336" spans="25:33">
      <c r="Y2336" s="47">
        <v>5551</v>
      </c>
      <c r="Z2336" s="52" t="s">
        <v>410</v>
      </c>
      <c r="AA2336" s="52" t="s">
        <v>247</v>
      </c>
      <c r="AB2336" s="52" t="s">
        <v>247</v>
      </c>
      <c r="AC2336" s="52" t="s">
        <v>247</v>
      </c>
      <c r="AD2336" s="52" t="s">
        <v>1</v>
      </c>
      <c r="AE2336" s="52" t="s">
        <v>383</v>
      </c>
      <c r="AF2336" s="155" t="s">
        <v>247</v>
      </c>
      <c r="AG2336" s="155" t="s">
        <v>247</v>
      </c>
    </row>
    <row r="2337" spans="25:33">
      <c r="Y2337" s="47">
        <v>5552</v>
      </c>
      <c r="Z2337" s="52" t="s">
        <v>410</v>
      </c>
      <c r="AA2337" s="52" t="s">
        <v>247</v>
      </c>
      <c r="AB2337" s="52" t="s">
        <v>247</v>
      </c>
      <c r="AC2337" s="52" t="s">
        <v>247</v>
      </c>
      <c r="AD2337" s="52" t="s">
        <v>1</v>
      </c>
      <c r="AE2337" s="52" t="s">
        <v>383</v>
      </c>
      <c r="AF2337" s="155" t="s">
        <v>247</v>
      </c>
      <c r="AG2337" s="155" t="s">
        <v>247</v>
      </c>
    </row>
    <row r="2338" spans="25:33">
      <c r="Y2338" s="47">
        <v>5553</v>
      </c>
      <c r="Z2338" s="52" t="s">
        <v>410</v>
      </c>
      <c r="AA2338" s="52" t="s">
        <v>247</v>
      </c>
      <c r="AB2338" s="52" t="s">
        <v>247</v>
      </c>
      <c r="AC2338" s="52" t="s">
        <v>247</v>
      </c>
      <c r="AD2338" s="52" t="s">
        <v>1</v>
      </c>
      <c r="AE2338" s="52" t="s">
        <v>383</v>
      </c>
      <c r="AF2338" s="155" t="s">
        <v>247</v>
      </c>
      <c r="AG2338" s="155" t="s">
        <v>247</v>
      </c>
    </row>
    <row r="2339" spans="25:33">
      <c r="Y2339" s="47">
        <v>5554</v>
      </c>
      <c r="Z2339" s="52" t="s">
        <v>410</v>
      </c>
      <c r="AA2339" s="52" t="s">
        <v>247</v>
      </c>
      <c r="AB2339" s="52" t="s">
        <v>247</v>
      </c>
      <c r="AC2339" s="52" t="s">
        <v>247</v>
      </c>
      <c r="AD2339" s="52" t="s">
        <v>1</v>
      </c>
      <c r="AE2339" s="52" t="s">
        <v>383</v>
      </c>
      <c r="AF2339" s="155" t="s">
        <v>247</v>
      </c>
      <c r="AG2339" s="155" t="s">
        <v>247</v>
      </c>
    </row>
    <row r="2340" spans="25:33">
      <c r="Y2340" s="47">
        <v>5555</v>
      </c>
      <c r="Z2340" s="52" t="s">
        <v>410</v>
      </c>
      <c r="AA2340" s="52" t="s">
        <v>247</v>
      </c>
      <c r="AB2340" s="52" t="s">
        <v>247</v>
      </c>
      <c r="AC2340" s="52" t="s">
        <v>247</v>
      </c>
      <c r="AD2340" s="52" t="s">
        <v>1</v>
      </c>
      <c r="AE2340" s="52" t="s">
        <v>383</v>
      </c>
      <c r="AF2340" s="155" t="s">
        <v>247</v>
      </c>
      <c r="AG2340" s="155" t="s">
        <v>247</v>
      </c>
    </row>
    <row r="2341" spans="25:33">
      <c r="Y2341" s="47">
        <v>5556</v>
      </c>
      <c r="Z2341" s="52" t="s">
        <v>410</v>
      </c>
      <c r="AA2341" s="52" t="s">
        <v>247</v>
      </c>
      <c r="AB2341" s="52" t="s">
        <v>247</v>
      </c>
      <c r="AC2341" s="52" t="s">
        <v>247</v>
      </c>
      <c r="AD2341" s="52" t="s">
        <v>1</v>
      </c>
      <c r="AE2341" s="52" t="s">
        <v>383</v>
      </c>
      <c r="AF2341" s="155" t="s">
        <v>247</v>
      </c>
      <c r="AG2341" s="155" t="s">
        <v>247</v>
      </c>
    </row>
    <row r="2342" spans="25:33">
      <c r="Y2342" s="47">
        <v>5557</v>
      </c>
      <c r="Z2342" s="52" t="s">
        <v>410</v>
      </c>
      <c r="AA2342" s="52" t="s">
        <v>247</v>
      </c>
      <c r="AB2342" s="52" t="s">
        <v>247</v>
      </c>
      <c r="AC2342" s="52" t="s">
        <v>247</v>
      </c>
      <c r="AD2342" s="52" t="s">
        <v>1</v>
      </c>
      <c r="AE2342" s="52" t="s">
        <v>383</v>
      </c>
      <c r="AF2342" s="155" t="s">
        <v>247</v>
      </c>
      <c r="AG2342" s="155" t="s">
        <v>247</v>
      </c>
    </row>
    <row r="2343" spans="25:33">
      <c r="Y2343" s="47">
        <v>5558</v>
      </c>
      <c r="Z2343" s="52" t="s">
        <v>410</v>
      </c>
      <c r="AA2343" s="52" t="s">
        <v>247</v>
      </c>
      <c r="AB2343" s="52" t="s">
        <v>247</v>
      </c>
      <c r="AC2343" s="52" t="s">
        <v>247</v>
      </c>
      <c r="AD2343" s="52" t="s">
        <v>1</v>
      </c>
      <c r="AE2343" s="52" t="s">
        <v>383</v>
      </c>
      <c r="AF2343" s="155" t="s">
        <v>247</v>
      </c>
      <c r="AG2343" s="155" t="s">
        <v>247</v>
      </c>
    </row>
    <row r="2344" spans="25:33">
      <c r="Y2344" s="47">
        <v>5559</v>
      </c>
      <c r="Z2344" s="52" t="s">
        <v>410</v>
      </c>
      <c r="AA2344" s="52" t="s">
        <v>247</v>
      </c>
      <c r="AB2344" s="52" t="s">
        <v>247</v>
      </c>
      <c r="AC2344" s="52" t="s">
        <v>247</v>
      </c>
      <c r="AD2344" s="52" t="s">
        <v>1</v>
      </c>
      <c r="AE2344" s="52" t="s">
        <v>383</v>
      </c>
      <c r="AF2344" s="155" t="s">
        <v>247</v>
      </c>
      <c r="AG2344" s="155" t="s">
        <v>247</v>
      </c>
    </row>
    <row r="2345" spans="25:33">
      <c r="Y2345" s="47">
        <v>5560</v>
      </c>
      <c r="Z2345" s="52" t="s">
        <v>410</v>
      </c>
      <c r="AA2345" s="52" t="s">
        <v>247</v>
      </c>
      <c r="AB2345" s="52" t="s">
        <v>247</v>
      </c>
      <c r="AC2345" s="52" t="s">
        <v>247</v>
      </c>
      <c r="AD2345" s="52" t="s">
        <v>1</v>
      </c>
      <c r="AE2345" s="52" t="s">
        <v>383</v>
      </c>
      <c r="AF2345" s="155" t="s">
        <v>247</v>
      </c>
      <c r="AG2345" s="155" t="s">
        <v>247</v>
      </c>
    </row>
    <row r="2346" spans="25:33">
      <c r="Y2346" s="47">
        <v>5561</v>
      </c>
      <c r="Z2346" s="52" t="s">
        <v>410</v>
      </c>
      <c r="AA2346" s="52" t="s">
        <v>247</v>
      </c>
      <c r="AB2346" s="52" t="s">
        <v>247</v>
      </c>
      <c r="AC2346" s="52" t="s">
        <v>247</v>
      </c>
      <c r="AD2346" s="52" t="s">
        <v>1</v>
      </c>
      <c r="AE2346" s="52" t="s">
        <v>383</v>
      </c>
      <c r="AF2346" s="155" t="s">
        <v>247</v>
      </c>
      <c r="AG2346" s="155" t="s">
        <v>247</v>
      </c>
    </row>
    <row r="2347" spans="25:33">
      <c r="Y2347" s="47">
        <v>5562</v>
      </c>
      <c r="Z2347" s="52" t="s">
        <v>410</v>
      </c>
      <c r="AA2347" s="52" t="s">
        <v>247</v>
      </c>
      <c r="AB2347" s="52" t="s">
        <v>247</v>
      </c>
      <c r="AC2347" s="52" t="s">
        <v>247</v>
      </c>
      <c r="AD2347" s="52" t="s">
        <v>1</v>
      </c>
      <c r="AE2347" s="52" t="s">
        <v>383</v>
      </c>
      <c r="AF2347" s="155" t="s">
        <v>247</v>
      </c>
      <c r="AG2347" s="155" t="s">
        <v>247</v>
      </c>
    </row>
    <row r="2348" spans="25:33">
      <c r="Y2348" s="47">
        <v>5563</v>
      </c>
      <c r="Z2348" s="52" t="s">
        <v>410</v>
      </c>
      <c r="AA2348" s="52" t="s">
        <v>247</v>
      </c>
      <c r="AB2348" s="52" t="s">
        <v>247</v>
      </c>
      <c r="AC2348" s="52" t="s">
        <v>247</v>
      </c>
      <c r="AD2348" s="52" t="s">
        <v>1</v>
      </c>
      <c r="AE2348" s="52" t="s">
        <v>383</v>
      </c>
      <c r="AF2348" s="155" t="s">
        <v>247</v>
      </c>
      <c r="AG2348" s="155" t="s">
        <v>247</v>
      </c>
    </row>
    <row r="2349" spans="25:33">
      <c r="Y2349" s="47">
        <v>5564</v>
      </c>
      <c r="Z2349" s="52" t="s">
        <v>410</v>
      </c>
      <c r="AA2349" s="52" t="s">
        <v>247</v>
      </c>
      <c r="AB2349" s="52" t="s">
        <v>247</v>
      </c>
      <c r="AC2349" s="52" t="s">
        <v>247</v>
      </c>
      <c r="AD2349" s="52" t="s">
        <v>1</v>
      </c>
      <c r="AE2349" s="52" t="s">
        <v>383</v>
      </c>
      <c r="AF2349" s="155" t="s">
        <v>247</v>
      </c>
      <c r="AG2349" s="155" t="s">
        <v>247</v>
      </c>
    </row>
    <row r="2350" spans="25:33">
      <c r="Y2350" s="47">
        <v>5565</v>
      </c>
      <c r="Z2350" s="52" t="s">
        <v>410</v>
      </c>
      <c r="AA2350" s="52" t="s">
        <v>247</v>
      </c>
      <c r="AB2350" s="52" t="s">
        <v>247</v>
      </c>
      <c r="AC2350" s="52" t="s">
        <v>247</v>
      </c>
      <c r="AD2350" s="52" t="s">
        <v>1</v>
      </c>
      <c r="AE2350" s="52" t="s">
        <v>383</v>
      </c>
      <c r="AF2350" s="155" t="s">
        <v>247</v>
      </c>
      <c r="AG2350" s="155" t="s">
        <v>247</v>
      </c>
    </row>
    <row r="2351" spans="25:33">
      <c r="Y2351" s="47">
        <v>5566</v>
      </c>
      <c r="Z2351" s="52" t="s">
        <v>410</v>
      </c>
      <c r="AA2351" s="52" t="s">
        <v>247</v>
      </c>
      <c r="AB2351" s="52" t="s">
        <v>247</v>
      </c>
      <c r="AC2351" s="52" t="s">
        <v>247</v>
      </c>
      <c r="AD2351" s="52" t="s">
        <v>1</v>
      </c>
      <c r="AE2351" s="52" t="s">
        <v>383</v>
      </c>
      <c r="AF2351" s="155" t="s">
        <v>247</v>
      </c>
      <c r="AG2351" s="155" t="s">
        <v>247</v>
      </c>
    </row>
    <row r="2352" spans="25:33">
      <c r="Y2352" s="47">
        <v>5567</v>
      </c>
      <c r="Z2352" s="52" t="s">
        <v>410</v>
      </c>
      <c r="AA2352" s="52" t="s">
        <v>247</v>
      </c>
      <c r="AB2352" s="52" t="s">
        <v>247</v>
      </c>
      <c r="AC2352" s="52" t="s">
        <v>247</v>
      </c>
      <c r="AD2352" s="52" t="s">
        <v>1</v>
      </c>
      <c r="AE2352" s="52" t="s">
        <v>383</v>
      </c>
      <c r="AF2352" s="155" t="s">
        <v>247</v>
      </c>
      <c r="AG2352" s="155" t="s">
        <v>247</v>
      </c>
    </row>
    <row r="2353" spans="25:33">
      <c r="Y2353" s="47">
        <v>5568</v>
      </c>
      <c r="Z2353" s="52" t="s">
        <v>410</v>
      </c>
      <c r="AA2353" s="52" t="s">
        <v>247</v>
      </c>
      <c r="AB2353" s="52" t="s">
        <v>247</v>
      </c>
      <c r="AC2353" s="52" t="s">
        <v>247</v>
      </c>
      <c r="AD2353" s="52" t="s">
        <v>1</v>
      </c>
      <c r="AE2353" s="52" t="s">
        <v>383</v>
      </c>
      <c r="AF2353" s="155" t="s">
        <v>247</v>
      </c>
      <c r="AG2353" s="155" t="s">
        <v>247</v>
      </c>
    </row>
    <row r="2354" spans="25:33">
      <c r="Y2354" s="47">
        <v>5569</v>
      </c>
      <c r="Z2354" s="52" t="s">
        <v>410</v>
      </c>
      <c r="AA2354" s="52" t="s">
        <v>247</v>
      </c>
      <c r="AB2354" s="52" t="s">
        <v>247</v>
      </c>
      <c r="AC2354" s="52" t="s">
        <v>247</v>
      </c>
      <c r="AD2354" s="52" t="s">
        <v>1</v>
      </c>
      <c r="AE2354" s="52" t="s">
        <v>383</v>
      </c>
      <c r="AF2354" s="155" t="s">
        <v>247</v>
      </c>
      <c r="AG2354" s="155" t="s">
        <v>247</v>
      </c>
    </row>
    <row r="2355" spans="25:33">
      <c r="Y2355" s="47">
        <v>5570</v>
      </c>
      <c r="Z2355" s="52" t="s">
        <v>410</v>
      </c>
      <c r="AA2355" s="52" t="s">
        <v>247</v>
      </c>
      <c r="AB2355" s="52" t="s">
        <v>247</v>
      </c>
      <c r="AC2355" s="52" t="s">
        <v>247</v>
      </c>
      <c r="AD2355" s="52" t="s">
        <v>1</v>
      </c>
      <c r="AE2355" s="52" t="s">
        <v>383</v>
      </c>
      <c r="AF2355" s="155" t="s">
        <v>247</v>
      </c>
      <c r="AG2355" s="155" t="s">
        <v>247</v>
      </c>
    </row>
    <row r="2356" spans="25:33">
      <c r="Y2356" s="47">
        <v>5571</v>
      </c>
      <c r="Z2356" s="52" t="s">
        <v>410</v>
      </c>
      <c r="AA2356" s="52" t="s">
        <v>247</v>
      </c>
      <c r="AB2356" s="52" t="s">
        <v>247</v>
      </c>
      <c r="AC2356" s="52" t="s">
        <v>247</v>
      </c>
      <c r="AD2356" s="52" t="s">
        <v>1</v>
      </c>
      <c r="AE2356" s="52" t="s">
        <v>383</v>
      </c>
      <c r="AF2356" s="155" t="s">
        <v>247</v>
      </c>
      <c r="AG2356" s="155" t="s">
        <v>247</v>
      </c>
    </row>
    <row r="2357" spans="25:33">
      <c r="Y2357" s="47">
        <v>5572</v>
      </c>
      <c r="Z2357" s="52" t="s">
        <v>410</v>
      </c>
      <c r="AA2357" s="52" t="s">
        <v>247</v>
      </c>
      <c r="AB2357" s="52" t="s">
        <v>247</v>
      </c>
      <c r="AC2357" s="52" t="s">
        <v>247</v>
      </c>
      <c r="AD2357" s="52" t="s">
        <v>1</v>
      </c>
      <c r="AE2357" s="52" t="s">
        <v>383</v>
      </c>
      <c r="AF2357" s="155" t="s">
        <v>247</v>
      </c>
      <c r="AG2357" s="155" t="s">
        <v>247</v>
      </c>
    </row>
    <row r="2358" spans="25:33">
      <c r="Y2358" s="47">
        <v>5573</v>
      </c>
      <c r="Z2358" s="52" t="s">
        <v>410</v>
      </c>
      <c r="AA2358" s="52" t="s">
        <v>247</v>
      </c>
      <c r="AB2358" s="52" t="s">
        <v>247</v>
      </c>
      <c r="AC2358" s="52" t="s">
        <v>247</v>
      </c>
      <c r="AD2358" s="52" t="s">
        <v>1</v>
      </c>
      <c r="AE2358" s="52" t="s">
        <v>383</v>
      </c>
      <c r="AF2358" s="155" t="s">
        <v>247</v>
      </c>
      <c r="AG2358" s="155" t="s">
        <v>247</v>
      </c>
    </row>
    <row r="2359" spans="25:33">
      <c r="Y2359" s="47">
        <v>5574</v>
      </c>
      <c r="Z2359" s="52" t="s">
        <v>410</v>
      </c>
      <c r="AA2359" s="52" t="s">
        <v>247</v>
      </c>
      <c r="AB2359" s="52" t="s">
        <v>247</v>
      </c>
      <c r="AC2359" s="52" t="s">
        <v>247</v>
      </c>
      <c r="AD2359" s="52" t="s">
        <v>1</v>
      </c>
      <c r="AE2359" s="52" t="s">
        <v>383</v>
      </c>
      <c r="AF2359" s="155" t="s">
        <v>247</v>
      </c>
      <c r="AG2359" s="155" t="s">
        <v>247</v>
      </c>
    </row>
    <row r="2360" spans="25:33">
      <c r="Y2360" s="47">
        <v>5575</v>
      </c>
      <c r="Z2360" s="52" t="s">
        <v>410</v>
      </c>
      <c r="AA2360" s="52" t="s">
        <v>247</v>
      </c>
      <c r="AB2360" s="52" t="s">
        <v>247</v>
      </c>
      <c r="AC2360" s="52" t="s">
        <v>247</v>
      </c>
      <c r="AD2360" s="52" t="s">
        <v>1</v>
      </c>
      <c r="AE2360" s="52" t="s">
        <v>383</v>
      </c>
      <c r="AF2360" s="155" t="s">
        <v>247</v>
      </c>
      <c r="AG2360" s="155" t="s">
        <v>247</v>
      </c>
    </row>
    <row r="2361" spans="25:33">
      <c r="Y2361" s="47">
        <v>5576</v>
      </c>
      <c r="Z2361" s="52" t="s">
        <v>410</v>
      </c>
      <c r="AA2361" s="52" t="s">
        <v>247</v>
      </c>
      <c r="AB2361" s="52" t="s">
        <v>247</v>
      </c>
      <c r="AC2361" s="52" t="s">
        <v>247</v>
      </c>
      <c r="AD2361" s="52" t="s">
        <v>1</v>
      </c>
      <c r="AE2361" s="52" t="s">
        <v>383</v>
      </c>
      <c r="AF2361" s="155" t="s">
        <v>247</v>
      </c>
      <c r="AG2361" s="155" t="s">
        <v>247</v>
      </c>
    </row>
    <row r="2362" spans="25:33">
      <c r="Y2362" s="47">
        <v>5577</v>
      </c>
      <c r="Z2362" s="52" t="s">
        <v>410</v>
      </c>
      <c r="AA2362" s="52" t="s">
        <v>247</v>
      </c>
      <c r="AB2362" s="52" t="s">
        <v>247</v>
      </c>
      <c r="AC2362" s="52" t="s">
        <v>247</v>
      </c>
      <c r="AD2362" s="52" t="s">
        <v>1</v>
      </c>
      <c r="AE2362" s="52" t="s">
        <v>383</v>
      </c>
      <c r="AF2362" s="155" t="s">
        <v>247</v>
      </c>
      <c r="AG2362" s="155" t="s">
        <v>247</v>
      </c>
    </row>
    <row r="2363" spans="25:33">
      <c r="Y2363" s="47">
        <v>5578</v>
      </c>
      <c r="Z2363" s="52" t="s">
        <v>410</v>
      </c>
      <c r="AA2363" s="52" t="s">
        <v>247</v>
      </c>
      <c r="AB2363" s="52" t="s">
        <v>247</v>
      </c>
      <c r="AC2363" s="52" t="s">
        <v>247</v>
      </c>
      <c r="AD2363" s="52" t="s">
        <v>1</v>
      </c>
      <c r="AE2363" s="52" t="s">
        <v>383</v>
      </c>
      <c r="AF2363" s="155" t="s">
        <v>247</v>
      </c>
      <c r="AG2363" s="155" t="s">
        <v>247</v>
      </c>
    </row>
    <row r="2364" spans="25:33">
      <c r="Y2364" s="47">
        <v>5579</v>
      </c>
      <c r="Z2364" s="52" t="s">
        <v>410</v>
      </c>
      <c r="AA2364" s="52" t="s">
        <v>247</v>
      </c>
      <c r="AB2364" s="52" t="s">
        <v>247</v>
      </c>
      <c r="AC2364" s="52" t="s">
        <v>247</v>
      </c>
      <c r="AD2364" s="52" t="s">
        <v>1</v>
      </c>
      <c r="AE2364" s="52" t="s">
        <v>383</v>
      </c>
      <c r="AF2364" s="155" t="s">
        <v>247</v>
      </c>
      <c r="AG2364" s="155" t="s">
        <v>247</v>
      </c>
    </row>
    <row r="2365" spans="25:33">
      <c r="Y2365" s="47">
        <v>5580</v>
      </c>
      <c r="Z2365" s="52" t="s">
        <v>410</v>
      </c>
      <c r="AA2365" s="52" t="s">
        <v>247</v>
      </c>
      <c r="AB2365" s="52" t="s">
        <v>247</v>
      </c>
      <c r="AC2365" s="52" t="s">
        <v>247</v>
      </c>
      <c r="AD2365" s="52" t="s">
        <v>1</v>
      </c>
      <c r="AE2365" s="52" t="s">
        <v>383</v>
      </c>
      <c r="AF2365" s="155" t="s">
        <v>247</v>
      </c>
      <c r="AG2365" s="155" t="s">
        <v>247</v>
      </c>
    </row>
    <row r="2366" spans="25:33">
      <c r="Y2366" s="47">
        <v>5581</v>
      </c>
      <c r="Z2366" s="52" t="s">
        <v>410</v>
      </c>
      <c r="AA2366" s="52" t="s">
        <v>247</v>
      </c>
      <c r="AB2366" s="52" t="s">
        <v>247</v>
      </c>
      <c r="AC2366" s="52" t="s">
        <v>247</v>
      </c>
      <c r="AD2366" s="52" t="s">
        <v>1</v>
      </c>
      <c r="AE2366" s="52" t="s">
        <v>383</v>
      </c>
      <c r="AF2366" s="155" t="s">
        <v>247</v>
      </c>
      <c r="AG2366" s="155" t="s">
        <v>247</v>
      </c>
    </row>
    <row r="2367" spans="25:33">
      <c r="Y2367" s="47">
        <v>5582</v>
      </c>
      <c r="Z2367" s="52" t="s">
        <v>410</v>
      </c>
      <c r="AA2367" s="52" t="s">
        <v>247</v>
      </c>
      <c r="AB2367" s="52" t="s">
        <v>247</v>
      </c>
      <c r="AC2367" s="52" t="s">
        <v>247</v>
      </c>
      <c r="AD2367" s="52" t="s">
        <v>1</v>
      </c>
      <c r="AE2367" s="52" t="s">
        <v>383</v>
      </c>
      <c r="AF2367" s="155" t="s">
        <v>247</v>
      </c>
      <c r="AG2367" s="155" t="s">
        <v>247</v>
      </c>
    </row>
    <row r="2368" spans="25:33">
      <c r="Y2368" s="47">
        <v>5583</v>
      </c>
      <c r="Z2368" s="52" t="s">
        <v>410</v>
      </c>
      <c r="AA2368" s="52" t="s">
        <v>247</v>
      </c>
      <c r="AB2368" s="52" t="s">
        <v>247</v>
      </c>
      <c r="AC2368" s="52" t="s">
        <v>247</v>
      </c>
      <c r="AD2368" s="52" t="s">
        <v>1</v>
      </c>
      <c r="AE2368" s="52" t="s">
        <v>383</v>
      </c>
      <c r="AF2368" s="155" t="s">
        <v>247</v>
      </c>
      <c r="AG2368" s="155" t="s">
        <v>247</v>
      </c>
    </row>
    <row r="2369" spans="25:33">
      <c r="Y2369" s="47">
        <v>5584</v>
      </c>
      <c r="Z2369" s="52" t="s">
        <v>410</v>
      </c>
      <c r="AA2369" s="52" t="s">
        <v>247</v>
      </c>
      <c r="AB2369" s="52" t="s">
        <v>247</v>
      </c>
      <c r="AC2369" s="52" t="s">
        <v>247</v>
      </c>
      <c r="AD2369" s="52" t="s">
        <v>1</v>
      </c>
      <c r="AE2369" s="52" t="s">
        <v>383</v>
      </c>
      <c r="AF2369" s="155" t="s">
        <v>247</v>
      </c>
      <c r="AG2369" s="155" t="s">
        <v>247</v>
      </c>
    </row>
    <row r="2370" spans="25:33">
      <c r="Y2370" s="47">
        <v>5585</v>
      </c>
      <c r="Z2370" s="52" t="s">
        <v>410</v>
      </c>
      <c r="AA2370" s="52" t="s">
        <v>247</v>
      </c>
      <c r="AB2370" s="52" t="s">
        <v>247</v>
      </c>
      <c r="AC2370" s="52" t="s">
        <v>247</v>
      </c>
      <c r="AD2370" s="52" t="s">
        <v>1</v>
      </c>
      <c r="AE2370" s="52" t="s">
        <v>383</v>
      </c>
      <c r="AF2370" s="155" t="s">
        <v>247</v>
      </c>
      <c r="AG2370" s="155" t="s">
        <v>247</v>
      </c>
    </row>
    <row r="2371" spans="25:33">
      <c r="Y2371" s="47">
        <v>5586</v>
      </c>
      <c r="Z2371" s="52" t="s">
        <v>410</v>
      </c>
      <c r="AA2371" s="52" t="s">
        <v>247</v>
      </c>
      <c r="AB2371" s="52" t="s">
        <v>247</v>
      </c>
      <c r="AC2371" s="52" t="s">
        <v>247</v>
      </c>
      <c r="AD2371" s="52" t="s">
        <v>1</v>
      </c>
      <c r="AE2371" s="52" t="s">
        <v>383</v>
      </c>
      <c r="AF2371" s="155" t="s">
        <v>247</v>
      </c>
      <c r="AG2371" s="155" t="s">
        <v>247</v>
      </c>
    </row>
    <row r="2372" spans="25:33">
      <c r="Y2372" s="47">
        <v>5587</v>
      </c>
      <c r="Z2372" s="52" t="s">
        <v>410</v>
      </c>
      <c r="AA2372" s="52" t="s">
        <v>247</v>
      </c>
      <c r="AB2372" s="52" t="s">
        <v>247</v>
      </c>
      <c r="AC2372" s="52" t="s">
        <v>247</v>
      </c>
      <c r="AD2372" s="52" t="s">
        <v>1</v>
      </c>
      <c r="AE2372" s="52" t="s">
        <v>383</v>
      </c>
      <c r="AF2372" s="155" t="s">
        <v>247</v>
      </c>
      <c r="AG2372" s="155" t="s">
        <v>247</v>
      </c>
    </row>
    <row r="2373" spans="25:33">
      <c r="Y2373" s="47">
        <v>5588</v>
      </c>
      <c r="Z2373" s="52" t="s">
        <v>410</v>
      </c>
      <c r="AA2373" s="52" t="s">
        <v>247</v>
      </c>
      <c r="AB2373" s="52" t="s">
        <v>247</v>
      </c>
      <c r="AC2373" s="52" t="s">
        <v>247</v>
      </c>
      <c r="AD2373" s="52" t="s">
        <v>1</v>
      </c>
      <c r="AE2373" s="52" t="s">
        <v>383</v>
      </c>
      <c r="AF2373" s="155" t="s">
        <v>247</v>
      </c>
      <c r="AG2373" s="155" t="s">
        <v>247</v>
      </c>
    </row>
    <row r="2374" spans="25:33">
      <c r="Y2374" s="47">
        <v>5589</v>
      </c>
      <c r="Z2374" s="52" t="s">
        <v>410</v>
      </c>
      <c r="AA2374" s="52" t="s">
        <v>247</v>
      </c>
      <c r="AB2374" s="52" t="s">
        <v>247</v>
      </c>
      <c r="AC2374" s="52" t="s">
        <v>247</v>
      </c>
      <c r="AD2374" s="52" t="s">
        <v>1</v>
      </c>
      <c r="AE2374" s="52" t="s">
        <v>383</v>
      </c>
      <c r="AF2374" s="155" t="s">
        <v>247</v>
      </c>
      <c r="AG2374" s="155" t="s">
        <v>247</v>
      </c>
    </row>
    <row r="2375" spans="25:33">
      <c r="Y2375" s="47">
        <v>5590</v>
      </c>
      <c r="Z2375" s="52" t="s">
        <v>410</v>
      </c>
      <c r="AA2375" s="52" t="s">
        <v>247</v>
      </c>
      <c r="AB2375" s="52" t="s">
        <v>247</v>
      </c>
      <c r="AC2375" s="52" t="s">
        <v>247</v>
      </c>
      <c r="AD2375" s="52" t="s">
        <v>1</v>
      </c>
      <c r="AE2375" s="52" t="s">
        <v>383</v>
      </c>
      <c r="AF2375" s="155" t="s">
        <v>247</v>
      </c>
      <c r="AG2375" s="155" t="s">
        <v>247</v>
      </c>
    </row>
    <row r="2376" spans="25:33">
      <c r="Y2376" s="47">
        <v>5591</v>
      </c>
      <c r="Z2376" s="52" t="s">
        <v>410</v>
      </c>
      <c r="AA2376" s="52" t="s">
        <v>247</v>
      </c>
      <c r="AB2376" s="52" t="s">
        <v>247</v>
      </c>
      <c r="AC2376" s="52" t="s">
        <v>247</v>
      </c>
      <c r="AD2376" s="52" t="s">
        <v>1</v>
      </c>
      <c r="AE2376" s="52" t="s">
        <v>383</v>
      </c>
      <c r="AF2376" s="155" t="s">
        <v>247</v>
      </c>
      <c r="AG2376" s="155" t="s">
        <v>247</v>
      </c>
    </row>
    <row r="2377" spans="25:33">
      <c r="Y2377" s="47">
        <v>5592</v>
      </c>
      <c r="Z2377" s="52" t="s">
        <v>410</v>
      </c>
      <c r="AA2377" s="52" t="s">
        <v>247</v>
      </c>
      <c r="AB2377" s="52" t="s">
        <v>247</v>
      </c>
      <c r="AC2377" s="52" t="s">
        <v>247</v>
      </c>
      <c r="AD2377" s="52" t="s">
        <v>1</v>
      </c>
      <c r="AE2377" s="52" t="s">
        <v>383</v>
      </c>
      <c r="AF2377" s="155" t="s">
        <v>247</v>
      </c>
      <c r="AG2377" s="155" t="s">
        <v>247</v>
      </c>
    </row>
    <row r="2378" spans="25:33">
      <c r="Y2378" s="47">
        <v>5593</v>
      </c>
      <c r="Z2378" s="52" t="s">
        <v>410</v>
      </c>
      <c r="AA2378" s="52" t="s">
        <v>247</v>
      </c>
      <c r="AB2378" s="52" t="s">
        <v>247</v>
      </c>
      <c r="AC2378" s="52" t="s">
        <v>247</v>
      </c>
      <c r="AD2378" s="52" t="s">
        <v>1</v>
      </c>
      <c r="AE2378" s="52" t="s">
        <v>383</v>
      </c>
      <c r="AF2378" s="155" t="s">
        <v>247</v>
      </c>
      <c r="AG2378" s="155" t="s">
        <v>247</v>
      </c>
    </row>
    <row r="2379" spans="25:33">
      <c r="Y2379" s="47">
        <v>5594</v>
      </c>
      <c r="Z2379" s="52" t="s">
        <v>410</v>
      </c>
      <c r="AA2379" s="52" t="s">
        <v>247</v>
      </c>
      <c r="AB2379" s="52" t="s">
        <v>247</v>
      </c>
      <c r="AC2379" s="52" t="s">
        <v>247</v>
      </c>
      <c r="AD2379" s="52" t="s">
        <v>1</v>
      </c>
      <c r="AE2379" s="52" t="s">
        <v>383</v>
      </c>
      <c r="AF2379" s="155" t="s">
        <v>247</v>
      </c>
      <c r="AG2379" s="155" t="s">
        <v>247</v>
      </c>
    </row>
    <row r="2380" spans="25:33">
      <c r="Y2380" s="47">
        <v>5595</v>
      </c>
      <c r="Z2380" s="52" t="s">
        <v>410</v>
      </c>
      <c r="AA2380" s="52" t="s">
        <v>247</v>
      </c>
      <c r="AB2380" s="52" t="s">
        <v>247</v>
      </c>
      <c r="AC2380" s="52" t="s">
        <v>247</v>
      </c>
      <c r="AD2380" s="52" t="s">
        <v>1</v>
      </c>
      <c r="AE2380" s="52" t="s">
        <v>383</v>
      </c>
      <c r="AF2380" s="155" t="s">
        <v>247</v>
      </c>
      <c r="AG2380" s="155" t="s">
        <v>247</v>
      </c>
    </row>
    <row r="2381" spans="25:33">
      <c r="Y2381" s="47">
        <v>5596</v>
      </c>
      <c r="Z2381" s="52" t="s">
        <v>410</v>
      </c>
      <c r="AA2381" s="52" t="s">
        <v>247</v>
      </c>
      <c r="AB2381" s="52" t="s">
        <v>247</v>
      </c>
      <c r="AC2381" s="52" t="s">
        <v>247</v>
      </c>
      <c r="AD2381" s="52" t="s">
        <v>1</v>
      </c>
      <c r="AE2381" s="52" t="s">
        <v>383</v>
      </c>
      <c r="AF2381" s="155" t="s">
        <v>247</v>
      </c>
      <c r="AG2381" s="155" t="s">
        <v>247</v>
      </c>
    </row>
    <row r="2382" spans="25:33">
      <c r="Y2382" s="47">
        <v>5597</v>
      </c>
      <c r="Z2382" s="52" t="s">
        <v>410</v>
      </c>
      <c r="AA2382" s="52" t="s">
        <v>247</v>
      </c>
      <c r="AB2382" s="52" t="s">
        <v>247</v>
      </c>
      <c r="AC2382" s="52" t="s">
        <v>247</v>
      </c>
      <c r="AD2382" s="52" t="s">
        <v>1</v>
      </c>
      <c r="AE2382" s="52" t="s">
        <v>383</v>
      </c>
      <c r="AF2382" s="155" t="s">
        <v>247</v>
      </c>
      <c r="AG2382" s="155" t="s">
        <v>247</v>
      </c>
    </row>
    <row r="2383" spans="25:33">
      <c r="Y2383" s="47">
        <v>5598</v>
      </c>
      <c r="Z2383" s="52" t="s">
        <v>410</v>
      </c>
      <c r="AA2383" s="52" t="s">
        <v>247</v>
      </c>
      <c r="AB2383" s="52" t="s">
        <v>247</v>
      </c>
      <c r="AC2383" s="52" t="s">
        <v>247</v>
      </c>
      <c r="AD2383" s="52" t="s">
        <v>1</v>
      </c>
      <c r="AE2383" s="52" t="s">
        <v>383</v>
      </c>
      <c r="AF2383" s="155" t="s">
        <v>247</v>
      </c>
      <c r="AG2383" s="155" t="s">
        <v>247</v>
      </c>
    </row>
    <row r="2384" spans="25:33">
      <c r="Y2384" s="47">
        <v>5599</v>
      </c>
      <c r="Z2384" s="52" t="s">
        <v>410</v>
      </c>
      <c r="AA2384" s="52" t="s">
        <v>247</v>
      </c>
      <c r="AB2384" s="52" t="s">
        <v>247</v>
      </c>
      <c r="AC2384" s="52" t="s">
        <v>247</v>
      </c>
      <c r="AD2384" s="52" t="s">
        <v>1</v>
      </c>
      <c r="AE2384" s="52" t="s">
        <v>383</v>
      </c>
      <c r="AF2384" s="155" t="s">
        <v>247</v>
      </c>
      <c r="AG2384" s="155" t="s">
        <v>247</v>
      </c>
    </row>
    <row r="2385" spans="25:33">
      <c r="Y2385" s="47">
        <v>5600</v>
      </c>
      <c r="Z2385" s="52" t="s">
        <v>410</v>
      </c>
      <c r="AA2385" s="52" t="s">
        <v>247</v>
      </c>
      <c r="AB2385" s="52" t="s">
        <v>247</v>
      </c>
      <c r="AC2385" s="52" t="s">
        <v>247</v>
      </c>
      <c r="AD2385" s="52" t="s">
        <v>1</v>
      </c>
      <c r="AE2385" s="52" t="s">
        <v>383</v>
      </c>
      <c r="AF2385" s="155" t="s">
        <v>247</v>
      </c>
      <c r="AG2385" s="155" t="s">
        <v>247</v>
      </c>
    </row>
    <row r="2386" spans="25:33">
      <c r="Y2386" s="47">
        <v>5601</v>
      </c>
      <c r="Z2386" s="52" t="s">
        <v>410</v>
      </c>
      <c r="AA2386" s="52" t="s">
        <v>247</v>
      </c>
      <c r="AB2386" s="52" t="s">
        <v>247</v>
      </c>
      <c r="AC2386" s="52" t="s">
        <v>247</v>
      </c>
      <c r="AD2386" s="52" t="s">
        <v>1</v>
      </c>
      <c r="AE2386" s="52" t="s">
        <v>383</v>
      </c>
      <c r="AF2386" s="155" t="s">
        <v>247</v>
      </c>
      <c r="AG2386" s="155" t="s">
        <v>247</v>
      </c>
    </row>
    <row r="2387" spans="25:33">
      <c r="Y2387" s="47">
        <v>5602</v>
      </c>
      <c r="Z2387" s="52" t="s">
        <v>410</v>
      </c>
      <c r="AA2387" s="52" t="s">
        <v>247</v>
      </c>
      <c r="AB2387" s="52" t="s">
        <v>247</v>
      </c>
      <c r="AC2387" s="52" t="s">
        <v>247</v>
      </c>
      <c r="AD2387" s="52" t="s">
        <v>1</v>
      </c>
      <c r="AE2387" s="52" t="s">
        <v>383</v>
      </c>
      <c r="AF2387" s="155" t="s">
        <v>247</v>
      </c>
      <c r="AG2387" s="155" t="s">
        <v>247</v>
      </c>
    </row>
    <row r="2388" spans="25:33">
      <c r="Y2388" s="47">
        <v>5603</v>
      </c>
      <c r="Z2388" s="52" t="s">
        <v>410</v>
      </c>
      <c r="AA2388" s="52" t="s">
        <v>247</v>
      </c>
      <c r="AB2388" s="52" t="s">
        <v>247</v>
      </c>
      <c r="AC2388" s="52" t="s">
        <v>247</v>
      </c>
      <c r="AD2388" s="52" t="s">
        <v>1</v>
      </c>
      <c r="AE2388" s="52" t="s">
        <v>383</v>
      </c>
      <c r="AF2388" s="155" t="s">
        <v>247</v>
      </c>
      <c r="AG2388" s="155" t="s">
        <v>247</v>
      </c>
    </row>
    <row r="2389" spans="25:33">
      <c r="Y2389" s="47">
        <v>5604</v>
      </c>
      <c r="Z2389" s="52" t="s">
        <v>410</v>
      </c>
      <c r="AA2389" s="52" t="s">
        <v>247</v>
      </c>
      <c r="AB2389" s="52" t="s">
        <v>247</v>
      </c>
      <c r="AC2389" s="52" t="s">
        <v>247</v>
      </c>
      <c r="AD2389" s="52" t="s">
        <v>1</v>
      </c>
      <c r="AE2389" s="52" t="s">
        <v>383</v>
      </c>
      <c r="AF2389" s="155" t="s">
        <v>247</v>
      </c>
      <c r="AG2389" s="155" t="s">
        <v>247</v>
      </c>
    </row>
    <row r="2390" spans="25:33">
      <c r="Y2390" s="47">
        <v>5605</v>
      </c>
      <c r="Z2390" s="52" t="s">
        <v>410</v>
      </c>
      <c r="AA2390" s="52" t="s">
        <v>247</v>
      </c>
      <c r="AB2390" s="52" t="s">
        <v>247</v>
      </c>
      <c r="AC2390" s="52" t="s">
        <v>247</v>
      </c>
      <c r="AD2390" s="52" t="s">
        <v>1</v>
      </c>
      <c r="AE2390" s="52" t="s">
        <v>383</v>
      </c>
      <c r="AF2390" s="155" t="s">
        <v>247</v>
      </c>
      <c r="AG2390" s="155" t="s">
        <v>247</v>
      </c>
    </row>
    <row r="2391" spans="25:33">
      <c r="Y2391" s="47">
        <v>5606</v>
      </c>
      <c r="Z2391" s="52" t="s">
        <v>410</v>
      </c>
      <c r="AA2391" s="52" t="s">
        <v>247</v>
      </c>
      <c r="AB2391" s="52" t="s">
        <v>247</v>
      </c>
      <c r="AC2391" s="52" t="s">
        <v>247</v>
      </c>
      <c r="AD2391" s="52" t="s">
        <v>1</v>
      </c>
      <c r="AE2391" s="52" t="s">
        <v>383</v>
      </c>
      <c r="AF2391" s="155" t="s">
        <v>247</v>
      </c>
      <c r="AG2391" s="155" t="s">
        <v>247</v>
      </c>
    </row>
    <row r="2392" spans="25:33">
      <c r="Y2392" s="47">
        <v>5607</v>
      </c>
      <c r="Z2392" s="52" t="s">
        <v>410</v>
      </c>
      <c r="AA2392" s="52" t="s">
        <v>247</v>
      </c>
      <c r="AB2392" s="52" t="s">
        <v>247</v>
      </c>
      <c r="AC2392" s="52" t="s">
        <v>247</v>
      </c>
      <c r="AD2392" s="52" t="s">
        <v>1</v>
      </c>
      <c r="AE2392" s="52" t="s">
        <v>383</v>
      </c>
      <c r="AF2392" s="155" t="s">
        <v>247</v>
      </c>
      <c r="AG2392" s="155" t="s">
        <v>247</v>
      </c>
    </row>
    <row r="2393" spans="25:33">
      <c r="Y2393" s="47">
        <v>5608</v>
      </c>
      <c r="Z2393" s="52" t="s">
        <v>410</v>
      </c>
      <c r="AA2393" s="52" t="s">
        <v>247</v>
      </c>
      <c r="AB2393" s="52" t="s">
        <v>247</v>
      </c>
      <c r="AC2393" s="52" t="s">
        <v>247</v>
      </c>
      <c r="AD2393" s="52" t="s">
        <v>1</v>
      </c>
      <c r="AE2393" s="52" t="s">
        <v>383</v>
      </c>
      <c r="AF2393" s="155" t="s">
        <v>247</v>
      </c>
      <c r="AG2393" s="155" t="s">
        <v>247</v>
      </c>
    </row>
    <row r="2394" spans="25:33">
      <c r="Y2394" s="47">
        <v>5609</v>
      </c>
      <c r="Z2394" s="52" t="s">
        <v>410</v>
      </c>
      <c r="AA2394" s="52" t="s">
        <v>247</v>
      </c>
      <c r="AB2394" s="52" t="s">
        <v>247</v>
      </c>
      <c r="AC2394" s="52" t="s">
        <v>247</v>
      </c>
      <c r="AD2394" s="52" t="s">
        <v>1</v>
      </c>
      <c r="AE2394" s="52" t="s">
        <v>383</v>
      </c>
      <c r="AF2394" s="155" t="s">
        <v>247</v>
      </c>
      <c r="AG2394" s="155" t="s">
        <v>247</v>
      </c>
    </row>
    <row r="2395" spans="25:33">
      <c r="Y2395" s="47">
        <v>5610</v>
      </c>
      <c r="Z2395" s="52" t="s">
        <v>410</v>
      </c>
      <c r="AA2395" s="52" t="s">
        <v>247</v>
      </c>
      <c r="AB2395" s="52" t="s">
        <v>247</v>
      </c>
      <c r="AC2395" s="52" t="s">
        <v>247</v>
      </c>
      <c r="AD2395" s="52" t="s">
        <v>1</v>
      </c>
      <c r="AE2395" s="52" t="s">
        <v>383</v>
      </c>
      <c r="AF2395" s="155" t="s">
        <v>247</v>
      </c>
      <c r="AG2395" s="155" t="s">
        <v>247</v>
      </c>
    </row>
    <row r="2396" spans="25:33">
      <c r="Y2396" s="47">
        <v>5611</v>
      </c>
      <c r="Z2396" s="52" t="s">
        <v>410</v>
      </c>
      <c r="AA2396" s="52" t="s">
        <v>247</v>
      </c>
      <c r="AB2396" s="52" t="s">
        <v>247</v>
      </c>
      <c r="AC2396" s="52" t="s">
        <v>247</v>
      </c>
      <c r="AD2396" s="52" t="s">
        <v>1</v>
      </c>
      <c r="AE2396" s="52" t="s">
        <v>383</v>
      </c>
      <c r="AF2396" s="155" t="s">
        <v>247</v>
      </c>
      <c r="AG2396" s="155" t="s">
        <v>247</v>
      </c>
    </row>
    <row r="2397" spans="25:33">
      <c r="Y2397" s="47">
        <v>5612</v>
      </c>
      <c r="Z2397" s="52" t="s">
        <v>410</v>
      </c>
      <c r="AA2397" s="52" t="s">
        <v>247</v>
      </c>
      <c r="AB2397" s="52" t="s">
        <v>247</v>
      </c>
      <c r="AC2397" s="52" t="s">
        <v>247</v>
      </c>
      <c r="AD2397" s="52" t="s">
        <v>1</v>
      </c>
      <c r="AE2397" s="52" t="s">
        <v>383</v>
      </c>
      <c r="AF2397" s="155" t="s">
        <v>247</v>
      </c>
      <c r="AG2397" s="155" t="s">
        <v>247</v>
      </c>
    </row>
    <row r="2398" spans="25:33">
      <c r="Y2398" s="47">
        <v>5613</v>
      </c>
      <c r="Z2398" s="52" t="s">
        <v>410</v>
      </c>
      <c r="AA2398" s="52" t="s">
        <v>247</v>
      </c>
      <c r="AB2398" s="52" t="s">
        <v>247</v>
      </c>
      <c r="AC2398" s="52" t="s">
        <v>247</v>
      </c>
      <c r="AD2398" s="52" t="s">
        <v>1</v>
      </c>
      <c r="AE2398" s="52" t="s">
        <v>383</v>
      </c>
      <c r="AF2398" s="155" t="s">
        <v>247</v>
      </c>
      <c r="AG2398" s="155" t="s">
        <v>247</v>
      </c>
    </row>
    <row r="2399" spans="25:33">
      <c r="Y2399" s="47">
        <v>5614</v>
      </c>
      <c r="Z2399" s="52" t="s">
        <v>410</v>
      </c>
      <c r="AA2399" s="52" t="s">
        <v>247</v>
      </c>
      <c r="AB2399" s="52" t="s">
        <v>247</v>
      </c>
      <c r="AC2399" s="52" t="s">
        <v>247</v>
      </c>
      <c r="AD2399" s="52" t="s">
        <v>1</v>
      </c>
      <c r="AE2399" s="52" t="s">
        <v>383</v>
      </c>
      <c r="AF2399" s="155" t="s">
        <v>247</v>
      </c>
      <c r="AG2399" s="155" t="s">
        <v>247</v>
      </c>
    </row>
    <row r="2400" spans="25:33">
      <c r="Y2400" s="47">
        <v>5615</v>
      </c>
      <c r="Z2400" s="52" t="s">
        <v>410</v>
      </c>
      <c r="AA2400" s="52" t="s">
        <v>247</v>
      </c>
      <c r="AB2400" s="52" t="s">
        <v>247</v>
      </c>
      <c r="AC2400" s="52" t="s">
        <v>247</v>
      </c>
      <c r="AD2400" s="52" t="s">
        <v>1</v>
      </c>
      <c r="AE2400" s="52" t="s">
        <v>383</v>
      </c>
      <c r="AF2400" s="155" t="s">
        <v>247</v>
      </c>
      <c r="AG2400" s="155" t="s">
        <v>247</v>
      </c>
    </row>
    <row r="2401" spans="25:33">
      <c r="Y2401" s="47">
        <v>5616</v>
      </c>
      <c r="Z2401" s="52" t="s">
        <v>410</v>
      </c>
      <c r="AA2401" s="52" t="s">
        <v>247</v>
      </c>
      <c r="AB2401" s="52" t="s">
        <v>247</v>
      </c>
      <c r="AC2401" s="52" t="s">
        <v>247</v>
      </c>
      <c r="AD2401" s="52" t="s">
        <v>1</v>
      </c>
      <c r="AE2401" s="52" t="s">
        <v>383</v>
      </c>
      <c r="AF2401" s="155" t="s">
        <v>247</v>
      </c>
      <c r="AG2401" s="155" t="s">
        <v>247</v>
      </c>
    </row>
    <row r="2402" spans="25:33">
      <c r="Y2402" s="47">
        <v>5617</v>
      </c>
      <c r="Z2402" s="52" t="s">
        <v>410</v>
      </c>
      <c r="AA2402" s="52" t="s">
        <v>247</v>
      </c>
      <c r="AB2402" s="52" t="s">
        <v>247</v>
      </c>
      <c r="AC2402" s="52" t="s">
        <v>247</v>
      </c>
      <c r="AD2402" s="52" t="s">
        <v>1</v>
      </c>
      <c r="AE2402" s="52" t="s">
        <v>383</v>
      </c>
      <c r="AF2402" s="155" t="s">
        <v>247</v>
      </c>
      <c r="AG2402" s="155" t="s">
        <v>247</v>
      </c>
    </row>
    <row r="2403" spans="25:33">
      <c r="Y2403" s="47">
        <v>5618</v>
      </c>
      <c r="Z2403" s="52" t="s">
        <v>410</v>
      </c>
      <c r="AA2403" s="52" t="s">
        <v>247</v>
      </c>
      <c r="AB2403" s="52" t="s">
        <v>247</v>
      </c>
      <c r="AC2403" s="52" t="s">
        <v>247</v>
      </c>
      <c r="AD2403" s="52" t="s">
        <v>1</v>
      </c>
      <c r="AE2403" s="52" t="s">
        <v>383</v>
      </c>
      <c r="AF2403" s="155" t="s">
        <v>247</v>
      </c>
      <c r="AG2403" s="155" t="s">
        <v>247</v>
      </c>
    </row>
    <row r="2404" spans="25:33">
      <c r="Y2404" s="47">
        <v>5619</v>
      </c>
      <c r="Z2404" s="52" t="s">
        <v>410</v>
      </c>
      <c r="AA2404" s="52" t="s">
        <v>247</v>
      </c>
      <c r="AB2404" s="52" t="s">
        <v>247</v>
      </c>
      <c r="AC2404" s="52" t="s">
        <v>247</v>
      </c>
      <c r="AD2404" s="52" t="s">
        <v>1</v>
      </c>
      <c r="AE2404" s="52" t="s">
        <v>383</v>
      </c>
      <c r="AF2404" s="155" t="s">
        <v>247</v>
      </c>
      <c r="AG2404" s="155" t="s">
        <v>247</v>
      </c>
    </row>
    <row r="2405" spans="25:33">
      <c r="Y2405" s="47">
        <v>5620</v>
      </c>
      <c r="Z2405" s="52" t="s">
        <v>410</v>
      </c>
      <c r="AA2405" s="52" t="s">
        <v>247</v>
      </c>
      <c r="AB2405" s="52" t="s">
        <v>247</v>
      </c>
      <c r="AC2405" s="52" t="s">
        <v>247</v>
      </c>
      <c r="AD2405" s="52" t="s">
        <v>1</v>
      </c>
      <c r="AE2405" s="52" t="s">
        <v>383</v>
      </c>
      <c r="AF2405" s="155" t="s">
        <v>247</v>
      </c>
      <c r="AG2405" s="155" t="s">
        <v>247</v>
      </c>
    </row>
    <row r="2406" spans="25:33">
      <c r="Y2406" s="47">
        <v>5621</v>
      </c>
      <c r="Z2406" s="52" t="s">
        <v>410</v>
      </c>
      <c r="AA2406" s="52" t="s">
        <v>247</v>
      </c>
      <c r="AB2406" s="52" t="s">
        <v>247</v>
      </c>
      <c r="AC2406" s="52" t="s">
        <v>247</v>
      </c>
      <c r="AD2406" s="52" t="s">
        <v>1</v>
      </c>
      <c r="AE2406" s="52" t="s">
        <v>383</v>
      </c>
      <c r="AF2406" s="155" t="s">
        <v>247</v>
      </c>
      <c r="AG2406" s="155" t="s">
        <v>247</v>
      </c>
    </row>
    <row r="2407" spans="25:33">
      <c r="Y2407" s="47">
        <v>5622</v>
      </c>
      <c r="Z2407" s="52" t="s">
        <v>410</v>
      </c>
      <c r="AA2407" s="52" t="s">
        <v>247</v>
      </c>
      <c r="AB2407" s="52" t="s">
        <v>247</v>
      </c>
      <c r="AC2407" s="52" t="s">
        <v>247</v>
      </c>
      <c r="AD2407" s="52" t="s">
        <v>1</v>
      </c>
      <c r="AE2407" s="52" t="s">
        <v>383</v>
      </c>
      <c r="AF2407" s="155" t="s">
        <v>247</v>
      </c>
      <c r="AG2407" s="155" t="s">
        <v>247</v>
      </c>
    </row>
    <row r="2408" spans="25:33">
      <c r="Y2408" s="47">
        <v>5623</v>
      </c>
      <c r="Z2408" s="52" t="s">
        <v>410</v>
      </c>
      <c r="AA2408" s="52" t="s">
        <v>247</v>
      </c>
      <c r="AB2408" s="52" t="s">
        <v>247</v>
      </c>
      <c r="AC2408" s="52" t="s">
        <v>247</v>
      </c>
      <c r="AD2408" s="52" t="s">
        <v>1</v>
      </c>
      <c r="AE2408" s="52" t="s">
        <v>383</v>
      </c>
      <c r="AF2408" s="155" t="s">
        <v>247</v>
      </c>
      <c r="AG2408" s="155" t="s">
        <v>247</v>
      </c>
    </row>
    <row r="2409" spans="25:33">
      <c r="Y2409" s="47">
        <v>5624</v>
      </c>
      <c r="Z2409" s="52" t="s">
        <v>410</v>
      </c>
      <c r="AA2409" s="52" t="s">
        <v>247</v>
      </c>
      <c r="AB2409" s="52" t="s">
        <v>247</v>
      </c>
      <c r="AC2409" s="52" t="s">
        <v>247</v>
      </c>
      <c r="AD2409" s="52" t="s">
        <v>1</v>
      </c>
      <c r="AE2409" s="52" t="s">
        <v>383</v>
      </c>
      <c r="AF2409" s="155" t="s">
        <v>247</v>
      </c>
      <c r="AG2409" s="155" t="s">
        <v>247</v>
      </c>
    </row>
    <row r="2410" spans="25:33">
      <c r="Y2410" s="47">
        <v>5625</v>
      </c>
      <c r="Z2410" s="52" t="s">
        <v>410</v>
      </c>
      <c r="AA2410" s="52" t="s">
        <v>247</v>
      </c>
      <c r="AB2410" s="52" t="s">
        <v>247</v>
      </c>
      <c r="AC2410" s="52" t="s">
        <v>247</v>
      </c>
      <c r="AD2410" s="52" t="s">
        <v>1</v>
      </c>
      <c r="AE2410" s="52" t="s">
        <v>383</v>
      </c>
      <c r="AF2410" s="155" t="s">
        <v>247</v>
      </c>
      <c r="AG2410" s="155" t="s">
        <v>247</v>
      </c>
    </row>
    <row r="2411" spans="25:33">
      <c r="Y2411" s="47">
        <v>5626</v>
      </c>
      <c r="Z2411" s="52" t="s">
        <v>410</v>
      </c>
      <c r="AA2411" s="52" t="s">
        <v>247</v>
      </c>
      <c r="AB2411" s="52" t="s">
        <v>247</v>
      </c>
      <c r="AC2411" s="52" t="s">
        <v>247</v>
      </c>
      <c r="AD2411" s="52" t="s">
        <v>1</v>
      </c>
      <c r="AE2411" s="52" t="s">
        <v>383</v>
      </c>
      <c r="AF2411" s="155" t="s">
        <v>247</v>
      </c>
      <c r="AG2411" s="155" t="s">
        <v>247</v>
      </c>
    </row>
    <row r="2412" spans="25:33">
      <c r="Y2412" s="47">
        <v>5627</v>
      </c>
      <c r="Z2412" s="52" t="s">
        <v>410</v>
      </c>
      <c r="AA2412" s="52" t="s">
        <v>247</v>
      </c>
      <c r="AB2412" s="52" t="s">
        <v>247</v>
      </c>
      <c r="AC2412" s="52" t="s">
        <v>247</v>
      </c>
      <c r="AD2412" s="52" t="s">
        <v>1</v>
      </c>
      <c r="AE2412" s="52" t="s">
        <v>383</v>
      </c>
      <c r="AF2412" s="155" t="s">
        <v>247</v>
      </c>
      <c r="AG2412" s="155" t="s">
        <v>247</v>
      </c>
    </row>
    <row r="2413" spans="25:33">
      <c r="Y2413" s="47">
        <v>5628</v>
      </c>
      <c r="Z2413" s="52" t="s">
        <v>410</v>
      </c>
      <c r="AA2413" s="52" t="s">
        <v>247</v>
      </c>
      <c r="AB2413" s="52" t="s">
        <v>247</v>
      </c>
      <c r="AC2413" s="52" t="s">
        <v>247</v>
      </c>
      <c r="AD2413" s="52" t="s">
        <v>1</v>
      </c>
      <c r="AE2413" s="52" t="s">
        <v>383</v>
      </c>
      <c r="AF2413" s="155" t="s">
        <v>247</v>
      </c>
      <c r="AG2413" s="155" t="s">
        <v>247</v>
      </c>
    </row>
    <row r="2414" spans="25:33">
      <c r="Y2414" s="47">
        <v>5629</v>
      </c>
      <c r="Z2414" s="52" t="s">
        <v>410</v>
      </c>
      <c r="AA2414" s="52" t="s">
        <v>247</v>
      </c>
      <c r="AB2414" s="52" t="s">
        <v>247</v>
      </c>
      <c r="AC2414" s="52" t="s">
        <v>247</v>
      </c>
      <c r="AD2414" s="52" t="s">
        <v>1</v>
      </c>
      <c r="AE2414" s="52" t="s">
        <v>383</v>
      </c>
      <c r="AF2414" s="155" t="s">
        <v>247</v>
      </c>
      <c r="AG2414" s="155" t="s">
        <v>247</v>
      </c>
    </row>
    <row r="2415" spans="25:33">
      <c r="Y2415" s="47">
        <v>5630</v>
      </c>
      <c r="Z2415" s="52" t="s">
        <v>410</v>
      </c>
      <c r="AA2415" s="52" t="s">
        <v>247</v>
      </c>
      <c r="AB2415" s="52" t="s">
        <v>247</v>
      </c>
      <c r="AC2415" s="52" t="s">
        <v>247</v>
      </c>
      <c r="AD2415" s="52" t="s">
        <v>1</v>
      </c>
      <c r="AE2415" s="52" t="s">
        <v>383</v>
      </c>
      <c r="AF2415" s="155" t="s">
        <v>247</v>
      </c>
      <c r="AG2415" s="155" t="s">
        <v>247</v>
      </c>
    </row>
    <row r="2416" spans="25:33">
      <c r="Y2416" s="47">
        <v>5631</v>
      </c>
      <c r="Z2416" s="52" t="s">
        <v>410</v>
      </c>
      <c r="AA2416" s="52" t="s">
        <v>247</v>
      </c>
      <c r="AB2416" s="52" t="s">
        <v>247</v>
      </c>
      <c r="AC2416" s="52" t="s">
        <v>247</v>
      </c>
      <c r="AD2416" s="52" t="s">
        <v>1</v>
      </c>
      <c r="AE2416" s="52" t="s">
        <v>383</v>
      </c>
      <c r="AF2416" s="155" t="s">
        <v>247</v>
      </c>
      <c r="AG2416" s="155" t="s">
        <v>247</v>
      </c>
    </row>
    <row r="2417" spans="25:33">
      <c r="Y2417" s="47">
        <v>5632</v>
      </c>
      <c r="Z2417" s="52" t="s">
        <v>410</v>
      </c>
      <c r="AA2417" s="52" t="s">
        <v>247</v>
      </c>
      <c r="AB2417" s="52" t="s">
        <v>247</v>
      </c>
      <c r="AC2417" s="52" t="s">
        <v>247</v>
      </c>
      <c r="AD2417" s="52" t="s">
        <v>1</v>
      </c>
      <c r="AE2417" s="52" t="s">
        <v>383</v>
      </c>
      <c r="AF2417" s="155" t="s">
        <v>247</v>
      </c>
      <c r="AG2417" s="155" t="s">
        <v>247</v>
      </c>
    </row>
    <row r="2418" spans="25:33">
      <c r="Y2418" s="47">
        <v>5633</v>
      </c>
      <c r="Z2418" s="52" t="s">
        <v>410</v>
      </c>
      <c r="AA2418" s="52" t="s">
        <v>247</v>
      </c>
      <c r="AB2418" s="52" t="s">
        <v>247</v>
      </c>
      <c r="AC2418" s="52" t="s">
        <v>247</v>
      </c>
      <c r="AD2418" s="52" t="s">
        <v>1</v>
      </c>
      <c r="AE2418" s="52" t="s">
        <v>383</v>
      </c>
      <c r="AF2418" s="155" t="s">
        <v>247</v>
      </c>
      <c r="AG2418" s="155" t="s">
        <v>247</v>
      </c>
    </row>
    <row r="2419" spans="25:33">
      <c r="Y2419" s="47">
        <v>5634</v>
      </c>
      <c r="Z2419" s="52" t="s">
        <v>410</v>
      </c>
      <c r="AA2419" s="52" t="s">
        <v>247</v>
      </c>
      <c r="AB2419" s="52" t="s">
        <v>247</v>
      </c>
      <c r="AC2419" s="52" t="s">
        <v>247</v>
      </c>
      <c r="AD2419" s="52" t="s">
        <v>1</v>
      </c>
      <c r="AE2419" s="52" t="s">
        <v>383</v>
      </c>
      <c r="AF2419" s="155" t="s">
        <v>247</v>
      </c>
      <c r="AG2419" s="155" t="s">
        <v>247</v>
      </c>
    </row>
    <row r="2420" spans="25:33">
      <c r="Y2420" s="47">
        <v>5635</v>
      </c>
      <c r="Z2420" s="52" t="s">
        <v>410</v>
      </c>
      <c r="AA2420" s="52" t="s">
        <v>247</v>
      </c>
      <c r="AB2420" s="52" t="s">
        <v>247</v>
      </c>
      <c r="AC2420" s="52" t="s">
        <v>247</v>
      </c>
      <c r="AD2420" s="52" t="s">
        <v>1</v>
      </c>
      <c r="AE2420" s="52" t="s">
        <v>383</v>
      </c>
      <c r="AF2420" s="155" t="s">
        <v>247</v>
      </c>
      <c r="AG2420" s="155" t="s">
        <v>247</v>
      </c>
    </row>
    <row r="2421" spans="25:33">
      <c r="Y2421" s="47">
        <v>5636</v>
      </c>
      <c r="Z2421" s="52" t="s">
        <v>410</v>
      </c>
      <c r="AA2421" s="52" t="s">
        <v>247</v>
      </c>
      <c r="AB2421" s="52" t="s">
        <v>247</v>
      </c>
      <c r="AC2421" s="52" t="s">
        <v>247</v>
      </c>
      <c r="AD2421" s="52" t="s">
        <v>1</v>
      </c>
      <c r="AE2421" s="52" t="s">
        <v>383</v>
      </c>
      <c r="AF2421" s="155" t="s">
        <v>247</v>
      </c>
      <c r="AG2421" s="155" t="s">
        <v>247</v>
      </c>
    </row>
    <row r="2422" spans="25:33">
      <c r="Y2422" s="47">
        <v>5637</v>
      </c>
      <c r="Z2422" s="52" t="s">
        <v>410</v>
      </c>
      <c r="AA2422" s="52" t="s">
        <v>247</v>
      </c>
      <c r="AB2422" s="52" t="s">
        <v>247</v>
      </c>
      <c r="AC2422" s="52" t="s">
        <v>247</v>
      </c>
      <c r="AD2422" s="52" t="s">
        <v>1</v>
      </c>
      <c r="AE2422" s="52" t="s">
        <v>383</v>
      </c>
      <c r="AF2422" s="155" t="s">
        <v>247</v>
      </c>
      <c r="AG2422" s="155" t="s">
        <v>247</v>
      </c>
    </row>
    <row r="2423" spans="25:33">
      <c r="Y2423" s="47">
        <v>5638</v>
      </c>
      <c r="Z2423" s="52" t="s">
        <v>410</v>
      </c>
      <c r="AA2423" s="52" t="s">
        <v>247</v>
      </c>
      <c r="AB2423" s="52" t="s">
        <v>247</v>
      </c>
      <c r="AC2423" s="52" t="s">
        <v>247</v>
      </c>
      <c r="AD2423" s="52" t="s">
        <v>1</v>
      </c>
      <c r="AE2423" s="52" t="s">
        <v>383</v>
      </c>
      <c r="AF2423" s="155" t="s">
        <v>247</v>
      </c>
      <c r="AG2423" s="155" t="s">
        <v>247</v>
      </c>
    </row>
    <row r="2424" spans="25:33">
      <c r="Y2424" s="47">
        <v>5639</v>
      </c>
      <c r="Z2424" s="52" t="s">
        <v>410</v>
      </c>
      <c r="AA2424" s="52" t="s">
        <v>247</v>
      </c>
      <c r="AB2424" s="52" t="s">
        <v>247</v>
      </c>
      <c r="AC2424" s="52" t="s">
        <v>247</v>
      </c>
      <c r="AD2424" s="52" t="s">
        <v>1</v>
      </c>
      <c r="AE2424" s="52" t="s">
        <v>383</v>
      </c>
      <c r="AF2424" s="155" t="s">
        <v>247</v>
      </c>
      <c r="AG2424" s="155" t="s">
        <v>247</v>
      </c>
    </row>
    <row r="2425" spans="25:33">
      <c r="Y2425" s="47">
        <v>5640</v>
      </c>
      <c r="Z2425" s="52" t="s">
        <v>410</v>
      </c>
      <c r="AA2425" s="52" t="s">
        <v>247</v>
      </c>
      <c r="AB2425" s="52" t="s">
        <v>247</v>
      </c>
      <c r="AC2425" s="52" t="s">
        <v>247</v>
      </c>
      <c r="AD2425" s="52" t="s">
        <v>1</v>
      </c>
      <c r="AE2425" s="52" t="s">
        <v>383</v>
      </c>
      <c r="AF2425" s="155" t="s">
        <v>247</v>
      </c>
      <c r="AG2425" s="155" t="s">
        <v>247</v>
      </c>
    </row>
    <row r="2426" spans="25:33">
      <c r="Y2426" s="47">
        <v>5641</v>
      </c>
      <c r="Z2426" s="52" t="s">
        <v>410</v>
      </c>
      <c r="AA2426" s="52" t="s">
        <v>247</v>
      </c>
      <c r="AB2426" s="52" t="s">
        <v>247</v>
      </c>
      <c r="AC2426" s="52" t="s">
        <v>247</v>
      </c>
      <c r="AD2426" s="52" t="s">
        <v>1</v>
      </c>
      <c r="AE2426" s="52" t="s">
        <v>383</v>
      </c>
      <c r="AF2426" s="155" t="s">
        <v>247</v>
      </c>
      <c r="AG2426" s="155" t="s">
        <v>247</v>
      </c>
    </row>
    <row r="2427" spans="25:33">
      <c r="Y2427" s="47">
        <v>5642</v>
      </c>
      <c r="Z2427" s="52" t="s">
        <v>410</v>
      </c>
      <c r="AA2427" s="52" t="s">
        <v>247</v>
      </c>
      <c r="AB2427" s="52" t="s">
        <v>247</v>
      </c>
      <c r="AC2427" s="52" t="s">
        <v>247</v>
      </c>
      <c r="AD2427" s="52" t="s">
        <v>1</v>
      </c>
      <c r="AE2427" s="52" t="s">
        <v>383</v>
      </c>
      <c r="AF2427" s="155" t="s">
        <v>247</v>
      </c>
      <c r="AG2427" s="155" t="s">
        <v>247</v>
      </c>
    </row>
    <row r="2428" spans="25:33">
      <c r="Y2428" s="47">
        <v>5643</v>
      </c>
      <c r="Z2428" s="52" t="s">
        <v>410</v>
      </c>
      <c r="AA2428" s="52" t="s">
        <v>247</v>
      </c>
      <c r="AB2428" s="52" t="s">
        <v>247</v>
      </c>
      <c r="AC2428" s="52" t="s">
        <v>247</v>
      </c>
      <c r="AD2428" s="52" t="s">
        <v>1</v>
      </c>
      <c r="AE2428" s="52" t="s">
        <v>383</v>
      </c>
      <c r="AF2428" s="155" t="s">
        <v>247</v>
      </c>
      <c r="AG2428" s="155" t="s">
        <v>247</v>
      </c>
    </row>
    <row r="2429" spans="25:33">
      <c r="Y2429" s="47">
        <v>5644</v>
      </c>
      <c r="Z2429" s="52" t="s">
        <v>410</v>
      </c>
      <c r="AA2429" s="52" t="s">
        <v>247</v>
      </c>
      <c r="AB2429" s="52" t="s">
        <v>247</v>
      </c>
      <c r="AC2429" s="52" t="s">
        <v>247</v>
      </c>
      <c r="AD2429" s="52" t="s">
        <v>1</v>
      </c>
      <c r="AE2429" s="52" t="s">
        <v>383</v>
      </c>
      <c r="AF2429" s="155" t="s">
        <v>247</v>
      </c>
      <c r="AG2429" s="155" t="s">
        <v>247</v>
      </c>
    </row>
    <row r="2430" spans="25:33">
      <c r="Y2430" s="47">
        <v>5645</v>
      </c>
      <c r="Z2430" s="52" t="s">
        <v>410</v>
      </c>
      <c r="AA2430" s="52" t="s">
        <v>247</v>
      </c>
      <c r="AB2430" s="52" t="s">
        <v>247</v>
      </c>
      <c r="AC2430" s="52" t="s">
        <v>247</v>
      </c>
      <c r="AD2430" s="52" t="s">
        <v>1</v>
      </c>
      <c r="AE2430" s="52" t="s">
        <v>383</v>
      </c>
      <c r="AF2430" s="155" t="s">
        <v>247</v>
      </c>
      <c r="AG2430" s="155" t="s">
        <v>247</v>
      </c>
    </row>
    <row r="2431" spans="25:33">
      <c r="Y2431" s="47">
        <v>5646</v>
      </c>
      <c r="Z2431" s="52" t="s">
        <v>410</v>
      </c>
      <c r="AA2431" s="52" t="s">
        <v>247</v>
      </c>
      <c r="AB2431" s="52" t="s">
        <v>247</v>
      </c>
      <c r="AC2431" s="52" t="s">
        <v>247</v>
      </c>
      <c r="AD2431" s="52" t="s">
        <v>1</v>
      </c>
      <c r="AE2431" s="52" t="s">
        <v>383</v>
      </c>
      <c r="AF2431" s="155" t="s">
        <v>247</v>
      </c>
      <c r="AG2431" s="155" t="s">
        <v>247</v>
      </c>
    </row>
    <row r="2432" spans="25:33">
      <c r="Y2432" s="47">
        <v>5647</v>
      </c>
      <c r="Z2432" s="52" t="s">
        <v>410</v>
      </c>
      <c r="AA2432" s="52" t="s">
        <v>247</v>
      </c>
      <c r="AB2432" s="52" t="s">
        <v>247</v>
      </c>
      <c r="AC2432" s="52" t="s">
        <v>247</v>
      </c>
      <c r="AD2432" s="52" t="s">
        <v>1</v>
      </c>
      <c r="AE2432" s="52" t="s">
        <v>383</v>
      </c>
      <c r="AF2432" s="155" t="s">
        <v>247</v>
      </c>
      <c r="AG2432" s="155" t="s">
        <v>247</v>
      </c>
    </row>
    <row r="2433" spans="25:33">
      <c r="Y2433" s="47">
        <v>5648</v>
      </c>
      <c r="Z2433" s="52" t="s">
        <v>410</v>
      </c>
      <c r="AA2433" s="52" t="s">
        <v>247</v>
      </c>
      <c r="AB2433" s="52" t="s">
        <v>247</v>
      </c>
      <c r="AC2433" s="52" t="s">
        <v>247</v>
      </c>
      <c r="AD2433" s="52" t="s">
        <v>1</v>
      </c>
      <c r="AE2433" s="52" t="s">
        <v>383</v>
      </c>
      <c r="AF2433" s="155" t="s">
        <v>247</v>
      </c>
      <c r="AG2433" s="155" t="s">
        <v>247</v>
      </c>
    </row>
    <row r="2434" spans="25:33">
      <c r="Y2434" s="47">
        <v>5649</v>
      </c>
      <c r="Z2434" s="52" t="s">
        <v>410</v>
      </c>
      <c r="AA2434" s="52" t="s">
        <v>247</v>
      </c>
      <c r="AB2434" s="52" t="s">
        <v>247</v>
      </c>
      <c r="AC2434" s="52" t="s">
        <v>247</v>
      </c>
      <c r="AD2434" s="52" t="s">
        <v>1</v>
      </c>
      <c r="AE2434" s="52" t="s">
        <v>383</v>
      </c>
      <c r="AF2434" s="155" t="s">
        <v>247</v>
      </c>
      <c r="AG2434" s="155" t="s">
        <v>247</v>
      </c>
    </row>
    <row r="2435" spans="25:33">
      <c r="Y2435" s="47">
        <v>5650</v>
      </c>
      <c r="Z2435" s="52" t="s">
        <v>410</v>
      </c>
      <c r="AA2435" s="52" t="s">
        <v>247</v>
      </c>
      <c r="AB2435" s="52" t="s">
        <v>247</v>
      </c>
      <c r="AC2435" s="52" t="s">
        <v>247</v>
      </c>
      <c r="AD2435" s="52" t="s">
        <v>1</v>
      </c>
      <c r="AE2435" s="52" t="s">
        <v>383</v>
      </c>
      <c r="AF2435" s="155" t="s">
        <v>247</v>
      </c>
      <c r="AG2435" s="155" t="s">
        <v>247</v>
      </c>
    </row>
    <row r="2436" spans="25:33">
      <c r="Y2436" s="47">
        <v>5651</v>
      </c>
      <c r="Z2436" s="52" t="s">
        <v>410</v>
      </c>
      <c r="AA2436" s="52" t="s">
        <v>247</v>
      </c>
      <c r="AB2436" s="52" t="s">
        <v>247</v>
      </c>
      <c r="AC2436" s="52" t="s">
        <v>247</v>
      </c>
      <c r="AD2436" s="52" t="s">
        <v>1</v>
      </c>
      <c r="AE2436" s="52" t="s">
        <v>383</v>
      </c>
      <c r="AF2436" s="155" t="s">
        <v>247</v>
      </c>
      <c r="AG2436" s="155" t="s">
        <v>247</v>
      </c>
    </row>
    <row r="2437" spans="25:33">
      <c r="Y2437" s="47">
        <v>5652</v>
      </c>
      <c r="Z2437" s="52" t="s">
        <v>410</v>
      </c>
      <c r="AA2437" s="52" t="s">
        <v>247</v>
      </c>
      <c r="AB2437" s="52" t="s">
        <v>247</v>
      </c>
      <c r="AC2437" s="52" t="s">
        <v>247</v>
      </c>
      <c r="AD2437" s="52" t="s">
        <v>1</v>
      </c>
      <c r="AE2437" s="52" t="s">
        <v>383</v>
      </c>
      <c r="AF2437" s="155" t="s">
        <v>247</v>
      </c>
      <c r="AG2437" s="155" t="s">
        <v>247</v>
      </c>
    </row>
    <row r="2438" spans="25:33">
      <c r="Y2438" s="47">
        <v>5653</v>
      </c>
      <c r="Z2438" s="52" t="s">
        <v>410</v>
      </c>
      <c r="AA2438" s="52" t="s">
        <v>247</v>
      </c>
      <c r="AB2438" s="52" t="s">
        <v>247</v>
      </c>
      <c r="AC2438" s="52" t="s">
        <v>247</v>
      </c>
      <c r="AD2438" s="52" t="s">
        <v>1</v>
      </c>
      <c r="AE2438" s="52" t="s">
        <v>383</v>
      </c>
      <c r="AF2438" s="155" t="s">
        <v>247</v>
      </c>
      <c r="AG2438" s="155" t="s">
        <v>247</v>
      </c>
    </row>
    <row r="2439" spans="25:33">
      <c r="Y2439" s="47">
        <v>5654</v>
      </c>
      <c r="Z2439" s="52" t="s">
        <v>410</v>
      </c>
      <c r="AA2439" s="52" t="s">
        <v>247</v>
      </c>
      <c r="AB2439" s="52" t="s">
        <v>247</v>
      </c>
      <c r="AC2439" s="52" t="s">
        <v>247</v>
      </c>
      <c r="AD2439" s="52" t="s">
        <v>1</v>
      </c>
      <c r="AE2439" s="52" t="s">
        <v>383</v>
      </c>
      <c r="AF2439" s="155" t="s">
        <v>247</v>
      </c>
      <c r="AG2439" s="155" t="s">
        <v>247</v>
      </c>
    </row>
    <row r="2440" spans="25:33">
      <c r="Y2440" s="47">
        <v>5655</v>
      </c>
      <c r="Z2440" s="52" t="s">
        <v>410</v>
      </c>
      <c r="AA2440" s="52" t="s">
        <v>247</v>
      </c>
      <c r="AB2440" s="52" t="s">
        <v>247</v>
      </c>
      <c r="AC2440" s="52" t="s">
        <v>247</v>
      </c>
      <c r="AD2440" s="52" t="s">
        <v>1</v>
      </c>
      <c r="AE2440" s="52" t="s">
        <v>383</v>
      </c>
      <c r="AF2440" s="155" t="s">
        <v>247</v>
      </c>
      <c r="AG2440" s="155" t="s">
        <v>247</v>
      </c>
    </row>
    <row r="2441" spans="25:33">
      <c r="Y2441" s="47">
        <v>5656</v>
      </c>
      <c r="Z2441" s="52" t="s">
        <v>410</v>
      </c>
      <c r="AA2441" s="52" t="s">
        <v>247</v>
      </c>
      <c r="AB2441" s="52" t="s">
        <v>247</v>
      </c>
      <c r="AC2441" s="52" t="s">
        <v>247</v>
      </c>
      <c r="AD2441" s="52" t="s">
        <v>1</v>
      </c>
      <c r="AE2441" s="52" t="s">
        <v>383</v>
      </c>
      <c r="AF2441" s="155" t="s">
        <v>247</v>
      </c>
      <c r="AG2441" s="155" t="s">
        <v>247</v>
      </c>
    </row>
    <row r="2442" spans="25:33">
      <c r="Y2442" s="47">
        <v>5657</v>
      </c>
      <c r="Z2442" s="52" t="s">
        <v>410</v>
      </c>
      <c r="AA2442" s="52" t="s">
        <v>247</v>
      </c>
      <c r="AB2442" s="52" t="s">
        <v>247</v>
      </c>
      <c r="AC2442" s="52" t="s">
        <v>247</v>
      </c>
      <c r="AD2442" s="52" t="s">
        <v>1</v>
      </c>
      <c r="AE2442" s="52" t="s">
        <v>383</v>
      </c>
      <c r="AF2442" s="155" t="s">
        <v>247</v>
      </c>
      <c r="AG2442" s="155" t="s">
        <v>247</v>
      </c>
    </row>
    <row r="2443" spans="25:33">
      <c r="Y2443" s="47">
        <v>5658</v>
      </c>
      <c r="Z2443" s="52" t="s">
        <v>410</v>
      </c>
      <c r="AA2443" s="52" t="s">
        <v>247</v>
      </c>
      <c r="AB2443" s="52" t="s">
        <v>247</v>
      </c>
      <c r="AC2443" s="52" t="s">
        <v>247</v>
      </c>
      <c r="AD2443" s="52" t="s">
        <v>1</v>
      </c>
      <c r="AE2443" s="52" t="s">
        <v>383</v>
      </c>
      <c r="AF2443" s="155" t="s">
        <v>247</v>
      </c>
      <c r="AG2443" s="155" t="s">
        <v>247</v>
      </c>
    </row>
    <row r="2444" spans="25:33">
      <c r="Y2444" s="47">
        <v>5659</v>
      </c>
      <c r="Z2444" s="52" t="s">
        <v>410</v>
      </c>
      <c r="AA2444" s="52" t="s">
        <v>247</v>
      </c>
      <c r="AB2444" s="52" t="s">
        <v>247</v>
      </c>
      <c r="AC2444" s="52" t="s">
        <v>247</v>
      </c>
      <c r="AD2444" s="52" t="s">
        <v>1</v>
      </c>
      <c r="AE2444" s="52" t="s">
        <v>383</v>
      </c>
      <c r="AF2444" s="155" t="s">
        <v>247</v>
      </c>
      <c r="AG2444" s="155" t="s">
        <v>247</v>
      </c>
    </row>
    <row r="2445" spans="25:33">
      <c r="Y2445" s="47">
        <v>5660</v>
      </c>
      <c r="Z2445" s="52" t="s">
        <v>410</v>
      </c>
      <c r="AA2445" s="52" t="s">
        <v>247</v>
      </c>
      <c r="AB2445" s="52" t="s">
        <v>247</v>
      </c>
      <c r="AC2445" s="52" t="s">
        <v>247</v>
      </c>
      <c r="AD2445" s="52" t="s">
        <v>1</v>
      </c>
      <c r="AE2445" s="52" t="s">
        <v>383</v>
      </c>
      <c r="AF2445" s="155" t="s">
        <v>247</v>
      </c>
      <c r="AG2445" s="155" t="s">
        <v>247</v>
      </c>
    </row>
    <row r="2446" spans="25:33">
      <c r="Y2446" s="47">
        <v>5661</v>
      </c>
      <c r="Z2446" s="52" t="s">
        <v>410</v>
      </c>
      <c r="AA2446" s="52" t="s">
        <v>247</v>
      </c>
      <c r="AB2446" s="52" t="s">
        <v>247</v>
      </c>
      <c r="AC2446" s="52" t="s">
        <v>247</v>
      </c>
      <c r="AD2446" s="52" t="s">
        <v>1</v>
      </c>
      <c r="AE2446" s="52" t="s">
        <v>383</v>
      </c>
      <c r="AF2446" s="155" t="s">
        <v>247</v>
      </c>
      <c r="AG2446" s="155" t="s">
        <v>247</v>
      </c>
    </row>
    <row r="2447" spans="25:33">
      <c r="Y2447" s="47">
        <v>5662</v>
      </c>
      <c r="Z2447" s="52" t="s">
        <v>410</v>
      </c>
      <c r="AA2447" s="52" t="s">
        <v>247</v>
      </c>
      <c r="AB2447" s="52" t="s">
        <v>247</v>
      </c>
      <c r="AC2447" s="52" t="s">
        <v>247</v>
      </c>
      <c r="AD2447" s="52" t="s">
        <v>1</v>
      </c>
      <c r="AE2447" s="52" t="s">
        <v>383</v>
      </c>
      <c r="AF2447" s="155" t="s">
        <v>247</v>
      </c>
      <c r="AG2447" s="155" t="s">
        <v>247</v>
      </c>
    </row>
    <row r="2448" spans="25:33">
      <c r="Y2448" s="47">
        <v>5663</v>
      </c>
      <c r="Z2448" s="52" t="s">
        <v>410</v>
      </c>
      <c r="AA2448" s="52" t="s">
        <v>247</v>
      </c>
      <c r="AB2448" s="52" t="s">
        <v>247</v>
      </c>
      <c r="AC2448" s="52" t="s">
        <v>247</v>
      </c>
      <c r="AD2448" s="52" t="s">
        <v>1</v>
      </c>
      <c r="AE2448" s="52" t="s">
        <v>383</v>
      </c>
      <c r="AF2448" s="155" t="s">
        <v>247</v>
      </c>
      <c r="AG2448" s="155" t="s">
        <v>247</v>
      </c>
    </row>
    <row r="2449" spans="25:33">
      <c r="Y2449" s="47">
        <v>5664</v>
      </c>
      <c r="Z2449" s="52" t="s">
        <v>410</v>
      </c>
      <c r="AA2449" s="52" t="s">
        <v>247</v>
      </c>
      <c r="AB2449" s="52" t="s">
        <v>247</v>
      </c>
      <c r="AC2449" s="52" t="s">
        <v>247</v>
      </c>
      <c r="AD2449" s="52" t="s">
        <v>1</v>
      </c>
      <c r="AE2449" s="52" t="s">
        <v>383</v>
      </c>
      <c r="AF2449" s="155" t="s">
        <v>247</v>
      </c>
      <c r="AG2449" s="155" t="s">
        <v>247</v>
      </c>
    </row>
    <row r="2450" spans="25:33">
      <c r="Y2450" s="47">
        <v>5665</v>
      </c>
      <c r="Z2450" s="52" t="s">
        <v>410</v>
      </c>
      <c r="AA2450" s="52" t="s">
        <v>247</v>
      </c>
      <c r="AB2450" s="52" t="s">
        <v>247</v>
      </c>
      <c r="AC2450" s="52" t="s">
        <v>247</v>
      </c>
      <c r="AD2450" s="52" t="s">
        <v>1</v>
      </c>
      <c r="AE2450" s="52" t="s">
        <v>383</v>
      </c>
      <c r="AF2450" s="155" t="s">
        <v>247</v>
      </c>
      <c r="AG2450" s="155" t="s">
        <v>247</v>
      </c>
    </row>
    <row r="2451" spans="25:33">
      <c r="Y2451" s="47">
        <v>5666</v>
      </c>
      <c r="Z2451" s="52" t="s">
        <v>410</v>
      </c>
      <c r="AA2451" s="52" t="s">
        <v>247</v>
      </c>
      <c r="AB2451" s="52" t="s">
        <v>247</v>
      </c>
      <c r="AC2451" s="52" t="s">
        <v>247</v>
      </c>
      <c r="AD2451" s="52" t="s">
        <v>1</v>
      </c>
      <c r="AE2451" s="52" t="s">
        <v>383</v>
      </c>
      <c r="AF2451" s="155" t="s">
        <v>247</v>
      </c>
      <c r="AG2451" s="155" t="s">
        <v>247</v>
      </c>
    </row>
    <row r="2452" spans="25:33">
      <c r="Y2452" s="47">
        <v>5667</v>
      </c>
      <c r="Z2452" s="52" t="s">
        <v>410</v>
      </c>
      <c r="AA2452" s="52" t="s">
        <v>247</v>
      </c>
      <c r="AB2452" s="52" t="s">
        <v>247</v>
      </c>
      <c r="AC2452" s="52" t="s">
        <v>247</v>
      </c>
      <c r="AD2452" s="52" t="s">
        <v>1</v>
      </c>
      <c r="AE2452" s="52" t="s">
        <v>383</v>
      </c>
      <c r="AF2452" s="155" t="s">
        <v>247</v>
      </c>
      <c r="AG2452" s="155" t="s">
        <v>247</v>
      </c>
    </row>
    <row r="2453" spans="25:33">
      <c r="Y2453" s="47">
        <v>5668</v>
      </c>
      <c r="Z2453" s="52" t="s">
        <v>410</v>
      </c>
      <c r="AA2453" s="52" t="s">
        <v>247</v>
      </c>
      <c r="AB2453" s="52" t="s">
        <v>247</v>
      </c>
      <c r="AC2453" s="52" t="s">
        <v>247</v>
      </c>
      <c r="AD2453" s="52" t="s">
        <v>1</v>
      </c>
      <c r="AE2453" s="52" t="s">
        <v>383</v>
      </c>
      <c r="AF2453" s="155" t="s">
        <v>247</v>
      </c>
      <c r="AG2453" s="155" t="s">
        <v>247</v>
      </c>
    </row>
    <row r="2454" spans="25:33">
      <c r="Y2454" s="47">
        <v>5669</v>
      </c>
      <c r="Z2454" s="52" t="s">
        <v>410</v>
      </c>
      <c r="AA2454" s="52" t="s">
        <v>247</v>
      </c>
      <c r="AB2454" s="52" t="s">
        <v>247</v>
      </c>
      <c r="AC2454" s="52" t="s">
        <v>247</v>
      </c>
      <c r="AD2454" s="52" t="s">
        <v>1</v>
      </c>
      <c r="AE2454" s="52" t="s">
        <v>383</v>
      </c>
      <c r="AF2454" s="155" t="s">
        <v>247</v>
      </c>
      <c r="AG2454" s="155" t="s">
        <v>247</v>
      </c>
    </row>
    <row r="2455" spans="25:33">
      <c r="Y2455" s="47">
        <v>5670</v>
      </c>
      <c r="Z2455" s="52" t="s">
        <v>410</v>
      </c>
      <c r="AA2455" s="52" t="s">
        <v>247</v>
      </c>
      <c r="AB2455" s="52" t="s">
        <v>247</v>
      </c>
      <c r="AC2455" s="52" t="s">
        <v>247</v>
      </c>
      <c r="AD2455" s="52" t="s">
        <v>1</v>
      </c>
      <c r="AE2455" s="52" t="s">
        <v>383</v>
      </c>
      <c r="AF2455" s="155" t="s">
        <v>247</v>
      </c>
      <c r="AG2455" s="155" t="s">
        <v>247</v>
      </c>
    </row>
    <row r="2456" spans="25:33">
      <c r="Y2456" s="47">
        <v>5671</v>
      </c>
      <c r="Z2456" s="52" t="s">
        <v>410</v>
      </c>
      <c r="AA2456" s="52" t="s">
        <v>247</v>
      </c>
      <c r="AB2456" s="52" t="s">
        <v>247</v>
      </c>
      <c r="AC2456" s="52" t="s">
        <v>247</v>
      </c>
      <c r="AD2456" s="52" t="s">
        <v>1</v>
      </c>
      <c r="AE2456" s="52" t="s">
        <v>383</v>
      </c>
      <c r="AF2456" s="155" t="s">
        <v>247</v>
      </c>
      <c r="AG2456" s="155" t="s">
        <v>247</v>
      </c>
    </row>
    <row r="2457" spans="25:33">
      <c r="Y2457" s="47">
        <v>5672</v>
      </c>
      <c r="Z2457" s="52" t="s">
        <v>410</v>
      </c>
      <c r="AA2457" s="52" t="s">
        <v>247</v>
      </c>
      <c r="AB2457" s="52" t="s">
        <v>247</v>
      </c>
      <c r="AC2457" s="52" t="s">
        <v>247</v>
      </c>
      <c r="AD2457" s="52" t="s">
        <v>1</v>
      </c>
      <c r="AE2457" s="52" t="s">
        <v>383</v>
      </c>
      <c r="AF2457" s="155" t="s">
        <v>247</v>
      </c>
      <c r="AG2457" s="155" t="s">
        <v>247</v>
      </c>
    </row>
    <row r="2458" spans="25:33">
      <c r="Y2458" s="47">
        <v>5673</v>
      </c>
      <c r="Z2458" s="52" t="s">
        <v>410</v>
      </c>
      <c r="AA2458" s="52" t="s">
        <v>247</v>
      </c>
      <c r="AB2458" s="52" t="s">
        <v>247</v>
      </c>
      <c r="AC2458" s="52" t="s">
        <v>247</v>
      </c>
      <c r="AD2458" s="52" t="s">
        <v>1</v>
      </c>
      <c r="AE2458" s="52" t="s">
        <v>383</v>
      </c>
      <c r="AF2458" s="155" t="s">
        <v>247</v>
      </c>
      <c r="AG2458" s="155" t="s">
        <v>247</v>
      </c>
    </row>
    <row r="2459" spans="25:33">
      <c r="Y2459" s="47">
        <v>5674</v>
      </c>
      <c r="Z2459" s="52" t="s">
        <v>410</v>
      </c>
      <c r="AA2459" s="52" t="s">
        <v>247</v>
      </c>
      <c r="AB2459" s="52" t="s">
        <v>247</v>
      </c>
      <c r="AC2459" s="52" t="s">
        <v>247</v>
      </c>
      <c r="AD2459" s="52" t="s">
        <v>1</v>
      </c>
      <c r="AE2459" s="52" t="s">
        <v>383</v>
      </c>
      <c r="AF2459" s="155" t="s">
        <v>247</v>
      </c>
      <c r="AG2459" s="155" t="s">
        <v>247</v>
      </c>
    </row>
    <row r="2460" spans="25:33">
      <c r="Y2460" s="47">
        <v>5675</v>
      </c>
      <c r="Z2460" s="52" t="s">
        <v>410</v>
      </c>
      <c r="AA2460" s="52" t="s">
        <v>247</v>
      </c>
      <c r="AB2460" s="52" t="s">
        <v>247</v>
      </c>
      <c r="AC2460" s="52" t="s">
        <v>247</v>
      </c>
      <c r="AD2460" s="52" t="s">
        <v>1</v>
      </c>
      <c r="AE2460" s="52" t="s">
        <v>383</v>
      </c>
      <c r="AF2460" s="155" t="s">
        <v>247</v>
      </c>
      <c r="AG2460" s="155" t="s">
        <v>247</v>
      </c>
    </row>
    <row r="2461" spans="25:33">
      <c r="Y2461" s="47">
        <v>5676</v>
      </c>
      <c r="Z2461" s="52" t="s">
        <v>410</v>
      </c>
      <c r="AA2461" s="52" t="s">
        <v>247</v>
      </c>
      <c r="AB2461" s="52" t="s">
        <v>247</v>
      </c>
      <c r="AC2461" s="52" t="s">
        <v>247</v>
      </c>
      <c r="AD2461" s="52" t="s">
        <v>1</v>
      </c>
      <c r="AE2461" s="52" t="s">
        <v>383</v>
      </c>
      <c r="AF2461" s="155" t="s">
        <v>247</v>
      </c>
      <c r="AG2461" s="155" t="s">
        <v>247</v>
      </c>
    </row>
    <row r="2462" spans="25:33">
      <c r="Y2462" s="47">
        <v>5677</v>
      </c>
      <c r="Z2462" s="52" t="s">
        <v>410</v>
      </c>
      <c r="AA2462" s="52" t="s">
        <v>247</v>
      </c>
      <c r="AB2462" s="52" t="s">
        <v>247</v>
      </c>
      <c r="AC2462" s="52" t="s">
        <v>247</v>
      </c>
      <c r="AD2462" s="52" t="s">
        <v>1</v>
      </c>
      <c r="AE2462" s="52" t="s">
        <v>383</v>
      </c>
      <c r="AF2462" s="155" t="s">
        <v>247</v>
      </c>
      <c r="AG2462" s="155" t="s">
        <v>247</v>
      </c>
    </row>
    <row r="2463" spans="25:33">
      <c r="Y2463" s="47">
        <v>5678</v>
      </c>
      <c r="Z2463" s="52" t="s">
        <v>410</v>
      </c>
      <c r="AA2463" s="52" t="s">
        <v>247</v>
      </c>
      <c r="AB2463" s="52" t="s">
        <v>247</v>
      </c>
      <c r="AC2463" s="52" t="s">
        <v>247</v>
      </c>
      <c r="AD2463" s="52" t="s">
        <v>1</v>
      </c>
      <c r="AE2463" s="52" t="s">
        <v>383</v>
      </c>
      <c r="AF2463" s="155" t="s">
        <v>247</v>
      </c>
      <c r="AG2463" s="155" t="s">
        <v>247</v>
      </c>
    </row>
    <row r="2464" spans="25:33">
      <c r="Y2464" s="47">
        <v>5679</v>
      </c>
      <c r="Z2464" s="52" t="s">
        <v>410</v>
      </c>
      <c r="AA2464" s="52" t="s">
        <v>247</v>
      </c>
      <c r="AB2464" s="52" t="s">
        <v>247</v>
      </c>
      <c r="AC2464" s="52" t="s">
        <v>247</v>
      </c>
      <c r="AD2464" s="52" t="s">
        <v>1</v>
      </c>
      <c r="AE2464" s="52" t="s">
        <v>383</v>
      </c>
      <c r="AF2464" s="155" t="s">
        <v>247</v>
      </c>
      <c r="AG2464" s="155" t="s">
        <v>247</v>
      </c>
    </row>
    <row r="2465" spans="25:33">
      <c r="Y2465" s="47">
        <v>5680</v>
      </c>
      <c r="Z2465" s="52" t="s">
        <v>410</v>
      </c>
      <c r="AA2465" s="52" t="s">
        <v>247</v>
      </c>
      <c r="AB2465" s="52" t="s">
        <v>247</v>
      </c>
      <c r="AC2465" s="52" t="s">
        <v>247</v>
      </c>
      <c r="AD2465" s="52" t="s">
        <v>1</v>
      </c>
      <c r="AE2465" s="52" t="s">
        <v>383</v>
      </c>
      <c r="AF2465" s="155" t="s">
        <v>247</v>
      </c>
      <c r="AG2465" s="155" t="s">
        <v>247</v>
      </c>
    </row>
    <row r="2466" spans="25:33">
      <c r="Y2466" s="47">
        <v>5681</v>
      </c>
      <c r="Z2466" s="52" t="s">
        <v>410</v>
      </c>
      <c r="AA2466" s="52" t="s">
        <v>247</v>
      </c>
      <c r="AB2466" s="52" t="s">
        <v>247</v>
      </c>
      <c r="AC2466" s="52" t="s">
        <v>247</v>
      </c>
      <c r="AD2466" s="52" t="s">
        <v>1</v>
      </c>
      <c r="AE2466" s="52" t="s">
        <v>383</v>
      </c>
      <c r="AF2466" s="155" t="s">
        <v>247</v>
      </c>
      <c r="AG2466" s="155" t="s">
        <v>247</v>
      </c>
    </row>
    <row r="2467" spans="25:33">
      <c r="Y2467" s="47">
        <v>5682</v>
      </c>
      <c r="Z2467" s="52" t="s">
        <v>410</v>
      </c>
      <c r="AA2467" s="52" t="s">
        <v>247</v>
      </c>
      <c r="AB2467" s="52" t="s">
        <v>247</v>
      </c>
      <c r="AC2467" s="52" t="s">
        <v>247</v>
      </c>
      <c r="AD2467" s="52" t="s">
        <v>1</v>
      </c>
      <c r="AE2467" s="52" t="s">
        <v>383</v>
      </c>
      <c r="AF2467" s="155" t="s">
        <v>247</v>
      </c>
      <c r="AG2467" s="155" t="s">
        <v>247</v>
      </c>
    </row>
    <row r="2468" spans="25:33">
      <c r="Y2468" s="47">
        <v>5683</v>
      </c>
      <c r="Z2468" s="52" t="s">
        <v>410</v>
      </c>
      <c r="AA2468" s="52" t="s">
        <v>247</v>
      </c>
      <c r="AB2468" s="52" t="s">
        <v>247</v>
      </c>
      <c r="AC2468" s="52" t="s">
        <v>247</v>
      </c>
      <c r="AD2468" s="52" t="s">
        <v>1</v>
      </c>
      <c r="AE2468" s="52" t="s">
        <v>383</v>
      </c>
      <c r="AF2468" s="155" t="s">
        <v>247</v>
      </c>
      <c r="AG2468" s="155" t="s">
        <v>247</v>
      </c>
    </row>
    <row r="2469" spans="25:33">
      <c r="Y2469" s="47">
        <v>5684</v>
      </c>
      <c r="Z2469" s="52" t="s">
        <v>410</v>
      </c>
      <c r="AA2469" s="52" t="s">
        <v>247</v>
      </c>
      <c r="AB2469" s="52" t="s">
        <v>247</v>
      </c>
      <c r="AC2469" s="52" t="s">
        <v>247</v>
      </c>
      <c r="AD2469" s="52" t="s">
        <v>1</v>
      </c>
      <c r="AE2469" s="52" t="s">
        <v>383</v>
      </c>
      <c r="AF2469" s="155" t="s">
        <v>247</v>
      </c>
      <c r="AG2469" s="155" t="s">
        <v>247</v>
      </c>
    </row>
    <row r="2470" spans="25:33">
      <c r="Y2470" s="47">
        <v>5685</v>
      </c>
      <c r="Z2470" s="52" t="s">
        <v>410</v>
      </c>
      <c r="AA2470" s="52" t="s">
        <v>247</v>
      </c>
      <c r="AB2470" s="52" t="s">
        <v>247</v>
      </c>
      <c r="AC2470" s="52" t="s">
        <v>247</v>
      </c>
      <c r="AD2470" s="52" t="s">
        <v>1</v>
      </c>
      <c r="AE2470" s="52" t="s">
        <v>383</v>
      </c>
      <c r="AF2470" s="155" t="s">
        <v>247</v>
      </c>
      <c r="AG2470" s="155" t="s">
        <v>247</v>
      </c>
    </row>
    <row r="2471" spans="25:33">
      <c r="Y2471" s="47">
        <v>5686</v>
      </c>
      <c r="Z2471" s="52" t="s">
        <v>410</v>
      </c>
      <c r="AA2471" s="52" t="s">
        <v>247</v>
      </c>
      <c r="AB2471" s="52" t="s">
        <v>247</v>
      </c>
      <c r="AC2471" s="52" t="s">
        <v>247</v>
      </c>
      <c r="AD2471" s="52" t="s">
        <v>1</v>
      </c>
      <c r="AE2471" s="52" t="s">
        <v>383</v>
      </c>
      <c r="AF2471" s="155" t="s">
        <v>247</v>
      </c>
      <c r="AG2471" s="155" t="s">
        <v>247</v>
      </c>
    </row>
    <row r="2472" spans="25:33">
      <c r="Y2472" s="47">
        <v>5687</v>
      </c>
      <c r="Z2472" s="52" t="s">
        <v>410</v>
      </c>
      <c r="AA2472" s="52" t="s">
        <v>247</v>
      </c>
      <c r="AB2472" s="52" t="s">
        <v>247</v>
      </c>
      <c r="AC2472" s="52" t="s">
        <v>247</v>
      </c>
      <c r="AD2472" s="52" t="s">
        <v>1</v>
      </c>
      <c r="AE2472" s="52" t="s">
        <v>383</v>
      </c>
      <c r="AF2472" s="155" t="s">
        <v>247</v>
      </c>
      <c r="AG2472" s="155" t="s">
        <v>247</v>
      </c>
    </row>
    <row r="2473" spans="25:33">
      <c r="Y2473" s="47">
        <v>5688</v>
      </c>
      <c r="Z2473" s="52" t="s">
        <v>410</v>
      </c>
      <c r="AA2473" s="52" t="s">
        <v>247</v>
      </c>
      <c r="AB2473" s="52" t="s">
        <v>247</v>
      </c>
      <c r="AC2473" s="52" t="s">
        <v>247</v>
      </c>
      <c r="AD2473" s="52" t="s">
        <v>1</v>
      </c>
      <c r="AE2473" s="52" t="s">
        <v>383</v>
      </c>
      <c r="AF2473" s="155" t="s">
        <v>247</v>
      </c>
      <c r="AG2473" s="155" t="s">
        <v>247</v>
      </c>
    </row>
    <row r="2474" spans="25:33">
      <c r="Y2474" s="47">
        <v>5689</v>
      </c>
      <c r="Z2474" s="52" t="s">
        <v>410</v>
      </c>
      <c r="AA2474" s="52" t="s">
        <v>247</v>
      </c>
      <c r="AB2474" s="52" t="s">
        <v>247</v>
      </c>
      <c r="AC2474" s="52" t="s">
        <v>247</v>
      </c>
      <c r="AD2474" s="52" t="s">
        <v>1</v>
      </c>
      <c r="AE2474" s="52" t="s">
        <v>383</v>
      </c>
      <c r="AF2474" s="155" t="s">
        <v>247</v>
      </c>
      <c r="AG2474" s="155" t="s">
        <v>247</v>
      </c>
    </row>
    <row r="2475" spans="25:33">
      <c r="Y2475" s="47">
        <v>5690</v>
      </c>
      <c r="Z2475" s="52" t="s">
        <v>410</v>
      </c>
      <c r="AA2475" s="52" t="s">
        <v>247</v>
      </c>
      <c r="AB2475" s="52" t="s">
        <v>247</v>
      </c>
      <c r="AC2475" s="52" t="s">
        <v>247</v>
      </c>
      <c r="AD2475" s="52" t="s">
        <v>1</v>
      </c>
      <c r="AE2475" s="52" t="s">
        <v>383</v>
      </c>
      <c r="AF2475" s="155" t="s">
        <v>247</v>
      </c>
      <c r="AG2475" s="155" t="s">
        <v>247</v>
      </c>
    </row>
    <row r="2476" spans="25:33">
      <c r="Y2476" s="47">
        <v>5691</v>
      </c>
      <c r="Z2476" s="52" t="s">
        <v>410</v>
      </c>
      <c r="AA2476" s="52" t="s">
        <v>247</v>
      </c>
      <c r="AB2476" s="52" t="s">
        <v>247</v>
      </c>
      <c r="AC2476" s="52" t="s">
        <v>247</v>
      </c>
      <c r="AD2476" s="52" t="s">
        <v>1</v>
      </c>
      <c r="AE2476" s="52" t="s">
        <v>383</v>
      </c>
      <c r="AF2476" s="155" t="s">
        <v>247</v>
      </c>
      <c r="AG2476" s="155" t="s">
        <v>247</v>
      </c>
    </row>
    <row r="2477" spans="25:33">
      <c r="Y2477" s="47">
        <v>5692</v>
      </c>
      <c r="Z2477" s="52" t="s">
        <v>410</v>
      </c>
      <c r="AA2477" s="52" t="s">
        <v>247</v>
      </c>
      <c r="AB2477" s="52" t="s">
        <v>247</v>
      </c>
      <c r="AC2477" s="52" t="s">
        <v>247</v>
      </c>
      <c r="AD2477" s="52" t="s">
        <v>1</v>
      </c>
      <c r="AE2477" s="52" t="s">
        <v>383</v>
      </c>
      <c r="AF2477" s="155" t="s">
        <v>247</v>
      </c>
      <c r="AG2477" s="155" t="s">
        <v>247</v>
      </c>
    </row>
    <row r="2478" spans="25:33">
      <c r="Y2478" s="47">
        <v>5693</v>
      </c>
      <c r="Z2478" s="52" t="s">
        <v>410</v>
      </c>
      <c r="AA2478" s="52" t="s">
        <v>247</v>
      </c>
      <c r="AB2478" s="52" t="s">
        <v>247</v>
      </c>
      <c r="AC2478" s="52" t="s">
        <v>247</v>
      </c>
      <c r="AD2478" s="52" t="s">
        <v>1</v>
      </c>
      <c r="AE2478" s="52" t="s">
        <v>383</v>
      </c>
      <c r="AF2478" s="155" t="s">
        <v>247</v>
      </c>
      <c r="AG2478" s="155" t="s">
        <v>247</v>
      </c>
    </row>
    <row r="2479" spans="25:33">
      <c r="Y2479" s="47">
        <v>5694</v>
      </c>
      <c r="Z2479" s="52" t="s">
        <v>410</v>
      </c>
      <c r="AA2479" s="52" t="s">
        <v>247</v>
      </c>
      <c r="AB2479" s="52" t="s">
        <v>247</v>
      </c>
      <c r="AC2479" s="52" t="s">
        <v>247</v>
      </c>
      <c r="AD2479" s="52" t="s">
        <v>1</v>
      </c>
      <c r="AE2479" s="52" t="s">
        <v>383</v>
      </c>
      <c r="AF2479" s="155" t="s">
        <v>247</v>
      </c>
      <c r="AG2479" s="155" t="s">
        <v>247</v>
      </c>
    </row>
    <row r="2480" spans="25:33">
      <c r="Y2480" s="47">
        <v>5695</v>
      </c>
      <c r="Z2480" s="52" t="s">
        <v>410</v>
      </c>
      <c r="AA2480" s="52" t="s">
        <v>247</v>
      </c>
      <c r="AB2480" s="52" t="s">
        <v>247</v>
      </c>
      <c r="AC2480" s="52" t="s">
        <v>247</v>
      </c>
      <c r="AD2480" s="52" t="s">
        <v>1</v>
      </c>
      <c r="AE2480" s="52" t="s">
        <v>383</v>
      </c>
      <c r="AF2480" s="155" t="s">
        <v>247</v>
      </c>
      <c r="AG2480" s="155" t="s">
        <v>247</v>
      </c>
    </row>
    <row r="2481" spans="25:33">
      <c r="Y2481" s="47">
        <v>5696</v>
      </c>
      <c r="Z2481" s="52" t="s">
        <v>410</v>
      </c>
      <c r="AA2481" s="52" t="s">
        <v>247</v>
      </c>
      <c r="AB2481" s="52" t="s">
        <v>247</v>
      </c>
      <c r="AC2481" s="52" t="s">
        <v>247</v>
      </c>
      <c r="AD2481" s="52" t="s">
        <v>1</v>
      </c>
      <c r="AE2481" s="52" t="s">
        <v>383</v>
      </c>
      <c r="AF2481" s="155" t="s">
        <v>247</v>
      </c>
      <c r="AG2481" s="155" t="s">
        <v>247</v>
      </c>
    </row>
    <row r="2482" spans="25:33">
      <c r="Y2482" s="47">
        <v>5697</v>
      </c>
      <c r="Z2482" s="52" t="s">
        <v>410</v>
      </c>
      <c r="AA2482" s="52" t="s">
        <v>247</v>
      </c>
      <c r="AB2482" s="52" t="s">
        <v>247</v>
      </c>
      <c r="AC2482" s="52" t="s">
        <v>247</v>
      </c>
      <c r="AD2482" s="52" t="s">
        <v>1</v>
      </c>
      <c r="AE2482" s="52" t="s">
        <v>383</v>
      </c>
      <c r="AF2482" s="155" t="s">
        <v>247</v>
      </c>
      <c r="AG2482" s="155" t="s">
        <v>247</v>
      </c>
    </row>
    <row r="2483" spans="25:33">
      <c r="Y2483" s="47">
        <v>5698</v>
      </c>
      <c r="Z2483" s="52" t="s">
        <v>410</v>
      </c>
      <c r="AA2483" s="52" t="s">
        <v>247</v>
      </c>
      <c r="AB2483" s="52" t="s">
        <v>247</v>
      </c>
      <c r="AC2483" s="52" t="s">
        <v>247</v>
      </c>
      <c r="AD2483" s="52" t="s">
        <v>1</v>
      </c>
      <c r="AE2483" s="52" t="s">
        <v>383</v>
      </c>
      <c r="AF2483" s="155" t="s">
        <v>247</v>
      </c>
      <c r="AG2483" s="155" t="s">
        <v>247</v>
      </c>
    </row>
    <row r="2484" spans="25:33">
      <c r="Y2484" s="47">
        <v>5699</v>
      </c>
      <c r="Z2484" s="52" t="s">
        <v>410</v>
      </c>
      <c r="AA2484" s="52" t="s">
        <v>247</v>
      </c>
      <c r="AB2484" s="52" t="s">
        <v>247</v>
      </c>
      <c r="AC2484" s="52" t="s">
        <v>247</v>
      </c>
      <c r="AD2484" s="52" t="s">
        <v>1</v>
      </c>
      <c r="AE2484" s="52" t="s">
        <v>383</v>
      </c>
      <c r="AF2484" s="155" t="s">
        <v>247</v>
      </c>
      <c r="AG2484" s="155" t="s">
        <v>247</v>
      </c>
    </row>
    <row r="2485" spans="25:33">
      <c r="Y2485" s="47">
        <v>5700</v>
      </c>
      <c r="Z2485" s="52" t="s">
        <v>410</v>
      </c>
      <c r="AA2485" s="52" t="s">
        <v>247</v>
      </c>
      <c r="AB2485" s="52" t="s">
        <v>247</v>
      </c>
      <c r="AC2485" s="52" t="s">
        <v>247</v>
      </c>
      <c r="AD2485" s="52" t="s">
        <v>1</v>
      </c>
      <c r="AE2485" s="52" t="s">
        <v>383</v>
      </c>
      <c r="AF2485" s="155" t="s">
        <v>247</v>
      </c>
      <c r="AG2485" s="155" t="s">
        <v>247</v>
      </c>
    </row>
    <row r="2486" spans="25:33">
      <c r="Y2486" s="47">
        <v>5701</v>
      </c>
      <c r="Z2486" s="52" t="s">
        <v>410</v>
      </c>
      <c r="AA2486" s="52" t="s">
        <v>247</v>
      </c>
      <c r="AB2486" s="52" t="s">
        <v>247</v>
      </c>
      <c r="AC2486" s="52" t="s">
        <v>247</v>
      </c>
      <c r="AD2486" s="52" t="s">
        <v>1</v>
      </c>
      <c r="AE2486" s="52" t="s">
        <v>383</v>
      </c>
      <c r="AF2486" s="155" t="s">
        <v>247</v>
      </c>
      <c r="AG2486" s="155" t="s">
        <v>247</v>
      </c>
    </row>
    <row r="2487" spans="25:33">
      <c r="Y2487" s="47">
        <v>5702</v>
      </c>
      <c r="Z2487" s="52" t="s">
        <v>410</v>
      </c>
      <c r="AA2487" s="52" t="s">
        <v>247</v>
      </c>
      <c r="AB2487" s="52" t="s">
        <v>247</v>
      </c>
      <c r="AC2487" s="52" t="s">
        <v>247</v>
      </c>
      <c r="AD2487" s="52" t="s">
        <v>1</v>
      </c>
      <c r="AE2487" s="52" t="s">
        <v>383</v>
      </c>
      <c r="AF2487" s="155" t="s">
        <v>247</v>
      </c>
      <c r="AG2487" s="155" t="s">
        <v>247</v>
      </c>
    </row>
    <row r="2488" spans="25:33">
      <c r="Y2488" s="47">
        <v>5703</v>
      </c>
      <c r="Z2488" s="52" t="s">
        <v>410</v>
      </c>
      <c r="AA2488" s="52" t="s">
        <v>247</v>
      </c>
      <c r="AB2488" s="52" t="s">
        <v>247</v>
      </c>
      <c r="AC2488" s="52" t="s">
        <v>247</v>
      </c>
      <c r="AD2488" s="52" t="s">
        <v>1</v>
      </c>
      <c r="AE2488" s="52" t="s">
        <v>383</v>
      </c>
      <c r="AF2488" s="155" t="s">
        <v>247</v>
      </c>
      <c r="AG2488" s="155" t="s">
        <v>247</v>
      </c>
    </row>
    <row r="2489" spans="25:33">
      <c r="Y2489" s="47">
        <v>5704</v>
      </c>
      <c r="Z2489" s="52" t="s">
        <v>410</v>
      </c>
      <c r="AA2489" s="52" t="s">
        <v>247</v>
      </c>
      <c r="AB2489" s="52" t="s">
        <v>247</v>
      </c>
      <c r="AC2489" s="52" t="s">
        <v>247</v>
      </c>
      <c r="AD2489" s="52" t="s">
        <v>1</v>
      </c>
      <c r="AE2489" s="52" t="s">
        <v>383</v>
      </c>
      <c r="AF2489" s="155" t="s">
        <v>247</v>
      </c>
      <c r="AG2489" s="155" t="s">
        <v>247</v>
      </c>
    </row>
    <row r="2490" spans="25:33">
      <c r="Y2490" s="47">
        <v>5705</v>
      </c>
      <c r="Z2490" s="52" t="s">
        <v>410</v>
      </c>
      <c r="AA2490" s="52" t="s">
        <v>247</v>
      </c>
      <c r="AB2490" s="52" t="s">
        <v>247</v>
      </c>
      <c r="AC2490" s="52" t="s">
        <v>247</v>
      </c>
      <c r="AD2490" s="52" t="s">
        <v>1</v>
      </c>
      <c r="AE2490" s="52" t="s">
        <v>383</v>
      </c>
      <c r="AF2490" s="155" t="s">
        <v>247</v>
      </c>
      <c r="AG2490" s="155" t="s">
        <v>247</v>
      </c>
    </row>
    <row r="2491" spans="25:33">
      <c r="Y2491" s="47">
        <v>5706</v>
      </c>
      <c r="Z2491" s="52" t="s">
        <v>410</v>
      </c>
      <c r="AA2491" s="52" t="s">
        <v>247</v>
      </c>
      <c r="AB2491" s="52" t="s">
        <v>247</v>
      </c>
      <c r="AC2491" s="52" t="s">
        <v>247</v>
      </c>
      <c r="AD2491" s="52" t="s">
        <v>1</v>
      </c>
      <c r="AE2491" s="52" t="s">
        <v>383</v>
      </c>
      <c r="AF2491" s="155" t="s">
        <v>247</v>
      </c>
      <c r="AG2491" s="155" t="s">
        <v>247</v>
      </c>
    </row>
    <row r="2492" spans="25:33">
      <c r="Y2492" s="47">
        <v>5707</v>
      </c>
      <c r="Z2492" s="52" t="s">
        <v>410</v>
      </c>
      <c r="AA2492" s="52" t="s">
        <v>247</v>
      </c>
      <c r="AB2492" s="52" t="s">
        <v>247</v>
      </c>
      <c r="AC2492" s="52" t="s">
        <v>247</v>
      </c>
      <c r="AD2492" s="52" t="s">
        <v>1</v>
      </c>
      <c r="AE2492" s="52" t="s">
        <v>383</v>
      </c>
      <c r="AF2492" s="155" t="s">
        <v>247</v>
      </c>
      <c r="AG2492" s="155" t="s">
        <v>247</v>
      </c>
    </row>
    <row r="2493" spans="25:33">
      <c r="Y2493" s="47">
        <v>5708</v>
      </c>
      <c r="Z2493" s="52" t="s">
        <v>410</v>
      </c>
      <c r="AA2493" s="52" t="s">
        <v>247</v>
      </c>
      <c r="AB2493" s="52" t="s">
        <v>247</v>
      </c>
      <c r="AC2493" s="52" t="s">
        <v>247</v>
      </c>
      <c r="AD2493" s="52" t="s">
        <v>1</v>
      </c>
      <c r="AE2493" s="52" t="s">
        <v>383</v>
      </c>
      <c r="AF2493" s="155" t="s">
        <v>247</v>
      </c>
      <c r="AG2493" s="155" t="s">
        <v>247</v>
      </c>
    </row>
    <row r="2494" spans="25:33">
      <c r="Y2494" s="47">
        <v>5709</v>
      </c>
      <c r="Z2494" s="52" t="s">
        <v>410</v>
      </c>
      <c r="AA2494" s="52" t="s">
        <v>247</v>
      </c>
      <c r="AB2494" s="52" t="s">
        <v>247</v>
      </c>
      <c r="AC2494" s="52" t="s">
        <v>247</v>
      </c>
      <c r="AD2494" s="52" t="s">
        <v>1</v>
      </c>
      <c r="AE2494" s="52" t="s">
        <v>383</v>
      </c>
      <c r="AF2494" s="155" t="s">
        <v>247</v>
      </c>
      <c r="AG2494" s="155" t="s">
        <v>247</v>
      </c>
    </row>
    <row r="2495" spans="25:33">
      <c r="Y2495" s="47">
        <v>5710</v>
      </c>
      <c r="Z2495" s="52" t="s">
        <v>410</v>
      </c>
      <c r="AA2495" s="52" t="s">
        <v>247</v>
      </c>
      <c r="AB2495" s="52" t="s">
        <v>247</v>
      </c>
      <c r="AC2495" s="52" t="s">
        <v>247</v>
      </c>
      <c r="AD2495" s="52" t="s">
        <v>1</v>
      </c>
      <c r="AE2495" s="52" t="s">
        <v>383</v>
      </c>
      <c r="AF2495" s="155" t="s">
        <v>247</v>
      </c>
      <c r="AG2495" s="155" t="s">
        <v>247</v>
      </c>
    </row>
    <row r="2496" spans="25:33">
      <c r="Y2496" s="47">
        <v>5711</v>
      </c>
      <c r="Z2496" s="52" t="s">
        <v>410</v>
      </c>
      <c r="AA2496" s="52" t="s">
        <v>247</v>
      </c>
      <c r="AB2496" s="52" t="s">
        <v>247</v>
      </c>
      <c r="AC2496" s="52" t="s">
        <v>247</v>
      </c>
      <c r="AD2496" s="52" t="s">
        <v>1</v>
      </c>
      <c r="AE2496" s="52" t="s">
        <v>383</v>
      </c>
      <c r="AF2496" s="155" t="s">
        <v>247</v>
      </c>
      <c r="AG2496" s="155" t="s">
        <v>247</v>
      </c>
    </row>
    <row r="2497" spans="25:33">
      <c r="Y2497" s="47">
        <v>5712</v>
      </c>
      <c r="Z2497" s="52" t="s">
        <v>410</v>
      </c>
      <c r="AA2497" s="52" t="s">
        <v>247</v>
      </c>
      <c r="AB2497" s="52" t="s">
        <v>247</v>
      </c>
      <c r="AC2497" s="52" t="s">
        <v>247</v>
      </c>
      <c r="AD2497" s="52" t="s">
        <v>1</v>
      </c>
      <c r="AE2497" s="52" t="s">
        <v>383</v>
      </c>
      <c r="AF2497" s="155" t="s">
        <v>247</v>
      </c>
      <c r="AG2497" s="155" t="s">
        <v>247</v>
      </c>
    </row>
    <row r="2498" spans="25:33">
      <c r="Y2498" s="47">
        <v>5713</v>
      </c>
      <c r="Z2498" s="52" t="s">
        <v>410</v>
      </c>
      <c r="AA2498" s="52" t="s">
        <v>247</v>
      </c>
      <c r="AB2498" s="52" t="s">
        <v>247</v>
      </c>
      <c r="AC2498" s="52" t="s">
        <v>247</v>
      </c>
      <c r="AD2498" s="52" t="s">
        <v>1</v>
      </c>
      <c r="AE2498" s="52" t="s">
        <v>383</v>
      </c>
      <c r="AF2498" s="155" t="s">
        <v>247</v>
      </c>
      <c r="AG2498" s="155" t="s">
        <v>247</v>
      </c>
    </row>
    <row r="2499" spans="25:33">
      <c r="Y2499" s="47">
        <v>5714</v>
      </c>
      <c r="Z2499" s="52" t="s">
        <v>410</v>
      </c>
      <c r="AA2499" s="52" t="s">
        <v>247</v>
      </c>
      <c r="AB2499" s="52" t="s">
        <v>247</v>
      </c>
      <c r="AC2499" s="52" t="s">
        <v>247</v>
      </c>
      <c r="AD2499" s="52" t="s">
        <v>1</v>
      </c>
      <c r="AE2499" s="52" t="s">
        <v>383</v>
      </c>
      <c r="AF2499" s="155" t="s">
        <v>247</v>
      </c>
      <c r="AG2499" s="155" t="s">
        <v>247</v>
      </c>
    </row>
    <row r="2500" spans="25:33">
      <c r="Y2500" s="47">
        <v>5715</v>
      </c>
      <c r="Z2500" s="52" t="s">
        <v>410</v>
      </c>
      <c r="AA2500" s="52" t="s">
        <v>247</v>
      </c>
      <c r="AB2500" s="52" t="s">
        <v>247</v>
      </c>
      <c r="AC2500" s="52" t="s">
        <v>247</v>
      </c>
      <c r="AD2500" s="52" t="s">
        <v>1</v>
      </c>
      <c r="AE2500" s="52" t="s">
        <v>383</v>
      </c>
      <c r="AF2500" s="155" t="s">
        <v>247</v>
      </c>
      <c r="AG2500" s="155" t="s">
        <v>247</v>
      </c>
    </row>
    <row r="2501" spans="25:33">
      <c r="Y2501" s="47">
        <v>5716</v>
      </c>
      <c r="Z2501" s="52" t="s">
        <v>410</v>
      </c>
      <c r="AA2501" s="52" t="s">
        <v>247</v>
      </c>
      <c r="AB2501" s="52" t="s">
        <v>247</v>
      </c>
      <c r="AC2501" s="52" t="s">
        <v>247</v>
      </c>
      <c r="AD2501" s="52" t="s">
        <v>1</v>
      </c>
      <c r="AE2501" s="52" t="s">
        <v>383</v>
      </c>
      <c r="AF2501" s="155" t="s">
        <v>247</v>
      </c>
      <c r="AG2501" s="155" t="s">
        <v>247</v>
      </c>
    </row>
    <row r="2502" spans="25:33">
      <c r="Y2502" s="47">
        <v>5717</v>
      </c>
      <c r="Z2502" s="52" t="s">
        <v>410</v>
      </c>
      <c r="AA2502" s="52" t="s">
        <v>247</v>
      </c>
      <c r="AB2502" s="52" t="s">
        <v>247</v>
      </c>
      <c r="AC2502" s="52" t="s">
        <v>247</v>
      </c>
      <c r="AD2502" s="52" t="s">
        <v>1</v>
      </c>
      <c r="AE2502" s="52" t="s">
        <v>383</v>
      </c>
      <c r="AF2502" s="155" t="s">
        <v>247</v>
      </c>
      <c r="AG2502" s="155" t="s">
        <v>247</v>
      </c>
    </row>
    <row r="2503" spans="25:33">
      <c r="Y2503" s="47">
        <v>5718</v>
      </c>
      <c r="Z2503" s="52" t="s">
        <v>410</v>
      </c>
      <c r="AA2503" s="52" t="s">
        <v>247</v>
      </c>
      <c r="AB2503" s="52" t="s">
        <v>247</v>
      </c>
      <c r="AC2503" s="52" t="s">
        <v>247</v>
      </c>
      <c r="AD2503" s="52" t="s">
        <v>1</v>
      </c>
      <c r="AE2503" s="52" t="s">
        <v>383</v>
      </c>
      <c r="AF2503" s="155" t="s">
        <v>247</v>
      </c>
      <c r="AG2503" s="155" t="s">
        <v>247</v>
      </c>
    </row>
    <row r="2504" spans="25:33">
      <c r="Y2504" s="47">
        <v>5719</v>
      </c>
      <c r="Z2504" s="52" t="s">
        <v>410</v>
      </c>
      <c r="AA2504" s="52" t="s">
        <v>247</v>
      </c>
      <c r="AB2504" s="52" t="s">
        <v>247</v>
      </c>
      <c r="AC2504" s="52" t="s">
        <v>247</v>
      </c>
      <c r="AD2504" s="52" t="s">
        <v>1</v>
      </c>
      <c r="AE2504" s="52" t="s">
        <v>383</v>
      </c>
      <c r="AF2504" s="155" t="s">
        <v>247</v>
      </c>
      <c r="AG2504" s="155" t="s">
        <v>247</v>
      </c>
    </row>
    <row r="2505" spans="25:33">
      <c r="Y2505" s="47">
        <v>5720</v>
      </c>
      <c r="Z2505" s="52" t="s">
        <v>410</v>
      </c>
      <c r="AA2505" s="52" t="s">
        <v>247</v>
      </c>
      <c r="AB2505" s="52" t="s">
        <v>247</v>
      </c>
      <c r="AC2505" s="52" t="s">
        <v>247</v>
      </c>
      <c r="AD2505" s="52" t="s">
        <v>1</v>
      </c>
      <c r="AE2505" s="52" t="s">
        <v>383</v>
      </c>
      <c r="AF2505" s="155" t="s">
        <v>247</v>
      </c>
      <c r="AG2505" s="155" t="s">
        <v>247</v>
      </c>
    </row>
    <row r="2506" spans="25:33">
      <c r="Y2506" s="47">
        <v>5721</v>
      </c>
      <c r="Z2506" s="52" t="s">
        <v>410</v>
      </c>
      <c r="AA2506" s="52" t="s">
        <v>247</v>
      </c>
      <c r="AB2506" s="52" t="s">
        <v>247</v>
      </c>
      <c r="AC2506" s="52" t="s">
        <v>247</v>
      </c>
      <c r="AD2506" s="52" t="s">
        <v>1</v>
      </c>
      <c r="AE2506" s="52" t="s">
        <v>383</v>
      </c>
      <c r="AF2506" s="155" t="s">
        <v>247</v>
      </c>
      <c r="AG2506" s="155" t="s">
        <v>247</v>
      </c>
    </row>
    <row r="2507" spans="25:33">
      <c r="Y2507" s="47">
        <v>5722</v>
      </c>
      <c r="Z2507" s="52" t="s">
        <v>410</v>
      </c>
      <c r="AA2507" s="52" t="s">
        <v>247</v>
      </c>
      <c r="AB2507" s="52" t="s">
        <v>247</v>
      </c>
      <c r="AC2507" s="52" t="s">
        <v>247</v>
      </c>
      <c r="AD2507" s="52" t="s">
        <v>1</v>
      </c>
      <c r="AE2507" s="52" t="s">
        <v>383</v>
      </c>
      <c r="AF2507" s="155" t="s">
        <v>247</v>
      </c>
      <c r="AG2507" s="155" t="s">
        <v>247</v>
      </c>
    </row>
    <row r="2508" spans="25:33">
      <c r="Y2508" s="47">
        <v>5723</v>
      </c>
      <c r="Z2508" s="52" t="s">
        <v>410</v>
      </c>
      <c r="AA2508" s="52" t="s">
        <v>247</v>
      </c>
      <c r="AB2508" s="52" t="s">
        <v>247</v>
      </c>
      <c r="AC2508" s="52" t="s">
        <v>247</v>
      </c>
      <c r="AD2508" s="52" t="s">
        <v>1</v>
      </c>
      <c r="AE2508" s="52" t="s">
        <v>383</v>
      </c>
      <c r="AF2508" s="155" t="s">
        <v>247</v>
      </c>
      <c r="AG2508" s="155" t="s">
        <v>247</v>
      </c>
    </row>
    <row r="2509" spans="25:33">
      <c r="Y2509" s="47">
        <v>5724</v>
      </c>
      <c r="Z2509" s="52" t="s">
        <v>410</v>
      </c>
      <c r="AA2509" s="52" t="s">
        <v>247</v>
      </c>
      <c r="AB2509" s="52" t="s">
        <v>247</v>
      </c>
      <c r="AC2509" s="52" t="s">
        <v>247</v>
      </c>
      <c r="AD2509" s="52" t="s">
        <v>1</v>
      </c>
      <c r="AE2509" s="52" t="s">
        <v>383</v>
      </c>
      <c r="AF2509" s="155" t="s">
        <v>247</v>
      </c>
      <c r="AG2509" s="155" t="s">
        <v>247</v>
      </c>
    </row>
    <row r="2510" spans="25:33">
      <c r="Y2510" s="47">
        <v>5725</v>
      </c>
      <c r="Z2510" s="52" t="s">
        <v>410</v>
      </c>
      <c r="AA2510" s="52" t="s">
        <v>247</v>
      </c>
      <c r="AB2510" s="52" t="s">
        <v>247</v>
      </c>
      <c r="AC2510" s="52" t="s">
        <v>247</v>
      </c>
      <c r="AD2510" s="52" t="s">
        <v>1</v>
      </c>
      <c r="AE2510" s="52" t="s">
        <v>383</v>
      </c>
      <c r="AF2510" s="155" t="s">
        <v>247</v>
      </c>
      <c r="AG2510" s="155" t="s">
        <v>247</v>
      </c>
    </row>
    <row r="2511" spans="25:33">
      <c r="Y2511" s="47">
        <v>5726</v>
      </c>
      <c r="Z2511" s="52" t="s">
        <v>410</v>
      </c>
      <c r="AA2511" s="52" t="s">
        <v>247</v>
      </c>
      <c r="AB2511" s="52" t="s">
        <v>247</v>
      </c>
      <c r="AC2511" s="52" t="s">
        <v>247</v>
      </c>
      <c r="AD2511" s="52" t="s">
        <v>1</v>
      </c>
      <c r="AE2511" s="52" t="s">
        <v>383</v>
      </c>
      <c r="AF2511" s="155" t="s">
        <v>247</v>
      </c>
      <c r="AG2511" s="155" t="s">
        <v>247</v>
      </c>
    </row>
    <row r="2512" spans="25:33">
      <c r="Y2512" s="47">
        <v>5727</v>
      </c>
      <c r="Z2512" s="52" t="s">
        <v>410</v>
      </c>
      <c r="AA2512" s="52" t="s">
        <v>247</v>
      </c>
      <c r="AB2512" s="52" t="s">
        <v>247</v>
      </c>
      <c r="AC2512" s="52" t="s">
        <v>247</v>
      </c>
      <c r="AD2512" s="52" t="s">
        <v>1</v>
      </c>
      <c r="AE2512" s="52" t="s">
        <v>383</v>
      </c>
      <c r="AF2512" s="155" t="s">
        <v>247</v>
      </c>
      <c r="AG2512" s="155" t="s">
        <v>247</v>
      </c>
    </row>
    <row r="2513" spans="25:33">
      <c r="Y2513" s="47">
        <v>5728</v>
      </c>
      <c r="Z2513" s="52" t="s">
        <v>410</v>
      </c>
      <c r="AA2513" s="52" t="s">
        <v>247</v>
      </c>
      <c r="AB2513" s="52" t="s">
        <v>247</v>
      </c>
      <c r="AC2513" s="52" t="s">
        <v>247</v>
      </c>
      <c r="AD2513" s="52" t="s">
        <v>1</v>
      </c>
      <c r="AE2513" s="52" t="s">
        <v>383</v>
      </c>
      <c r="AF2513" s="155" t="s">
        <v>247</v>
      </c>
      <c r="AG2513" s="155" t="s">
        <v>247</v>
      </c>
    </row>
    <row r="2514" spans="25:33">
      <c r="Y2514" s="47">
        <v>5729</v>
      </c>
      <c r="Z2514" s="52" t="s">
        <v>410</v>
      </c>
      <c r="AA2514" s="52" t="s">
        <v>247</v>
      </c>
      <c r="AB2514" s="52" t="s">
        <v>247</v>
      </c>
      <c r="AC2514" s="52" t="s">
        <v>247</v>
      </c>
      <c r="AD2514" s="52" t="s">
        <v>1</v>
      </c>
      <c r="AE2514" s="52" t="s">
        <v>383</v>
      </c>
      <c r="AF2514" s="155" t="s">
        <v>247</v>
      </c>
      <c r="AG2514" s="155" t="s">
        <v>247</v>
      </c>
    </row>
    <row r="2515" spans="25:33">
      <c r="Y2515" s="47">
        <v>5730</v>
      </c>
      <c r="Z2515" s="52" t="s">
        <v>410</v>
      </c>
      <c r="AA2515" s="52" t="s">
        <v>247</v>
      </c>
      <c r="AB2515" s="52" t="s">
        <v>247</v>
      </c>
      <c r="AC2515" s="52" t="s">
        <v>247</v>
      </c>
      <c r="AD2515" s="52" t="s">
        <v>1</v>
      </c>
      <c r="AE2515" s="52" t="s">
        <v>383</v>
      </c>
      <c r="AF2515" s="155" t="s">
        <v>247</v>
      </c>
      <c r="AG2515" s="155" t="s">
        <v>247</v>
      </c>
    </row>
    <row r="2516" spans="25:33">
      <c r="Y2516" s="47">
        <v>5731</v>
      </c>
      <c r="Z2516" s="52" t="s">
        <v>410</v>
      </c>
      <c r="AA2516" s="52" t="s">
        <v>247</v>
      </c>
      <c r="AB2516" s="52" t="s">
        <v>247</v>
      </c>
      <c r="AC2516" s="52" t="s">
        <v>247</v>
      </c>
      <c r="AD2516" s="52" t="s">
        <v>1</v>
      </c>
      <c r="AE2516" s="52" t="s">
        <v>383</v>
      </c>
      <c r="AF2516" s="155" t="s">
        <v>247</v>
      </c>
      <c r="AG2516" s="155" t="s">
        <v>247</v>
      </c>
    </row>
    <row r="2517" spans="25:33">
      <c r="Y2517" s="47">
        <v>5732</v>
      </c>
      <c r="Z2517" s="52" t="s">
        <v>410</v>
      </c>
      <c r="AA2517" s="52" t="s">
        <v>247</v>
      </c>
      <c r="AB2517" s="52" t="s">
        <v>247</v>
      </c>
      <c r="AC2517" s="52" t="s">
        <v>247</v>
      </c>
      <c r="AD2517" s="52" t="s">
        <v>1</v>
      </c>
      <c r="AE2517" s="52" t="s">
        <v>383</v>
      </c>
      <c r="AF2517" s="155" t="s">
        <v>247</v>
      </c>
      <c r="AG2517" s="155" t="s">
        <v>247</v>
      </c>
    </row>
    <row r="2518" spans="25:33">
      <c r="Y2518" s="47">
        <v>5733</v>
      </c>
      <c r="Z2518" s="52" t="s">
        <v>410</v>
      </c>
      <c r="AA2518" s="52" t="s">
        <v>247</v>
      </c>
      <c r="AB2518" s="52" t="s">
        <v>247</v>
      </c>
      <c r="AC2518" s="52" t="s">
        <v>247</v>
      </c>
      <c r="AD2518" s="52" t="s">
        <v>1</v>
      </c>
      <c r="AE2518" s="52" t="s">
        <v>383</v>
      </c>
      <c r="AF2518" s="155" t="s">
        <v>247</v>
      </c>
      <c r="AG2518" s="155" t="s">
        <v>247</v>
      </c>
    </row>
    <row r="2519" spans="25:33">
      <c r="Y2519" s="47">
        <v>5734</v>
      </c>
      <c r="Z2519" s="52" t="s">
        <v>410</v>
      </c>
      <c r="AA2519" s="52" t="s">
        <v>247</v>
      </c>
      <c r="AB2519" s="52" t="s">
        <v>247</v>
      </c>
      <c r="AC2519" s="52" t="s">
        <v>247</v>
      </c>
      <c r="AD2519" s="52" t="s">
        <v>1</v>
      </c>
      <c r="AE2519" s="52" t="s">
        <v>383</v>
      </c>
      <c r="AF2519" s="155" t="s">
        <v>247</v>
      </c>
      <c r="AG2519" s="155" t="s">
        <v>247</v>
      </c>
    </row>
    <row r="2520" spans="25:33">
      <c r="Y2520" s="47">
        <v>5735</v>
      </c>
      <c r="Z2520" s="52" t="s">
        <v>410</v>
      </c>
      <c r="AA2520" s="52" t="s">
        <v>247</v>
      </c>
      <c r="AB2520" s="52" t="s">
        <v>247</v>
      </c>
      <c r="AC2520" s="52" t="s">
        <v>247</v>
      </c>
      <c r="AD2520" s="52" t="s">
        <v>1</v>
      </c>
      <c r="AE2520" s="52" t="s">
        <v>383</v>
      </c>
      <c r="AF2520" s="155" t="s">
        <v>247</v>
      </c>
      <c r="AG2520" s="155" t="s">
        <v>247</v>
      </c>
    </row>
    <row r="2521" spans="25:33">
      <c r="Y2521" s="47">
        <v>5736</v>
      </c>
      <c r="Z2521" s="52" t="s">
        <v>410</v>
      </c>
      <c r="AA2521" s="52" t="s">
        <v>247</v>
      </c>
      <c r="AB2521" s="52" t="s">
        <v>247</v>
      </c>
      <c r="AC2521" s="52" t="s">
        <v>247</v>
      </c>
      <c r="AD2521" s="52" t="s">
        <v>1</v>
      </c>
      <c r="AE2521" s="52" t="s">
        <v>383</v>
      </c>
      <c r="AF2521" s="155" t="s">
        <v>247</v>
      </c>
      <c r="AG2521" s="155" t="s">
        <v>247</v>
      </c>
    </row>
    <row r="2522" spans="25:33">
      <c r="Y2522" s="47">
        <v>5737</v>
      </c>
      <c r="Z2522" s="52" t="s">
        <v>410</v>
      </c>
      <c r="AA2522" s="52" t="s">
        <v>247</v>
      </c>
      <c r="AB2522" s="52" t="s">
        <v>247</v>
      </c>
      <c r="AC2522" s="52" t="s">
        <v>247</v>
      </c>
      <c r="AD2522" s="52" t="s">
        <v>1</v>
      </c>
      <c r="AE2522" s="52" t="s">
        <v>383</v>
      </c>
      <c r="AF2522" s="155" t="s">
        <v>247</v>
      </c>
      <c r="AG2522" s="155" t="s">
        <v>247</v>
      </c>
    </row>
    <row r="2523" spans="25:33">
      <c r="Y2523" s="47">
        <v>5738</v>
      </c>
      <c r="Z2523" s="52" t="s">
        <v>410</v>
      </c>
      <c r="AA2523" s="52" t="s">
        <v>247</v>
      </c>
      <c r="AB2523" s="52" t="s">
        <v>247</v>
      </c>
      <c r="AC2523" s="52" t="s">
        <v>247</v>
      </c>
      <c r="AD2523" s="52" t="s">
        <v>1</v>
      </c>
      <c r="AE2523" s="52" t="s">
        <v>383</v>
      </c>
      <c r="AF2523" s="155" t="s">
        <v>247</v>
      </c>
      <c r="AG2523" s="155" t="s">
        <v>247</v>
      </c>
    </row>
    <row r="2524" spans="25:33">
      <c r="Y2524" s="47">
        <v>5739</v>
      </c>
      <c r="Z2524" s="52" t="s">
        <v>410</v>
      </c>
      <c r="AA2524" s="52" t="s">
        <v>247</v>
      </c>
      <c r="AB2524" s="52" t="s">
        <v>247</v>
      </c>
      <c r="AC2524" s="52" t="s">
        <v>247</v>
      </c>
      <c r="AD2524" s="52" t="s">
        <v>1</v>
      </c>
      <c r="AE2524" s="52" t="s">
        <v>383</v>
      </c>
      <c r="AF2524" s="155" t="s">
        <v>247</v>
      </c>
      <c r="AG2524" s="155" t="s">
        <v>247</v>
      </c>
    </row>
    <row r="2525" spans="25:33">
      <c r="Y2525" s="47">
        <v>5740</v>
      </c>
      <c r="Z2525" s="52" t="s">
        <v>410</v>
      </c>
      <c r="AA2525" s="52" t="s">
        <v>247</v>
      </c>
      <c r="AB2525" s="52" t="s">
        <v>247</v>
      </c>
      <c r="AC2525" s="52" t="s">
        <v>247</v>
      </c>
      <c r="AD2525" s="52" t="s">
        <v>1</v>
      </c>
      <c r="AE2525" s="52" t="s">
        <v>383</v>
      </c>
      <c r="AF2525" s="155" t="s">
        <v>247</v>
      </c>
      <c r="AG2525" s="155" t="s">
        <v>247</v>
      </c>
    </row>
    <row r="2526" spans="25:33">
      <c r="Y2526" s="47">
        <v>5741</v>
      </c>
      <c r="Z2526" s="52" t="s">
        <v>410</v>
      </c>
      <c r="AA2526" s="52" t="s">
        <v>247</v>
      </c>
      <c r="AB2526" s="52" t="s">
        <v>247</v>
      </c>
      <c r="AC2526" s="52" t="s">
        <v>247</v>
      </c>
      <c r="AD2526" s="52" t="s">
        <v>1</v>
      </c>
      <c r="AE2526" s="52" t="s">
        <v>383</v>
      </c>
      <c r="AF2526" s="155" t="s">
        <v>247</v>
      </c>
      <c r="AG2526" s="155" t="s">
        <v>247</v>
      </c>
    </row>
    <row r="2527" spans="25:33">
      <c r="Y2527" s="47">
        <v>5742</v>
      </c>
      <c r="Z2527" s="52" t="s">
        <v>410</v>
      </c>
      <c r="AA2527" s="52" t="s">
        <v>247</v>
      </c>
      <c r="AB2527" s="52" t="s">
        <v>247</v>
      </c>
      <c r="AC2527" s="52" t="s">
        <v>247</v>
      </c>
      <c r="AD2527" s="52" t="s">
        <v>1</v>
      </c>
      <c r="AE2527" s="52" t="s">
        <v>383</v>
      </c>
      <c r="AF2527" s="155" t="s">
        <v>247</v>
      </c>
      <c r="AG2527" s="155" t="s">
        <v>247</v>
      </c>
    </row>
    <row r="2528" spans="25:33">
      <c r="Y2528" s="47">
        <v>5743</v>
      </c>
      <c r="Z2528" s="52" t="s">
        <v>410</v>
      </c>
      <c r="AA2528" s="52" t="s">
        <v>247</v>
      </c>
      <c r="AB2528" s="52" t="s">
        <v>247</v>
      </c>
      <c r="AC2528" s="52" t="s">
        <v>247</v>
      </c>
      <c r="AD2528" s="52" t="s">
        <v>1</v>
      </c>
      <c r="AE2528" s="52" t="s">
        <v>383</v>
      </c>
      <c r="AF2528" s="155" t="s">
        <v>247</v>
      </c>
      <c r="AG2528" s="155" t="s">
        <v>247</v>
      </c>
    </row>
    <row r="2529" spans="25:33">
      <c r="Y2529" s="47">
        <v>5744</v>
      </c>
      <c r="Z2529" s="52" t="s">
        <v>410</v>
      </c>
      <c r="AA2529" s="52" t="s">
        <v>247</v>
      </c>
      <c r="AB2529" s="52" t="s">
        <v>247</v>
      </c>
      <c r="AC2529" s="52" t="s">
        <v>247</v>
      </c>
      <c r="AD2529" s="52" t="s">
        <v>1</v>
      </c>
      <c r="AE2529" s="52" t="s">
        <v>383</v>
      </c>
      <c r="AF2529" s="155" t="s">
        <v>247</v>
      </c>
      <c r="AG2529" s="155" t="s">
        <v>247</v>
      </c>
    </row>
    <row r="2530" spans="25:33">
      <c r="Y2530" s="47">
        <v>5745</v>
      </c>
      <c r="Z2530" s="52" t="s">
        <v>410</v>
      </c>
      <c r="AA2530" s="52" t="s">
        <v>247</v>
      </c>
      <c r="AB2530" s="52" t="s">
        <v>247</v>
      </c>
      <c r="AC2530" s="52" t="s">
        <v>247</v>
      </c>
      <c r="AD2530" s="52" t="s">
        <v>1</v>
      </c>
      <c r="AE2530" s="52" t="s">
        <v>383</v>
      </c>
      <c r="AF2530" s="155" t="s">
        <v>247</v>
      </c>
      <c r="AG2530" s="155" t="s">
        <v>247</v>
      </c>
    </row>
    <row r="2531" spans="25:33">
      <c r="Y2531" s="47">
        <v>5746</v>
      </c>
      <c r="Z2531" s="52" t="s">
        <v>410</v>
      </c>
      <c r="AA2531" s="52" t="s">
        <v>247</v>
      </c>
      <c r="AB2531" s="52" t="s">
        <v>247</v>
      </c>
      <c r="AC2531" s="52" t="s">
        <v>247</v>
      </c>
      <c r="AD2531" s="52" t="s">
        <v>1</v>
      </c>
      <c r="AE2531" s="52" t="s">
        <v>383</v>
      </c>
      <c r="AF2531" s="155" t="s">
        <v>247</v>
      </c>
      <c r="AG2531" s="155" t="s">
        <v>247</v>
      </c>
    </row>
    <row r="2532" spans="25:33">
      <c r="Y2532" s="47">
        <v>5747</v>
      </c>
      <c r="Z2532" s="52" t="s">
        <v>410</v>
      </c>
      <c r="AA2532" s="52" t="s">
        <v>247</v>
      </c>
      <c r="AB2532" s="52" t="s">
        <v>247</v>
      </c>
      <c r="AC2532" s="52" t="s">
        <v>247</v>
      </c>
      <c r="AD2532" s="52" t="s">
        <v>1</v>
      </c>
      <c r="AE2532" s="52" t="s">
        <v>383</v>
      </c>
      <c r="AF2532" s="155" t="s">
        <v>247</v>
      </c>
      <c r="AG2532" s="155" t="s">
        <v>247</v>
      </c>
    </row>
    <row r="2533" spans="25:33">
      <c r="Y2533" s="47">
        <v>5748</v>
      </c>
      <c r="Z2533" s="52" t="s">
        <v>410</v>
      </c>
      <c r="AA2533" s="52" t="s">
        <v>247</v>
      </c>
      <c r="AB2533" s="52" t="s">
        <v>247</v>
      </c>
      <c r="AC2533" s="52" t="s">
        <v>247</v>
      </c>
      <c r="AD2533" s="52" t="s">
        <v>1</v>
      </c>
      <c r="AE2533" s="52" t="s">
        <v>383</v>
      </c>
      <c r="AF2533" s="155" t="s">
        <v>247</v>
      </c>
      <c r="AG2533" s="155" t="s">
        <v>247</v>
      </c>
    </row>
    <row r="2534" spans="25:33">
      <c r="Y2534" s="47">
        <v>5749</v>
      </c>
      <c r="Z2534" s="52" t="s">
        <v>410</v>
      </c>
      <c r="AA2534" s="52" t="s">
        <v>247</v>
      </c>
      <c r="AB2534" s="52" t="s">
        <v>247</v>
      </c>
      <c r="AC2534" s="52" t="s">
        <v>247</v>
      </c>
      <c r="AD2534" s="52" t="s">
        <v>1</v>
      </c>
      <c r="AE2534" s="52" t="s">
        <v>383</v>
      </c>
      <c r="AF2534" s="155" t="s">
        <v>247</v>
      </c>
      <c r="AG2534" s="155" t="s">
        <v>247</v>
      </c>
    </row>
    <row r="2535" spans="25:33">
      <c r="Y2535" s="47">
        <v>5750</v>
      </c>
      <c r="Z2535" s="52" t="s">
        <v>410</v>
      </c>
      <c r="AA2535" s="52" t="s">
        <v>247</v>
      </c>
      <c r="AB2535" s="52" t="s">
        <v>247</v>
      </c>
      <c r="AC2535" s="52" t="s">
        <v>247</v>
      </c>
      <c r="AD2535" s="52" t="s">
        <v>1</v>
      </c>
      <c r="AE2535" s="52" t="s">
        <v>383</v>
      </c>
      <c r="AF2535" s="155" t="s">
        <v>247</v>
      </c>
      <c r="AG2535" s="155" t="s">
        <v>247</v>
      </c>
    </row>
    <row r="2536" spans="25:33">
      <c r="Y2536" s="47">
        <v>5751</v>
      </c>
      <c r="Z2536" s="52" t="s">
        <v>410</v>
      </c>
      <c r="AA2536" s="52" t="s">
        <v>247</v>
      </c>
      <c r="AB2536" s="52" t="s">
        <v>247</v>
      </c>
      <c r="AC2536" s="52" t="s">
        <v>247</v>
      </c>
      <c r="AD2536" s="52" t="s">
        <v>1</v>
      </c>
      <c r="AE2536" s="52" t="s">
        <v>383</v>
      </c>
      <c r="AF2536" s="155" t="s">
        <v>247</v>
      </c>
      <c r="AG2536" s="155" t="s">
        <v>247</v>
      </c>
    </row>
    <row r="2537" spans="25:33">
      <c r="Y2537" s="47">
        <v>5752</v>
      </c>
      <c r="Z2537" s="52" t="s">
        <v>410</v>
      </c>
      <c r="AA2537" s="52" t="s">
        <v>247</v>
      </c>
      <c r="AB2537" s="52" t="s">
        <v>247</v>
      </c>
      <c r="AC2537" s="52" t="s">
        <v>247</v>
      </c>
      <c r="AD2537" s="52" t="s">
        <v>1</v>
      </c>
      <c r="AE2537" s="52" t="s">
        <v>383</v>
      </c>
      <c r="AF2537" s="155" t="s">
        <v>247</v>
      </c>
      <c r="AG2537" s="155" t="s">
        <v>247</v>
      </c>
    </row>
    <row r="2538" spans="25:33">
      <c r="Y2538" s="47">
        <v>5753</v>
      </c>
      <c r="Z2538" s="52" t="s">
        <v>410</v>
      </c>
      <c r="AA2538" s="52" t="s">
        <v>247</v>
      </c>
      <c r="AB2538" s="52" t="s">
        <v>247</v>
      </c>
      <c r="AC2538" s="52" t="s">
        <v>247</v>
      </c>
      <c r="AD2538" s="52" t="s">
        <v>1</v>
      </c>
      <c r="AE2538" s="52" t="s">
        <v>383</v>
      </c>
      <c r="AF2538" s="155" t="s">
        <v>247</v>
      </c>
      <c r="AG2538" s="155" t="s">
        <v>247</v>
      </c>
    </row>
    <row r="2539" spans="25:33">
      <c r="Y2539" s="47">
        <v>5754</v>
      </c>
      <c r="Z2539" s="52" t="s">
        <v>410</v>
      </c>
      <c r="AA2539" s="52" t="s">
        <v>247</v>
      </c>
      <c r="AB2539" s="52" t="s">
        <v>247</v>
      </c>
      <c r="AC2539" s="52" t="s">
        <v>247</v>
      </c>
      <c r="AD2539" s="52" t="s">
        <v>1</v>
      </c>
      <c r="AE2539" s="52" t="s">
        <v>383</v>
      </c>
      <c r="AF2539" s="155" t="s">
        <v>247</v>
      </c>
      <c r="AG2539" s="155" t="s">
        <v>247</v>
      </c>
    </row>
    <row r="2540" spans="25:33">
      <c r="Y2540" s="47">
        <v>5755</v>
      </c>
      <c r="Z2540" s="52" t="s">
        <v>410</v>
      </c>
      <c r="AA2540" s="52" t="s">
        <v>247</v>
      </c>
      <c r="AB2540" s="52" t="s">
        <v>247</v>
      </c>
      <c r="AC2540" s="52" t="s">
        <v>247</v>
      </c>
      <c r="AD2540" s="52" t="s">
        <v>1</v>
      </c>
      <c r="AE2540" s="52" t="s">
        <v>383</v>
      </c>
      <c r="AF2540" s="155" t="s">
        <v>247</v>
      </c>
      <c r="AG2540" s="155" t="s">
        <v>247</v>
      </c>
    </row>
    <row r="2541" spans="25:33">
      <c r="Y2541" s="47">
        <v>5756</v>
      </c>
      <c r="Z2541" s="52" t="s">
        <v>410</v>
      </c>
      <c r="AA2541" s="52" t="s">
        <v>247</v>
      </c>
      <c r="AB2541" s="52" t="s">
        <v>247</v>
      </c>
      <c r="AC2541" s="52" t="s">
        <v>247</v>
      </c>
      <c r="AD2541" s="52" t="s">
        <v>1</v>
      </c>
      <c r="AE2541" s="52" t="s">
        <v>383</v>
      </c>
      <c r="AF2541" s="155" t="s">
        <v>247</v>
      </c>
      <c r="AG2541" s="155" t="s">
        <v>247</v>
      </c>
    </row>
    <row r="2542" spans="25:33">
      <c r="Y2542" s="47">
        <v>5757</v>
      </c>
      <c r="Z2542" s="52" t="s">
        <v>410</v>
      </c>
      <c r="AA2542" s="52" t="s">
        <v>247</v>
      </c>
      <c r="AB2542" s="52" t="s">
        <v>247</v>
      </c>
      <c r="AC2542" s="52" t="s">
        <v>247</v>
      </c>
      <c r="AD2542" s="52" t="s">
        <v>1</v>
      </c>
      <c r="AE2542" s="52" t="s">
        <v>383</v>
      </c>
      <c r="AF2542" s="155" t="s">
        <v>247</v>
      </c>
      <c r="AG2542" s="155" t="s">
        <v>247</v>
      </c>
    </row>
    <row r="2543" spans="25:33">
      <c r="Y2543" s="47">
        <v>5758</v>
      </c>
      <c r="Z2543" s="52" t="s">
        <v>410</v>
      </c>
      <c r="AA2543" s="52" t="s">
        <v>247</v>
      </c>
      <c r="AB2543" s="52" t="s">
        <v>247</v>
      </c>
      <c r="AC2543" s="52" t="s">
        <v>247</v>
      </c>
      <c r="AD2543" s="52" t="s">
        <v>1</v>
      </c>
      <c r="AE2543" s="52" t="s">
        <v>383</v>
      </c>
      <c r="AF2543" s="155" t="s">
        <v>247</v>
      </c>
      <c r="AG2543" s="155" t="s">
        <v>247</v>
      </c>
    </row>
    <row r="2544" spans="25:33">
      <c r="Y2544" s="47">
        <v>5759</v>
      </c>
      <c r="Z2544" s="52" t="s">
        <v>410</v>
      </c>
      <c r="AA2544" s="52" t="s">
        <v>247</v>
      </c>
      <c r="AB2544" s="52" t="s">
        <v>247</v>
      </c>
      <c r="AC2544" s="52" t="s">
        <v>247</v>
      </c>
      <c r="AD2544" s="52" t="s">
        <v>1</v>
      </c>
      <c r="AE2544" s="52" t="s">
        <v>383</v>
      </c>
      <c r="AF2544" s="155" t="s">
        <v>247</v>
      </c>
      <c r="AG2544" s="155" t="s">
        <v>247</v>
      </c>
    </row>
    <row r="2545" spans="25:33">
      <c r="Y2545" s="47">
        <v>5760</v>
      </c>
      <c r="Z2545" s="52" t="s">
        <v>410</v>
      </c>
      <c r="AA2545" s="52" t="s">
        <v>247</v>
      </c>
      <c r="AB2545" s="52" t="s">
        <v>247</v>
      </c>
      <c r="AC2545" s="52" t="s">
        <v>247</v>
      </c>
      <c r="AD2545" s="52" t="s">
        <v>1</v>
      </c>
      <c r="AE2545" s="52" t="s">
        <v>383</v>
      </c>
      <c r="AF2545" s="155" t="s">
        <v>247</v>
      </c>
      <c r="AG2545" s="155" t="s">
        <v>247</v>
      </c>
    </row>
    <row r="2546" spans="25:33">
      <c r="Y2546" s="47">
        <v>5761</v>
      </c>
      <c r="Z2546" s="52" t="s">
        <v>410</v>
      </c>
      <c r="AA2546" s="52" t="s">
        <v>247</v>
      </c>
      <c r="AB2546" s="52" t="s">
        <v>247</v>
      </c>
      <c r="AC2546" s="52" t="s">
        <v>247</v>
      </c>
      <c r="AD2546" s="52" t="s">
        <v>1</v>
      </c>
      <c r="AE2546" s="52" t="s">
        <v>383</v>
      </c>
      <c r="AF2546" s="155" t="s">
        <v>247</v>
      </c>
      <c r="AG2546" s="155" t="s">
        <v>247</v>
      </c>
    </row>
    <row r="2547" spans="25:33">
      <c r="Y2547" s="47">
        <v>5762</v>
      </c>
      <c r="Z2547" s="52" t="s">
        <v>410</v>
      </c>
      <c r="AA2547" s="52" t="s">
        <v>247</v>
      </c>
      <c r="AB2547" s="52" t="s">
        <v>247</v>
      </c>
      <c r="AC2547" s="52" t="s">
        <v>247</v>
      </c>
      <c r="AD2547" s="52" t="s">
        <v>1</v>
      </c>
      <c r="AE2547" s="52" t="s">
        <v>383</v>
      </c>
      <c r="AF2547" s="155" t="s">
        <v>247</v>
      </c>
      <c r="AG2547" s="155" t="s">
        <v>247</v>
      </c>
    </row>
    <row r="2548" spans="25:33">
      <c r="Y2548" s="47">
        <v>5763</v>
      </c>
      <c r="Z2548" s="52" t="s">
        <v>410</v>
      </c>
      <c r="AA2548" s="52" t="s">
        <v>247</v>
      </c>
      <c r="AB2548" s="52" t="s">
        <v>247</v>
      </c>
      <c r="AC2548" s="52" t="s">
        <v>247</v>
      </c>
      <c r="AD2548" s="52" t="s">
        <v>1</v>
      </c>
      <c r="AE2548" s="52" t="s">
        <v>383</v>
      </c>
      <c r="AF2548" s="155" t="s">
        <v>247</v>
      </c>
      <c r="AG2548" s="155" t="s">
        <v>247</v>
      </c>
    </row>
    <row r="2549" spans="25:33">
      <c r="Y2549" s="47">
        <v>5764</v>
      </c>
      <c r="Z2549" s="52" t="s">
        <v>410</v>
      </c>
      <c r="AA2549" s="52" t="s">
        <v>247</v>
      </c>
      <c r="AB2549" s="52" t="s">
        <v>247</v>
      </c>
      <c r="AC2549" s="52" t="s">
        <v>247</v>
      </c>
      <c r="AD2549" s="52" t="s">
        <v>1</v>
      </c>
      <c r="AE2549" s="52" t="s">
        <v>383</v>
      </c>
      <c r="AF2549" s="155" t="s">
        <v>247</v>
      </c>
      <c r="AG2549" s="155" t="s">
        <v>247</v>
      </c>
    </row>
    <row r="2550" spans="25:33">
      <c r="Y2550" s="47">
        <v>5765</v>
      </c>
      <c r="Z2550" s="52" t="s">
        <v>410</v>
      </c>
      <c r="AA2550" s="52" t="s">
        <v>247</v>
      </c>
      <c r="AB2550" s="52" t="s">
        <v>247</v>
      </c>
      <c r="AC2550" s="52" t="s">
        <v>247</v>
      </c>
      <c r="AD2550" s="52" t="s">
        <v>1</v>
      </c>
      <c r="AE2550" s="52" t="s">
        <v>383</v>
      </c>
      <c r="AF2550" s="155" t="s">
        <v>247</v>
      </c>
      <c r="AG2550" s="155" t="s">
        <v>247</v>
      </c>
    </row>
    <row r="2551" spans="25:33">
      <c r="Y2551" s="47">
        <v>5766</v>
      </c>
      <c r="Z2551" s="52" t="s">
        <v>410</v>
      </c>
      <c r="AA2551" s="52" t="s">
        <v>247</v>
      </c>
      <c r="AB2551" s="52" t="s">
        <v>247</v>
      </c>
      <c r="AC2551" s="52" t="s">
        <v>247</v>
      </c>
      <c r="AD2551" s="52" t="s">
        <v>1</v>
      </c>
      <c r="AE2551" s="52" t="s">
        <v>383</v>
      </c>
      <c r="AF2551" s="155" t="s">
        <v>247</v>
      </c>
      <c r="AG2551" s="155" t="s">
        <v>247</v>
      </c>
    </row>
    <row r="2552" spans="25:33">
      <c r="Y2552" s="47">
        <v>5767</v>
      </c>
      <c r="Z2552" s="52" t="s">
        <v>410</v>
      </c>
      <c r="AA2552" s="52" t="s">
        <v>247</v>
      </c>
      <c r="AB2552" s="52" t="s">
        <v>247</v>
      </c>
      <c r="AC2552" s="52" t="s">
        <v>247</v>
      </c>
      <c r="AD2552" s="52" t="s">
        <v>1</v>
      </c>
      <c r="AE2552" s="52" t="s">
        <v>383</v>
      </c>
      <c r="AF2552" s="155" t="s">
        <v>247</v>
      </c>
      <c r="AG2552" s="155" t="s">
        <v>247</v>
      </c>
    </row>
    <row r="2553" spans="25:33">
      <c r="Y2553" s="47">
        <v>5768</v>
      </c>
      <c r="Z2553" s="52" t="s">
        <v>410</v>
      </c>
      <c r="AA2553" s="52" t="s">
        <v>247</v>
      </c>
      <c r="AB2553" s="52" t="s">
        <v>247</v>
      </c>
      <c r="AC2553" s="52" t="s">
        <v>247</v>
      </c>
      <c r="AD2553" s="52" t="s">
        <v>1</v>
      </c>
      <c r="AE2553" s="52" t="s">
        <v>383</v>
      </c>
      <c r="AF2553" s="155" t="s">
        <v>247</v>
      </c>
      <c r="AG2553" s="155" t="s">
        <v>247</v>
      </c>
    </row>
    <row r="2554" spans="25:33">
      <c r="Y2554" s="47">
        <v>5769</v>
      </c>
      <c r="Z2554" s="52" t="s">
        <v>410</v>
      </c>
      <c r="AA2554" s="52" t="s">
        <v>247</v>
      </c>
      <c r="AB2554" s="52" t="s">
        <v>247</v>
      </c>
      <c r="AC2554" s="52" t="s">
        <v>247</v>
      </c>
      <c r="AD2554" s="52" t="s">
        <v>1</v>
      </c>
      <c r="AE2554" s="52" t="s">
        <v>383</v>
      </c>
      <c r="AF2554" s="155" t="s">
        <v>247</v>
      </c>
      <c r="AG2554" s="155" t="s">
        <v>247</v>
      </c>
    </row>
    <row r="2555" spans="25:33">
      <c r="Y2555" s="47">
        <v>5770</v>
      </c>
      <c r="Z2555" s="52" t="s">
        <v>410</v>
      </c>
      <c r="AA2555" s="52" t="s">
        <v>247</v>
      </c>
      <c r="AB2555" s="52" t="s">
        <v>247</v>
      </c>
      <c r="AC2555" s="52" t="s">
        <v>247</v>
      </c>
      <c r="AD2555" s="52" t="s">
        <v>1</v>
      </c>
      <c r="AE2555" s="52" t="s">
        <v>383</v>
      </c>
      <c r="AF2555" s="155" t="s">
        <v>247</v>
      </c>
      <c r="AG2555" s="155" t="s">
        <v>247</v>
      </c>
    </row>
    <row r="2556" spans="25:33">
      <c r="Y2556" s="47">
        <v>5771</v>
      </c>
      <c r="Z2556" s="52" t="s">
        <v>410</v>
      </c>
      <c r="AA2556" s="52" t="s">
        <v>247</v>
      </c>
      <c r="AB2556" s="52" t="s">
        <v>247</v>
      </c>
      <c r="AC2556" s="52" t="s">
        <v>247</v>
      </c>
      <c r="AD2556" s="52" t="s">
        <v>1</v>
      </c>
      <c r="AE2556" s="52" t="s">
        <v>383</v>
      </c>
      <c r="AF2556" s="155" t="s">
        <v>247</v>
      </c>
      <c r="AG2556" s="155" t="s">
        <v>247</v>
      </c>
    </row>
    <row r="2557" spans="25:33">
      <c r="Y2557" s="47">
        <v>5772</v>
      </c>
      <c r="Z2557" s="52" t="s">
        <v>410</v>
      </c>
      <c r="AA2557" s="52" t="s">
        <v>247</v>
      </c>
      <c r="AB2557" s="52" t="s">
        <v>247</v>
      </c>
      <c r="AC2557" s="52" t="s">
        <v>247</v>
      </c>
      <c r="AD2557" s="52" t="s">
        <v>1</v>
      </c>
      <c r="AE2557" s="52" t="s">
        <v>383</v>
      </c>
      <c r="AF2557" s="155" t="s">
        <v>247</v>
      </c>
      <c r="AG2557" s="155" t="s">
        <v>247</v>
      </c>
    </row>
    <row r="2558" spans="25:33">
      <c r="Y2558" s="47">
        <v>5773</v>
      </c>
      <c r="Z2558" s="52" t="s">
        <v>410</v>
      </c>
      <c r="AA2558" s="52" t="s">
        <v>247</v>
      </c>
      <c r="AB2558" s="52" t="s">
        <v>247</v>
      </c>
      <c r="AC2558" s="52" t="s">
        <v>247</v>
      </c>
      <c r="AD2558" s="52" t="s">
        <v>1</v>
      </c>
      <c r="AE2558" s="52" t="s">
        <v>383</v>
      </c>
      <c r="AF2558" s="155" t="s">
        <v>247</v>
      </c>
      <c r="AG2558" s="155" t="s">
        <v>247</v>
      </c>
    </row>
    <row r="2559" spans="25:33">
      <c r="Y2559" s="47">
        <v>5774</v>
      </c>
      <c r="Z2559" s="52" t="s">
        <v>410</v>
      </c>
      <c r="AA2559" s="52" t="s">
        <v>247</v>
      </c>
      <c r="AB2559" s="52" t="s">
        <v>247</v>
      </c>
      <c r="AC2559" s="52" t="s">
        <v>247</v>
      </c>
      <c r="AD2559" s="52" t="s">
        <v>1</v>
      </c>
      <c r="AE2559" s="52" t="s">
        <v>383</v>
      </c>
      <c r="AF2559" s="155" t="s">
        <v>247</v>
      </c>
      <c r="AG2559" s="155" t="s">
        <v>247</v>
      </c>
    </row>
    <row r="2560" spans="25:33">
      <c r="Y2560" s="47">
        <v>5775</v>
      </c>
      <c r="Z2560" s="52" t="s">
        <v>410</v>
      </c>
      <c r="AA2560" s="52" t="s">
        <v>247</v>
      </c>
      <c r="AB2560" s="52" t="s">
        <v>247</v>
      </c>
      <c r="AC2560" s="52" t="s">
        <v>247</v>
      </c>
      <c r="AD2560" s="52" t="s">
        <v>1</v>
      </c>
      <c r="AE2560" s="52" t="s">
        <v>383</v>
      </c>
      <c r="AF2560" s="155" t="s">
        <v>247</v>
      </c>
      <c r="AG2560" s="155" t="s">
        <v>247</v>
      </c>
    </row>
    <row r="2561" spans="25:33">
      <c r="Y2561" s="47">
        <v>5776</v>
      </c>
      <c r="Z2561" s="52" t="s">
        <v>410</v>
      </c>
      <c r="AA2561" s="52" t="s">
        <v>247</v>
      </c>
      <c r="AB2561" s="52" t="s">
        <v>247</v>
      </c>
      <c r="AC2561" s="52" t="s">
        <v>247</v>
      </c>
      <c r="AD2561" s="52" t="s">
        <v>1</v>
      </c>
      <c r="AE2561" s="52" t="s">
        <v>383</v>
      </c>
      <c r="AF2561" s="155" t="s">
        <v>247</v>
      </c>
      <c r="AG2561" s="155" t="s">
        <v>247</v>
      </c>
    </row>
    <row r="2562" spans="25:33">
      <c r="Y2562" s="47">
        <v>5777</v>
      </c>
      <c r="Z2562" s="52" t="s">
        <v>410</v>
      </c>
      <c r="AA2562" s="52" t="s">
        <v>247</v>
      </c>
      <c r="AB2562" s="52" t="s">
        <v>247</v>
      </c>
      <c r="AC2562" s="52" t="s">
        <v>247</v>
      </c>
      <c r="AD2562" s="52" t="s">
        <v>1</v>
      </c>
      <c r="AE2562" s="52" t="s">
        <v>383</v>
      </c>
      <c r="AF2562" s="155" t="s">
        <v>247</v>
      </c>
      <c r="AG2562" s="155" t="s">
        <v>247</v>
      </c>
    </row>
    <row r="2563" spans="25:33">
      <c r="Y2563" s="47">
        <v>5778</v>
      </c>
      <c r="Z2563" s="52" t="s">
        <v>410</v>
      </c>
      <c r="AA2563" s="52" t="s">
        <v>247</v>
      </c>
      <c r="AB2563" s="52" t="s">
        <v>247</v>
      </c>
      <c r="AC2563" s="52" t="s">
        <v>247</v>
      </c>
      <c r="AD2563" s="52" t="s">
        <v>1</v>
      </c>
      <c r="AE2563" s="52" t="s">
        <v>383</v>
      </c>
      <c r="AF2563" s="155" t="s">
        <v>247</v>
      </c>
      <c r="AG2563" s="155" t="s">
        <v>247</v>
      </c>
    </row>
    <row r="2564" spans="25:33">
      <c r="Y2564" s="47">
        <v>5779</v>
      </c>
      <c r="Z2564" s="52" t="s">
        <v>410</v>
      </c>
      <c r="AA2564" s="52" t="s">
        <v>247</v>
      </c>
      <c r="AB2564" s="52" t="s">
        <v>247</v>
      </c>
      <c r="AC2564" s="52" t="s">
        <v>247</v>
      </c>
      <c r="AD2564" s="52" t="s">
        <v>1</v>
      </c>
      <c r="AE2564" s="52" t="s">
        <v>383</v>
      </c>
      <c r="AF2564" s="155" t="s">
        <v>247</v>
      </c>
      <c r="AG2564" s="155" t="s">
        <v>247</v>
      </c>
    </row>
    <row r="2565" spans="25:33">
      <c r="Y2565" s="47">
        <v>5780</v>
      </c>
      <c r="Z2565" s="52" t="s">
        <v>410</v>
      </c>
      <c r="AA2565" s="52" t="s">
        <v>247</v>
      </c>
      <c r="AB2565" s="52" t="s">
        <v>247</v>
      </c>
      <c r="AC2565" s="52" t="s">
        <v>247</v>
      </c>
      <c r="AD2565" s="52" t="s">
        <v>1</v>
      </c>
      <c r="AE2565" s="52" t="s">
        <v>383</v>
      </c>
      <c r="AF2565" s="155" t="s">
        <v>247</v>
      </c>
      <c r="AG2565" s="155" t="s">
        <v>247</v>
      </c>
    </row>
    <row r="2566" spans="25:33">
      <c r="Y2566" s="47">
        <v>5781</v>
      </c>
      <c r="Z2566" s="52" t="s">
        <v>410</v>
      </c>
      <c r="AA2566" s="52" t="s">
        <v>247</v>
      </c>
      <c r="AB2566" s="52" t="s">
        <v>247</v>
      </c>
      <c r="AC2566" s="52" t="s">
        <v>247</v>
      </c>
      <c r="AD2566" s="52" t="s">
        <v>1</v>
      </c>
      <c r="AE2566" s="52" t="s">
        <v>383</v>
      </c>
      <c r="AF2566" s="155" t="s">
        <v>247</v>
      </c>
      <c r="AG2566" s="155" t="s">
        <v>247</v>
      </c>
    </row>
    <row r="2567" spans="25:33">
      <c r="Y2567" s="47">
        <v>5782</v>
      </c>
      <c r="Z2567" s="52" t="s">
        <v>410</v>
      </c>
      <c r="AA2567" s="52" t="s">
        <v>247</v>
      </c>
      <c r="AB2567" s="52" t="s">
        <v>247</v>
      </c>
      <c r="AC2567" s="52" t="s">
        <v>247</v>
      </c>
      <c r="AD2567" s="52" t="s">
        <v>1</v>
      </c>
      <c r="AE2567" s="52" t="s">
        <v>383</v>
      </c>
      <c r="AF2567" s="155" t="s">
        <v>247</v>
      </c>
      <c r="AG2567" s="155" t="s">
        <v>247</v>
      </c>
    </row>
    <row r="2568" spans="25:33">
      <c r="Y2568" s="47">
        <v>5783</v>
      </c>
      <c r="Z2568" s="52" t="s">
        <v>410</v>
      </c>
      <c r="AA2568" s="52" t="s">
        <v>247</v>
      </c>
      <c r="AB2568" s="52" t="s">
        <v>247</v>
      </c>
      <c r="AC2568" s="52" t="s">
        <v>247</v>
      </c>
      <c r="AD2568" s="52" t="s">
        <v>1</v>
      </c>
      <c r="AE2568" s="52" t="s">
        <v>383</v>
      </c>
      <c r="AF2568" s="155" t="s">
        <v>247</v>
      </c>
      <c r="AG2568" s="155" t="s">
        <v>247</v>
      </c>
    </row>
    <row r="2569" spans="25:33">
      <c r="Y2569" s="47">
        <v>5784</v>
      </c>
      <c r="Z2569" s="52" t="s">
        <v>410</v>
      </c>
      <c r="AA2569" s="52" t="s">
        <v>247</v>
      </c>
      <c r="AB2569" s="52" t="s">
        <v>247</v>
      </c>
      <c r="AC2569" s="52" t="s">
        <v>247</v>
      </c>
      <c r="AD2569" s="52" t="s">
        <v>1</v>
      </c>
      <c r="AE2569" s="52" t="s">
        <v>383</v>
      </c>
      <c r="AF2569" s="155" t="s">
        <v>247</v>
      </c>
      <c r="AG2569" s="155" t="s">
        <v>247</v>
      </c>
    </row>
    <row r="2570" spans="25:33">
      <c r="Y2570" s="47">
        <v>5785</v>
      </c>
      <c r="Z2570" s="52" t="s">
        <v>410</v>
      </c>
      <c r="AA2570" s="52" t="s">
        <v>247</v>
      </c>
      <c r="AB2570" s="52" t="s">
        <v>247</v>
      </c>
      <c r="AC2570" s="52" t="s">
        <v>247</v>
      </c>
      <c r="AD2570" s="52" t="s">
        <v>1</v>
      </c>
      <c r="AE2570" s="52" t="s">
        <v>383</v>
      </c>
      <c r="AF2570" s="155" t="s">
        <v>247</v>
      </c>
      <c r="AG2570" s="155" t="s">
        <v>247</v>
      </c>
    </row>
    <row r="2571" spans="25:33">
      <c r="Y2571" s="47">
        <v>5786</v>
      </c>
      <c r="Z2571" s="52" t="s">
        <v>410</v>
      </c>
      <c r="AA2571" s="52" t="s">
        <v>247</v>
      </c>
      <c r="AB2571" s="52" t="s">
        <v>247</v>
      </c>
      <c r="AC2571" s="52" t="s">
        <v>247</v>
      </c>
      <c r="AD2571" s="52" t="s">
        <v>1</v>
      </c>
      <c r="AE2571" s="52" t="s">
        <v>383</v>
      </c>
      <c r="AF2571" s="155" t="s">
        <v>247</v>
      </c>
      <c r="AG2571" s="155" t="s">
        <v>247</v>
      </c>
    </row>
    <row r="2572" spans="25:33">
      <c r="Y2572" s="47">
        <v>5787</v>
      </c>
      <c r="Z2572" s="52" t="s">
        <v>410</v>
      </c>
      <c r="AA2572" s="52" t="s">
        <v>247</v>
      </c>
      <c r="AB2572" s="52" t="s">
        <v>247</v>
      </c>
      <c r="AC2572" s="52" t="s">
        <v>247</v>
      </c>
      <c r="AD2572" s="52" t="s">
        <v>1</v>
      </c>
      <c r="AE2572" s="52" t="s">
        <v>383</v>
      </c>
      <c r="AF2572" s="155" t="s">
        <v>247</v>
      </c>
      <c r="AG2572" s="155" t="s">
        <v>247</v>
      </c>
    </row>
    <row r="2573" spans="25:33">
      <c r="Y2573" s="47">
        <v>5788</v>
      </c>
      <c r="Z2573" s="52" t="s">
        <v>410</v>
      </c>
      <c r="AA2573" s="52" t="s">
        <v>247</v>
      </c>
      <c r="AB2573" s="52" t="s">
        <v>247</v>
      </c>
      <c r="AC2573" s="52" t="s">
        <v>247</v>
      </c>
      <c r="AD2573" s="52" t="s">
        <v>1</v>
      </c>
      <c r="AE2573" s="52" t="s">
        <v>383</v>
      </c>
      <c r="AF2573" s="155" t="s">
        <v>247</v>
      </c>
      <c r="AG2573" s="155" t="s">
        <v>247</v>
      </c>
    </row>
    <row r="2574" spans="25:33">
      <c r="Y2574" s="47">
        <v>5789</v>
      </c>
      <c r="Z2574" s="52" t="s">
        <v>410</v>
      </c>
      <c r="AA2574" s="52" t="s">
        <v>247</v>
      </c>
      <c r="AB2574" s="52" t="s">
        <v>247</v>
      </c>
      <c r="AC2574" s="52" t="s">
        <v>247</v>
      </c>
      <c r="AD2574" s="52" t="s">
        <v>1</v>
      </c>
      <c r="AE2574" s="52" t="s">
        <v>383</v>
      </c>
      <c r="AF2574" s="155" t="s">
        <v>247</v>
      </c>
      <c r="AG2574" s="155" t="s">
        <v>247</v>
      </c>
    </row>
    <row r="2575" spans="25:33">
      <c r="Y2575" s="47">
        <v>5790</v>
      </c>
      <c r="Z2575" s="52" t="s">
        <v>410</v>
      </c>
      <c r="AA2575" s="52" t="s">
        <v>247</v>
      </c>
      <c r="AB2575" s="52" t="s">
        <v>247</v>
      </c>
      <c r="AC2575" s="52" t="s">
        <v>247</v>
      </c>
      <c r="AD2575" s="52" t="s">
        <v>1</v>
      </c>
      <c r="AE2575" s="52" t="s">
        <v>383</v>
      </c>
      <c r="AF2575" s="155" t="s">
        <v>247</v>
      </c>
      <c r="AG2575" s="155" t="s">
        <v>247</v>
      </c>
    </row>
    <row r="2576" spans="25:33">
      <c r="Y2576" s="47">
        <v>5791</v>
      </c>
      <c r="Z2576" s="52" t="s">
        <v>410</v>
      </c>
      <c r="AA2576" s="52" t="s">
        <v>247</v>
      </c>
      <c r="AB2576" s="52" t="s">
        <v>247</v>
      </c>
      <c r="AC2576" s="52" t="s">
        <v>247</v>
      </c>
      <c r="AD2576" s="52" t="s">
        <v>1</v>
      </c>
      <c r="AE2576" s="52" t="s">
        <v>383</v>
      </c>
      <c r="AF2576" s="155" t="s">
        <v>247</v>
      </c>
      <c r="AG2576" s="155" t="s">
        <v>247</v>
      </c>
    </row>
    <row r="2577" spans="25:33">
      <c r="Y2577" s="47">
        <v>5792</v>
      </c>
      <c r="Z2577" s="52" t="s">
        <v>410</v>
      </c>
      <c r="AA2577" s="52" t="s">
        <v>247</v>
      </c>
      <c r="AB2577" s="52" t="s">
        <v>247</v>
      </c>
      <c r="AC2577" s="52" t="s">
        <v>247</v>
      </c>
      <c r="AD2577" s="52" t="s">
        <v>1</v>
      </c>
      <c r="AE2577" s="52" t="s">
        <v>383</v>
      </c>
      <c r="AF2577" s="155" t="s">
        <v>247</v>
      </c>
      <c r="AG2577" s="155" t="s">
        <v>247</v>
      </c>
    </row>
    <row r="2578" spans="25:33">
      <c r="Y2578" s="47">
        <v>5793</v>
      </c>
      <c r="Z2578" s="52" t="s">
        <v>410</v>
      </c>
      <c r="AA2578" s="52" t="s">
        <v>247</v>
      </c>
      <c r="AB2578" s="52" t="s">
        <v>247</v>
      </c>
      <c r="AC2578" s="52" t="s">
        <v>247</v>
      </c>
      <c r="AD2578" s="52" t="s">
        <v>1</v>
      </c>
      <c r="AE2578" s="52" t="s">
        <v>383</v>
      </c>
      <c r="AF2578" s="155" t="s">
        <v>247</v>
      </c>
      <c r="AG2578" s="155" t="s">
        <v>247</v>
      </c>
    </row>
    <row r="2579" spans="25:33">
      <c r="Y2579" s="47">
        <v>5794</v>
      </c>
      <c r="Z2579" s="52" t="s">
        <v>410</v>
      </c>
      <c r="AA2579" s="52" t="s">
        <v>247</v>
      </c>
      <c r="AB2579" s="52" t="s">
        <v>247</v>
      </c>
      <c r="AC2579" s="52" t="s">
        <v>247</v>
      </c>
      <c r="AD2579" s="52" t="s">
        <v>1</v>
      </c>
      <c r="AE2579" s="52" t="s">
        <v>383</v>
      </c>
      <c r="AF2579" s="155" t="s">
        <v>247</v>
      </c>
      <c r="AG2579" s="155" t="s">
        <v>247</v>
      </c>
    </row>
    <row r="2580" spans="25:33">
      <c r="Y2580" s="47">
        <v>5795</v>
      </c>
      <c r="Z2580" s="52" t="s">
        <v>410</v>
      </c>
      <c r="AA2580" s="52" t="s">
        <v>247</v>
      </c>
      <c r="AB2580" s="52" t="s">
        <v>247</v>
      </c>
      <c r="AC2580" s="52" t="s">
        <v>247</v>
      </c>
      <c r="AD2580" s="52" t="s">
        <v>1</v>
      </c>
      <c r="AE2580" s="52" t="s">
        <v>383</v>
      </c>
      <c r="AF2580" s="155" t="s">
        <v>247</v>
      </c>
      <c r="AG2580" s="155" t="s">
        <v>247</v>
      </c>
    </row>
    <row r="2581" spans="25:33">
      <c r="Y2581" s="47">
        <v>5796</v>
      </c>
      <c r="Z2581" s="52" t="s">
        <v>410</v>
      </c>
      <c r="AA2581" s="52" t="s">
        <v>247</v>
      </c>
      <c r="AB2581" s="52" t="s">
        <v>247</v>
      </c>
      <c r="AC2581" s="52" t="s">
        <v>247</v>
      </c>
      <c r="AD2581" s="52" t="s">
        <v>1</v>
      </c>
      <c r="AE2581" s="52" t="s">
        <v>383</v>
      </c>
      <c r="AF2581" s="155" t="s">
        <v>247</v>
      </c>
      <c r="AG2581" s="155" t="s">
        <v>247</v>
      </c>
    </row>
    <row r="2582" spans="25:33">
      <c r="Y2582" s="47">
        <v>5797</v>
      </c>
      <c r="Z2582" s="52" t="s">
        <v>410</v>
      </c>
      <c r="AA2582" s="52" t="s">
        <v>247</v>
      </c>
      <c r="AB2582" s="52" t="s">
        <v>247</v>
      </c>
      <c r="AC2582" s="52" t="s">
        <v>247</v>
      </c>
      <c r="AD2582" s="52" t="s">
        <v>1</v>
      </c>
      <c r="AE2582" s="52" t="s">
        <v>383</v>
      </c>
      <c r="AF2582" s="155" t="s">
        <v>247</v>
      </c>
      <c r="AG2582" s="155" t="s">
        <v>247</v>
      </c>
    </row>
    <row r="2583" spans="25:33">
      <c r="Y2583" s="47">
        <v>5798</v>
      </c>
      <c r="Z2583" s="52" t="s">
        <v>410</v>
      </c>
      <c r="AA2583" s="52" t="s">
        <v>247</v>
      </c>
      <c r="AB2583" s="52" t="s">
        <v>247</v>
      </c>
      <c r="AC2583" s="52" t="s">
        <v>247</v>
      </c>
      <c r="AD2583" s="52" t="s">
        <v>1</v>
      </c>
      <c r="AE2583" s="52" t="s">
        <v>383</v>
      </c>
      <c r="AF2583" s="155" t="s">
        <v>247</v>
      </c>
      <c r="AG2583" s="155" t="s">
        <v>247</v>
      </c>
    </row>
    <row r="2584" spans="25:33">
      <c r="Y2584" s="47">
        <v>5799</v>
      </c>
      <c r="Z2584" s="52" t="s">
        <v>410</v>
      </c>
      <c r="AA2584" s="52" t="s">
        <v>247</v>
      </c>
      <c r="AB2584" s="52" t="s">
        <v>247</v>
      </c>
      <c r="AC2584" s="52" t="s">
        <v>247</v>
      </c>
      <c r="AD2584" s="52" t="s">
        <v>1</v>
      </c>
      <c r="AE2584" s="52" t="s">
        <v>383</v>
      </c>
      <c r="AF2584" s="155" t="s">
        <v>247</v>
      </c>
      <c r="AG2584" s="155" t="s">
        <v>247</v>
      </c>
    </row>
    <row r="2585" spans="25:33">
      <c r="Y2585" s="47">
        <v>7000</v>
      </c>
      <c r="Z2585" s="52" t="s">
        <v>407</v>
      </c>
      <c r="AA2585" s="52" t="s">
        <v>247</v>
      </c>
      <c r="AB2585" s="52" t="s">
        <v>247</v>
      </c>
      <c r="AC2585" s="52" t="s">
        <v>247</v>
      </c>
      <c r="AD2585" s="52" t="s">
        <v>1</v>
      </c>
      <c r="AE2585" s="52" t="s">
        <v>385</v>
      </c>
      <c r="AF2585" s="155" t="s">
        <v>247</v>
      </c>
      <c r="AG2585" s="155" t="s">
        <v>247</v>
      </c>
    </row>
    <row r="2586" spans="25:33">
      <c r="Y2586" s="47">
        <v>7001</v>
      </c>
      <c r="Z2586" s="52" t="s">
        <v>407</v>
      </c>
      <c r="AA2586" s="52" t="s">
        <v>247</v>
      </c>
      <c r="AB2586" s="52" t="s">
        <v>247</v>
      </c>
      <c r="AC2586" s="52" t="s">
        <v>247</v>
      </c>
      <c r="AD2586" s="52" t="s">
        <v>1</v>
      </c>
      <c r="AE2586" s="52" t="s">
        <v>385</v>
      </c>
      <c r="AF2586" s="155" t="s">
        <v>247</v>
      </c>
      <c r="AG2586" s="155" t="s">
        <v>247</v>
      </c>
    </row>
    <row r="2587" spans="25:33">
      <c r="Y2587" s="47">
        <v>7002</v>
      </c>
      <c r="Z2587" s="52" t="s">
        <v>407</v>
      </c>
      <c r="AA2587" s="52" t="s">
        <v>247</v>
      </c>
      <c r="AB2587" s="52" t="s">
        <v>247</v>
      </c>
      <c r="AC2587" s="52" t="s">
        <v>247</v>
      </c>
      <c r="AD2587" s="52" t="s">
        <v>1</v>
      </c>
      <c r="AE2587" s="52" t="s">
        <v>385</v>
      </c>
      <c r="AF2587" s="155" t="s">
        <v>247</v>
      </c>
      <c r="AG2587" s="155" t="s">
        <v>247</v>
      </c>
    </row>
    <row r="2588" spans="25:33">
      <c r="Y2588" s="47">
        <v>7003</v>
      </c>
      <c r="Z2588" s="52" t="s">
        <v>407</v>
      </c>
      <c r="AA2588" s="52" t="s">
        <v>247</v>
      </c>
      <c r="AB2588" s="52" t="s">
        <v>247</v>
      </c>
      <c r="AC2588" s="52" t="s">
        <v>247</v>
      </c>
      <c r="AD2588" s="52" t="s">
        <v>1</v>
      </c>
      <c r="AE2588" s="52" t="s">
        <v>385</v>
      </c>
      <c r="AF2588" s="155" t="s">
        <v>247</v>
      </c>
      <c r="AG2588" s="155" t="s">
        <v>247</v>
      </c>
    </row>
    <row r="2589" spans="25:33">
      <c r="Y2589" s="47">
        <v>7004</v>
      </c>
      <c r="Z2589" s="52" t="s">
        <v>407</v>
      </c>
      <c r="AA2589" s="52" t="s">
        <v>247</v>
      </c>
      <c r="AB2589" s="52" t="s">
        <v>247</v>
      </c>
      <c r="AC2589" s="52" t="s">
        <v>247</v>
      </c>
      <c r="AD2589" s="52" t="s">
        <v>1</v>
      </c>
      <c r="AE2589" s="52" t="s">
        <v>385</v>
      </c>
      <c r="AF2589" s="155" t="s">
        <v>247</v>
      </c>
      <c r="AG2589" s="155" t="s">
        <v>247</v>
      </c>
    </row>
    <row r="2590" spans="25:33">
      <c r="Y2590" s="47">
        <v>7005</v>
      </c>
      <c r="Z2590" s="52" t="s">
        <v>407</v>
      </c>
      <c r="AA2590" s="52" t="s">
        <v>247</v>
      </c>
      <c r="AB2590" s="52" t="s">
        <v>247</v>
      </c>
      <c r="AC2590" s="52" t="s">
        <v>247</v>
      </c>
      <c r="AD2590" s="52" t="s">
        <v>1</v>
      </c>
      <c r="AE2590" s="52" t="s">
        <v>385</v>
      </c>
      <c r="AF2590" s="155" t="s">
        <v>247</v>
      </c>
      <c r="AG2590" s="155" t="s">
        <v>247</v>
      </c>
    </row>
    <row r="2591" spans="25:33">
      <c r="Y2591" s="47">
        <v>7006</v>
      </c>
      <c r="Z2591" s="52" t="s">
        <v>407</v>
      </c>
      <c r="AA2591" s="52" t="s">
        <v>247</v>
      </c>
      <c r="AB2591" s="52" t="s">
        <v>247</v>
      </c>
      <c r="AC2591" s="52" t="s">
        <v>247</v>
      </c>
      <c r="AD2591" s="52" t="s">
        <v>1</v>
      </c>
      <c r="AE2591" s="52" t="s">
        <v>385</v>
      </c>
      <c r="AF2591" s="155" t="s">
        <v>247</v>
      </c>
      <c r="AG2591" s="155" t="s">
        <v>247</v>
      </c>
    </row>
    <row r="2592" spans="25:33">
      <c r="Y2592" s="47">
        <v>7007</v>
      </c>
      <c r="Z2592" s="52" t="s">
        <v>407</v>
      </c>
      <c r="AA2592" s="52" t="s">
        <v>247</v>
      </c>
      <c r="AB2592" s="52" t="s">
        <v>247</v>
      </c>
      <c r="AC2592" s="52" t="s">
        <v>247</v>
      </c>
      <c r="AD2592" s="52" t="s">
        <v>1</v>
      </c>
      <c r="AE2592" s="52" t="s">
        <v>385</v>
      </c>
      <c r="AF2592" s="155" t="s">
        <v>247</v>
      </c>
      <c r="AG2592" s="155" t="s">
        <v>247</v>
      </c>
    </row>
    <row r="2593" spans="25:33">
      <c r="Y2593" s="47">
        <v>7008</v>
      </c>
      <c r="Z2593" s="52" t="s">
        <v>407</v>
      </c>
      <c r="AA2593" s="52" t="s">
        <v>247</v>
      </c>
      <c r="AB2593" s="52" t="s">
        <v>247</v>
      </c>
      <c r="AC2593" s="52" t="s">
        <v>247</v>
      </c>
      <c r="AD2593" s="52" t="s">
        <v>1</v>
      </c>
      <c r="AE2593" s="52" t="s">
        <v>385</v>
      </c>
      <c r="AF2593" s="155" t="s">
        <v>247</v>
      </c>
      <c r="AG2593" s="155" t="s">
        <v>247</v>
      </c>
    </row>
    <row r="2594" spans="25:33">
      <c r="Y2594" s="47">
        <v>7009</v>
      </c>
      <c r="Z2594" s="52" t="s">
        <v>407</v>
      </c>
      <c r="AA2594" s="52" t="s">
        <v>247</v>
      </c>
      <c r="AB2594" s="52" t="s">
        <v>247</v>
      </c>
      <c r="AC2594" s="52" t="s">
        <v>247</v>
      </c>
      <c r="AD2594" s="52" t="s">
        <v>1</v>
      </c>
      <c r="AE2594" s="52" t="s">
        <v>385</v>
      </c>
      <c r="AF2594" s="155" t="s">
        <v>247</v>
      </c>
      <c r="AG2594" s="155" t="s">
        <v>247</v>
      </c>
    </row>
    <row r="2595" spans="25:33">
      <c r="Y2595" s="47">
        <v>7010</v>
      </c>
      <c r="Z2595" s="52" t="s">
        <v>407</v>
      </c>
      <c r="AA2595" s="52" t="s">
        <v>247</v>
      </c>
      <c r="AB2595" s="52" t="s">
        <v>247</v>
      </c>
      <c r="AC2595" s="52" t="s">
        <v>247</v>
      </c>
      <c r="AD2595" s="52" t="s">
        <v>1</v>
      </c>
      <c r="AE2595" s="52" t="s">
        <v>385</v>
      </c>
      <c r="AF2595" s="155" t="s">
        <v>247</v>
      </c>
      <c r="AG2595" s="155" t="s">
        <v>247</v>
      </c>
    </row>
    <row r="2596" spans="25:33">
      <c r="Y2596" s="47">
        <v>7011</v>
      </c>
      <c r="Z2596" s="52" t="s">
        <v>407</v>
      </c>
      <c r="AA2596" s="52" t="s">
        <v>247</v>
      </c>
      <c r="AB2596" s="52" t="s">
        <v>247</v>
      </c>
      <c r="AC2596" s="52" t="s">
        <v>247</v>
      </c>
      <c r="AD2596" s="52" t="s">
        <v>1</v>
      </c>
      <c r="AE2596" s="52" t="s">
        <v>385</v>
      </c>
      <c r="AF2596" s="155" t="s">
        <v>247</v>
      </c>
      <c r="AG2596" s="155" t="s">
        <v>247</v>
      </c>
    </row>
    <row r="2597" spans="25:33">
      <c r="Y2597" s="47">
        <v>7012</v>
      </c>
      <c r="Z2597" s="52" t="s">
        <v>407</v>
      </c>
      <c r="AA2597" s="52" t="s">
        <v>247</v>
      </c>
      <c r="AB2597" s="52" t="s">
        <v>247</v>
      </c>
      <c r="AC2597" s="52" t="s">
        <v>247</v>
      </c>
      <c r="AD2597" s="52" t="s">
        <v>1</v>
      </c>
      <c r="AE2597" s="52" t="s">
        <v>385</v>
      </c>
      <c r="AF2597" s="155" t="s">
        <v>247</v>
      </c>
      <c r="AG2597" s="155" t="s">
        <v>247</v>
      </c>
    </row>
    <row r="2598" spans="25:33">
      <c r="Y2598" s="47">
        <v>7013</v>
      </c>
      <c r="Z2598" s="52" t="s">
        <v>407</v>
      </c>
      <c r="AA2598" s="52" t="s">
        <v>247</v>
      </c>
      <c r="AB2598" s="52" t="s">
        <v>247</v>
      </c>
      <c r="AC2598" s="52" t="s">
        <v>247</v>
      </c>
      <c r="AD2598" s="52" t="s">
        <v>1</v>
      </c>
      <c r="AE2598" s="52" t="s">
        <v>385</v>
      </c>
      <c r="AF2598" s="155" t="s">
        <v>247</v>
      </c>
      <c r="AG2598" s="155" t="s">
        <v>247</v>
      </c>
    </row>
    <row r="2599" spans="25:33">
      <c r="Y2599" s="47">
        <v>7014</v>
      </c>
      <c r="Z2599" s="52" t="s">
        <v>407</v>
      </c>
      <c r="AA2599" s="52" t="s">
        <v>247</v>
      </c>
      <c r="AB2599" s="52" t="s">
        <v>247</v>
      </c>
      <c r="AC2599" s="52" t="s">
        <v>247</v>
      </c>
      <c r="AD2599" s="52" t="s">
        <v>1</v>
      </c>
      <c r="AE2599" s="52" t="s">
        <v>385</v>
      </c>
      <c r="AF2599" s="155" t="s">
        <v>247</v>
      </c>
      <c r="AG2599" s="155" t="s">
        <v>247</v>
      </c>
    </row>
    <row r="2600" spans="25:33">
      <c r="Y2600" s="47">
        <v>7015</v>
      </c>
      <c r="Z2600" s="52" t="s">
        <v>407</v>
      </c>
      <c r="AA2600" s="52" t="s">
        <v>247</v>
      </c>
      <c r="AB2600" s="52" t="s">
        <v>247</v>
      </c>
      <c r="AC2600" s="52" t="s">
        <v>247</v>
      </c>
      <c r="AD2600" s="52" t="s">
        <v>1</v>
      </c>
      <c r="AE2600" s="52" t="s">
        <v>385</v>
      </c>
      <c r="AF2600" s="155" t="s">
        <v>247</v>
      </c>
      <c r="AG2600" s="155" t="s">
        <v>247</v>
      </c>
    </row>
    <row r="2601" spans="25:33">
      <c r="Y2601" s="47">
        <v>7016</v>
      </c>
      <c r="Z2601" s="52" t="s">
        <v>407</v>
      </c>
      <c r="AA2601" s="52" t="s">
        <v>247</v>
      </c>
      <c r="AB2601" s="52" t="s">
        <v>247</v>
      </c>
      <c r="AC2601" s="52" t="s">
        <v>247</v>
      </c>
      <c r="AD2601" s="52" t="s">
        <v>1</v>
      </c>
      <c r="AE2601" s="52" t="s">
        <v>385</v>
      </c>
      <c r="AF2601" s="155" t="s">
        <v>247</v>
      </c>
      <c r="AG2601" s="155" t="s">
        <v>247</v>
      </c>
    </row>
    <row r="2602" spans="25:33">
      <c r="Y2602" s="47">
        <v>7017</v>
      </c>
      <c r="Z2602" s="52" t="s">
        <v>407</v>
      </c>
      <c r="AA2602" s="52" t="s">
        <v>247</v>
      </c>
      <c r="AB2602" s="52" t="s">
        <v>247</v>
      </c>
      <c r="AC2602" s="52" t="s">
        <v>247</v>
      </c>
      <c r="AD2602" s="52" t="s">
        <v>1</v>
      </c>
      <c r="AE2602" s="52" t="s">
        <v>385</v>
      </c>
      <c r="AF2602" s="155" t="s">
        <v>247</v>
      </c>
      <c r="AG2602" s="155" t="s">
        <v>247</v>
      </c>
    </row>
    <row r="2603" spans="25:33">
      <c r="Y2603" s="47">
        <v>7018</v>
      </c>
      <c r="Z2603" s="52" t="s">
        <v>407</v>
      </c>
      <c r="AA2603" s="52" t="s">
        <v>247</v>
      </c>
      <c r="AB2603" s="52" t="s">
        <v>247</v>
      </c>
      <c r="AC2603" s="52" t="s">
        <v>247</v>
      </c>
      <c r="AD2603" s="52" t="s">
        <v>1</v>
      </c>
      <c r="AE2603" s="52" t="s">
        <v>385</v>
      </c>
      <c r="AF2603" s="155" t="s">
        <v>247</v>
      </c>
      <c r="AG2603" s="155" t="s">
        <v>247</v>
      </c>
    </row>
    <row r="2604" spans="25:33">
      <c r="Y2604" s="47">
        <v>7019</v>
      </c>
      <c r="Z2604" s="52" t="s">
        <v>407</v>
      </c>
      <c r="AA2604" s="52" t="s">
        <v>247</v>
      </c>
      <c r="AB2604" s="52" t="s">
        <v>247</v>
      </c>
      <c r="AC2604" s="52" t="s">
        <v>247</v>
      </c>
      <c r="AD2604" s="52" t="s">
        <v>1</v>
      </c>
      <c r="AE2604" s="52" t="s">
        <v>385</v>
      </c>
      <c r="AF2604" s="155" t="s">
        <v>247</v>
      </c>
      <c r="AG2604" s="155" t="s">
        <v>247</v>
      </c>
    </row>
    <row r="2605" spans="25:33">
      <c r="Y2605" s="47">
        <v>7020</v>
      </c>
      <c r="Z2605" s="52" t="s">
        <v>407</v>
      </c>
      <c r="AA2605" s="52" t="s">
        <v>247</v>
      </c>
      <c r="AB2605" s="52" t="s">
        <v>247</v>
      </c>
      <c r="AC2605" s="52" t="s">
        <v>247</v>
      </c>
      <c r="AD2605" s="52" t="s">
        <v>1</v>
      </c>
      <c r="AE2605" s="52" t="s">
        <v>385</v>
      </c>
      <c r="AF2605" s="155" t="s">
        <v>247</v>
      </c>
      <c r="AG2605" s="155" t="s">
        <v>247</v>
      </c>
    </row>
    <row r="2606" spans="25:33">
      <c r="Y2606" s="47">
        <v>7021</v>
      </c>
      <c r="Z2606" s="52" t="s">
        <v>407</v>
      </c>
      <c r="AA2606" s="52" t="s">
        <v>247</v>
      </c>
      <c r="AB2606" s="52" t="s">
        <v>247</v>
      </c>
      <c r="AC2606" s="52" t="s">
        <v>247</v>
      </c>
      <c r="AD2606" s="52" t="s">
        <v>1</v>
      </c>
      <c r="AE2606" s="52" t="s">
        <v>385</v>
      </c>
      <c r="AF2606" s="155" t="s">
        <v>247</v>
      </c>
      <c r="AG2606" s="155" t="s">
        <v>247</v>
      </c>
    </row>
    <row r="2607" spans="25:33">
      <c r="Y2607" s="47">
        <v>7022</v>
      </c>
      <c r="Z2607" s="52" t="s">
        <v>407</v>
      </c>
      <c r="AA2607" s="52" t="s">
        <v>247</v>
      </c>
      <c r="AB2607" s="52" t="s">
        <v>247</v>
      </c>
      <c r="AC2607" s="52" t="s">
        <v>247</v>
      </c>
      <c r="AD2607" s="52" t="s">
        <v>1</v>
      </c>
      <c r="AE2607" s="52" t="s">
        <v>385</v>
      </c>
      <c r="AF2607" s="155" t="s">
        <v>247</v>
      </c>
      <c r="AG2607" s="155" t="s">
        <v>247</v>
      </c>
    </row>
    <row r="2608" spans="25:33">
      <c r="Y2608" s="47">
        <v>7023</v>
      </c>
      <c r="Z2608" s="52" t="s">
        <v>407</v>
      </c>
      <c r="AA2608" s="52" t="s">
        <v>247</v>
      </c>
      <c r="AB2608" s="52" t="s">
        <v>247</v>
      </c>
      <c r="AC2608" s="52" t="s">
        <v>247</v>
      </c>
      <c r="AD2608" s="52" t="s">
        <v>1</v>
      </c>
      <c r="AE2608" s="52" t="s">
        <v>385</v>
      </c>
      <c r="AF2608" s="155" t="s">
        <v>247</v>
      </c>
      <c r="AG2608" s="155" t="s">
        <v>247</v>
      </c>
    </row>
    <row r="2609" spans="25:33">
      <c r="Y2609" s="47">
        <v>7024</v>
      </c>
      <c r="Z2609" s="52" t="s">
        <v>407</v>
      </c>
      <c r="AA2609" s="52" t="s">
        <v>247</v>
      </c>
      <c r="AB2609" s="52" t="s">
        <v>247</v>
      </c>
      <c r="AC2609" s="52" t="s">
        <v>247</v>
      </c>
      <c r="AD2609" s="52" t="s">
        <v>1</v>
      </c>
      <c r="AE2609" s="52" t="s">
        <v>385</v>
      </c>
      <c r="AF2609" s="155" t="s">
        <v>247</v>
      </c>
      <c r="AG2609" s="155" t="s">
        <v>247</v>
      </c>
    </row>
    <row r="2610" spans="25:33">
      <c r="Y2610" s="47">
        <v>7025</v>
      </c>
      <c r="Z2610" s="52" t="s">
        <v>407</v>
      </c>
      <c r="AA2610" s="52" t="s">
        <v>247</v>
      </c>
      <c r="AB2610" s="52" t="s">
        <v>247</v>
      </c>
      <c r="AC2610" s="52" t="s">
        <v>247</v>
      </c>
      <c r="AD2610" s="52" t="s">
        <v>1</v>
      </c>
      <c r="AE2610" s="52" t="s">
        <v>385</v>
      </c>
      <c r="AF2610" s="155" t="s">
        <v>247</v>
      </c>
      <c r="AG2610" s="155" t="s">
        <v>247</v>
      </c>
    </row>
    <row r="2611" spans="25:33">
      <c r="Y2611" s="47">
        <v>7026</v>
      </c>
      <c r="Z2611" s="52" t="s">
        <v>407</v>
      </c>
      <c r="AA2611" s="52" t="s">
        <v>247</v>
      </c>
      <c r="AB2611" s="52" t="s">
        <v>247</v>
      </c>
      <c r="AC2611" s="52" t="s">
        <v>247</v>
      </c>
      <c r="AD2611" s="52" t="s">
        <v>1</v>
      </c>
      <c r="AE2611" s="52" t="s">
        <v>385</v>
      </c>
      <c r="AF2611" s="155" t="s">
        <v>247</v>
      </c>
      <c r="AG2611" s="155" t="s">
        <v>247</v>
      </c>
    </row>
    <row r="2612" spans="25:33">
      <c r="Y2612" s="47">
        <v>7027</v>
      </c>
      <c r="Z2612" s="52" t="s">
        <v>407</v>
      </c>
      <c r="AA2612" s="52" t="s">
        <v>247</v>
      </c>
      <c r="AB2612" s="52" t="s">
        <v>247</v>
      </c>
      <c r="AC2612" s="52" t="s">
        <v>247</v>
      </c>
      <c r="AD2612" s="52" t="s">
        <v>1</v>
      </c>
      <c r="AE2612" s="52" t="s">
        <v>385</v>
      </c>
      <c r="AF2612" s="155" t="s">
        <v>247</v>
      </c>
      <c r="AG2612" s="155" t="s">
        <v>247</v>
      </c>
    </row>
    <row r="2613" spans="25:33">
      <c r="Y2613" s="47">
        <v>7028</v>
      </c>
      <c r="Z2613" s="52" t="s">
        <v>407</v>
      </c>
      <c r="AA2613" s="52" t="s">
        <v>247</v>
      </c>
      <c r="AB2613" s="52" t="s">
        <v>247</v>
      </c>
      <c r="AC2613" s="52" t="s">
        <v>247</v>
      </c>
      <c r="AD2613" s="52" t="s">
        <v>1</v>
      </c>
      <c r="AE2613" s="52" t="s">
        <v>385</v>
      </c>
      <c r="AF2613" s="155" t="s">
        <v>247</v>
      </c>
      <c r="AG2613" s="155" t="s">
        <v>247</v>
      </c>
    </row>
    <row r="2614" spans="25:33">
      <c r="Y2614" s="47">
        <v>7029</v>
      </c>
      <c r="Z2614" s="52" t="s">
        <v>407</v>
      </c>
      <c r="AA2614" s="52" t="s">
        <v>247</v>
      </c>
      <c r="AB2614" s="52" t="s">
        <v>247</v>
      </c>
      <c r="AC2614" s="52" t="s">
        <v>247</v>
      </c>
      <c r="AD2614" s="52" t="s">
        <v>1</v>
      </c>
      <c r="AE2614" s="52" t="s">
        <v>385</v>
      </c>
      <c r="AF2614" s="155" t="s">
        <v>247</v>
      </c>
      <c r="AG2614" s="155" t="s">
        <v>247</v>
      </c>
    </row>
    <row r="2615" spans="25:33">
      <c r="Y2615" s="47">
        <v>7030</v>
      </c>
      <c r="Z2615" s="52" t="s">
        <v>407</v>
      </c>
      <c r="AA2615" s="52" t="s">
        <v>247</v>
      </c>
      <c r="AB2615" s="52" t="s">
        <v>247</v>
      </c>
      <c r="AC2615" s="52" t="s">
        <v>247</v>
      </c>
      <c r="AD2615" s="52" t="s">
        <v>1</v>
      </c>
      <c r="AE2615" s="52" t="s">
        <v>385</v>
      </c>
      <c r="AF2615" s="155" t="s">
        <v>247</v>
      </c>
      <c r="AG2615" s="155" t="s">
        <v>247</v>
      </c>
    </row>
    <row r="2616" spans="25:33">
      <c r="Y2616" s="47">
        <v>7031</v>
      </c>
      <c r="Z2616" s="52" t="s">
        <v>407</v>
      </c>
      <c r="AA2616" s="52" t="s">
        <v>247</v>
      </c>
      <c r="AB2616" s="52" t="s">
        <v>247</v>
      </c>
      <c r="AC2616" s="52" t="s">
        <v>247</v>
      </c>
      <c r="AD2616" s="52" t="s">
        <v>1</v>
      </c>
      <c r="AE2616" s="52" t="s">
        <v>385</v>
      </c>
      <c r="AF2616" s="155" t="s">
        <v>247</v>
      </c>
      <c r="AG2616" s="155" t="s">
        <v>247</v>
      </c>
    </row>
    <row r="2617" spans="25:33">
      <c r="Y2617" s="47">
        <v>7032</v>
      </c>
      <c r="Z2617" s="52" t="s">
        <v>407</v>
      </c>
      <c r="AA2617" s="52" t="s">
        <v>247</v>
      </c>
      <c r="AB2617" s="52" t="s">
        <v>247</v>
      </c>
      <c r="AC2617" s="52" t="s">
        <v>247</v>
      </c>
      <c r="AD2617" s="52" t="s">
        <v>1</v>
      </c>
      <c r="AE2617" s="52" t="s">
        <v>385</v>
      </c>
      <c r="AF2617" s="155" t="s">
        <v>247</v>
      </c>
      <c r="AG2617" s="155" t="s">
        <v>247</v>
      </c>
    </row>
    <row r="2618" spans="25:33">
      <c r="Y2618" s="47">
        <v>7033</v>
      </c>
      <c r="Z2618" s="52" t="s">
        <v>407</v>
      </c>
      <c r="AA2618" s="52" t="s">
        <v>247</v>
      </c>
      <c r="AB2618" s="52" t="s">
        <v>247</v>
      </c>
      <c r="AC2618" s="52" t="s">
        <v>247</v>
      </c>
      <c r="AD2618" s="52" t="s">
        <v>1</v>
      </c>
      <c r="AE2618" s="52" t="s">
        <v>385</v>
      </c>
      <c r="AF2618" s="155" t="s">
        <v>247</v>
      </c>
      <c r="AG2618" s="155" t="s">
        <v>247</v>
      </c>
    </row>
    <row r="2619" spans="25:33">
      <c r="Y2619" s="47">
        <v>7034</v>
      </c>
      <c r="Z2619" s="52" t="s">
        <v>407</v>
      </c>
      <c r="AA2619" s="52" t="s">
        <v>247</v>
      </c>
      <c r="AB2619" s="52" t="s">
        <v>247</v>
      </c>
      <c r="AC2619" s="52" t="s">
        <v>247</v>
      </c>
      <c r="AD2619" s="52" t="s">
        <v>1</v>
      </c>
      <c r="AE2619" s="52" t="s">
        <v>385</v>
      </c>
      <c r="AF2619" s="155" t="s">
        <v>247</v>
      </c>
      <c r="AG2619" s="155" t="s">
        <v>247</v>
      </c>
    </row>
    <row r="2620" spans="25:33">
      <c r="Y2620" s="47">
        <v>7035</v>
      </c>
      <c r="Z2620" s="52" t="s">
        <v>407</v>
      </c>
      <c r="AA2620" s="52" t="s">
        <v>247</v>
      </c>
      <c r="AB2620" s="52" t="s">
        <v>247</v>
      </c>
      <c r="AC2620" s="52" t="s">
        <v>247</v>
      </c>
      <c r="AD2620" s="52" t="s">
        <v>1</v>
      </c>
      <c r="AE2620" s="52" t="s">
        <v>385</v>
      </c>
      <c r="AF2620" s="155" t="s">
        <v>247</v>
      </c>
      <c r="AG2620" s="155" t="s">
        <v>247</v>
      </c>
    </row>
    <row r="2621" spans="25:33">
      <c r="Y2621" s="47">
        <v>7036</v>
      </c>
      <c r="Z2621" s="52" t="s">
        <v>407</v>
      </c>
      <c r="AA2621" s="52" t="s">
        <v>247</v>
      </c>
      <c r="AB2621" s="52" t="s">
        <v>247</v>
      </c>
      <c r="AC2621" s="52" t="s">
        <v>247</v>
      </c>
      <c r="AD2621" s="52" t="s">
        <v>1</v>
      </c>
      <c r="AE2621" s="52" t="s">
        <v>385</v>
      </c>
      <c r="AF2621" s="155" t="s">
        <v>247</v>
      </c>
      <c r="AG2621" s="155" t="s">
        <v>247</v>
      </c>
    </row>
    <row r="2622" spans="25:33">
      <c r="Y2622" s="47">
        <v>7037</v>
      </c>
      <c r="Z2622" s="52" t="s">
        <v>407</v>
      </c>
      <c r="AA2622" s="52" t="s">
        <v>247</v>
      </c>
      <c r="AB2622" s="52" t="s">
        <v>247</v>
      </c>
      <c r="AC2622" s="52" t="s">
        <v>247</v>
      </c>
      <c r="AD2622" s="52" t="s">
        <v>1</v>
      </c>
      <c r="AE2622" s="52" t="s">
        <v>385</v>
      </c>
      <c r="AF2622" s="155" t="s">
        <v>247</v>
      </c>
      <c r="AG2622" s="155" t="s">
        <v>247</v>
      </c>
    </row>
    <row r="2623" spans="25:33">
      <c r="Y2623" s="47">
        <v>7038</v>
      </c>
      <c r="Z2623" s="52" t="s">
        <v>407</v>
      </c>
      <c r="AA2623" s="52" t="s">
        <v>247</v>
      </c>
      <c r="AB2623" s="52" t="s">
        <v>247</v>
      </c>
      <c r="AC2623" s="52" t="s">
        <v>247</v>
      </c>
      <c r="AD2623" s="52" t="s">
        <v>1</v>
      </c>
      <c r="AE2623" s="52" t="s">
        <v>385</v>
      </c>
      <c r="AF2623" s="155" t="s">
        <v>247</v>
      </c>
      <c r="AG2623" s="155" t="s">
        <v>247</v>
      </c>
    </row>
    <row r="2624" spans="25:33">
      <c r="Y2624" s="47">
        <v>7039</v>
      </c>
      <c r="Z2624" s="52" t="s">
        <v>407</v>
      </c>
      <c r="AA2624" s="52" t="s">
        <v>247</v>
      </c>
      <c r="AB2624" s="52" t="s">
        <v>247</v>
      </c>
      <c r="AC2624" s="52" t="s">
        <v>247</v>
      </c>
      <c r="AD2624" s="52" t="s">
        <v>1</v>
      </c>
      <c r="AE2624" s="52" t="s">
        <v>385</v>
      </c>
      <c r="AF2624" s="155" t="s">
        <v>247</v>
      </c>
      <c r="AG2624" s="155" t="s">
        <v>247</v>
      </c>
    </row>
    <row r="2625" spans="25:33">
      <c r="Y2625" s="47">
        <v>7040</v>
      </c>
      <c r="Z2625" s="52" t="s">
        <v>407</v>
      </c>
      <c r="AA2625" s="52" t="s">
        <v>247</v>
      </c>
      <c r="AB2625" s="52" t="s">
        <v>247</v>
      </c>
      <c r="AC2625" s="52" t="s">
        <v>247</v>
      </c>
      <c r="AD2625" s="52" t="s">
        <v>1</v>
      </c>
      <c r="AE2625" s="52" t="s">
        <v>385</v>
      </c>
      <c r="AF2625" s="155" t="s">
        <v>247</v>
      </c>
      <c r="AG2625" s="155" t="s">
        <v>247</v>
      </c>
    </row>
    <row r="2626" spans="25:33">
      <c r="Y2626" s="47">
        <v>7041</v>
      </c>
      <c r="Z2626" s="52" t="s">
        <v>407</v>
      </c>
      <c r="AA2626" s="52" t="s">
        <v>247</v>
      </c>
      <c r="AB2626" s="52" t="s">
        <v>247</v>
      </c>
      <c r="AC2626" s="52" t="s">
        <v>247</v>
      </c>
      <c r="AD2626" s="52" t="s">
        <v>1</v>
      </c>
      <c r="AE2626" s="52" t="s">
        <v>385</v>
      </c>
      <c r="AF2626" s="155" t="s">
        <v>247</v>
      </c>
      <c r="AG2626" s="155" t="s">
        <v>247</v>
      </c>
    </row>
    <row r="2627" spans="25:33">
      <c r="Y2627" s="47">
        <v>7042</v>
      </c>
      <c r="Z2627" s="52" t="s">
        <v>407</v>
      </c>
      <c r="AA2627" s="52" t="s">
        <v>247</v>
      </c>
      <c r="AB2627" s="52" t="s">
        <v>247</v>
      </c>
      <c r="AC2627" s="52" t="s">
        <v>247</v>
      </c>
      <c r="AD2627" s="52" t="s">
        <v>1</v>
      </c>
      <c r="AE2627" s="52" t="s">
        <v>385</v>
      </c>
      <c r="AF2627" s="155" t="s">
        <v>247</v>
      </c>
      <c r="AG2627" s="155" t="s">
        <v>247</v>
      </c>
    </row>
    <row r="2628" spans="25:33">
      <c r="Y2628" s="47">
        <v>7043</v>
      </c>
      <c r="Z2628" s="52" t="s">
        <v>407</v>
      </c>
      <c r="AA2628" s="52" t="s">
        <v>247</v>
      </c>
      <c r="AB2628" s="52" t="s">
        <v>247</v>
      </c>
      <c r="AC2628" s="52" t="s">
        <v>247</v>
      </c>
      <c r="AD2628" s="52" t="s">
        <v>1</v>
      </c>
      <c r="AE2628" s="52" t="s">
        <v>385</v>
      </c>
      <c r="AF2628" s="155" t="s">
        <v>247</v>
      </c>
      <c r="AG2628" s="155" t="s">
        <v>247</v>
      </c>
    </row>
    <row r="2629" spans="25:33">
      <c r="Y2629" s="47">
        <v>7044</v>
      </c>
      <c r="Z2629" s="52" t="s">
        <v>407</v>
      </c>
      <c r="AA2629" s="52" t="s">
        <v>247</v>
      </c>
      <c r="AB2629" s="52" t="s">
        <v>247</v>
      </c>
      <c r="AC2629" s="52" t="s">
        <v>247</v>
      </c>
      <c r="AD2629" s="52" t="s">
        <v>1</v>
      </c>
      <c r="AE2629" s="52" t="s">
        <v>385</v>
      </c>
      <c r="AF2629" s="155" t="s">
        <v>247</v>
      </c>
      <c r="AG2629" s="155" t="s">
        <v>247</v>
      </c>
    </row>
    <row r="2630" spans="25:33">
      <c r="Y2630" s="47">
        <v>7045</v>
      </c>
      <c r="Z2630" s="52" t="s">
        <v>407</v>
      </c>
      <c r="AA2630" s="52" t="s">
        <v>247</v>
      </c>
      <c r="AB2630" s="52" t="s">
        <v>247</v>
      </c>
      <c r="AC2630" s="52" t="s">
        <v>247</v>
      </c>
      <c r="AD2630" s="52" t="s">
        <v>1</v>
      </c>
      <c r="AE2630" s="52" t="s">
        <v>385</v>
      </c>
      <c r="AF2630" s="155" t="s">
        <v>247</v>
      </c>
      <c r="AG2630" s="155" t="s">
        <v>247</v>
      </c>
    </row>
    <row r="2631" spans="25:33">
      <c r="Y2631" s="47">
        <v>7046</v>
      </c>
      <c r="Z2631" s="52" t="s">
        <v>407</v>
      </c>
      <c r="AA2631" s="52" t="s">
        <v>247</v>
      </c>
      <c r="AB2631" s="52" t="s">
        <v>247</v>
      </c>
      <c r="AC2631" s="52" t="s">
        <v>247</v>
      </c>
      <c r="AD2631" s="52" t="s">
        <v>1</v>
      </c>
      <c r="AE2631" s="52" t="s">
        <v>385</v>
      </c>
      <c r="AF2631" s="155" t="s">
        <v>247</v>
      </c>
      <c r="AG2631" s="155" t="s">
        <v>247</v>
      </c>
    </row>
    <row r="2632" spans="25:33">
      <c r="Y2632" s="47">
        <v>7047</v>
      </c>
      <c r="Z2632" s="52" t="s">
        <v>407</v>
      </c>
      <c r="AA2632" s="52" t="s">
        <v>247</v>
      </c>
      <c r="AB2632" s="52" t="s">
        <v>247</v>
      </c>
      <c r="AC2632" s="52" t="s">
        <v>247</v>
      </c>
      <c r="AD2632" s="52" t="s">
        <v>1</v>
      </c>
      <c r="AE2632" s="52" t="s">
        <v>385</v>
      </c>
      <c r="AF2632" s="155" t="s">
        <v>247</v>
      </c>
      <c r="AG2632" s="155" t="s">
        <v>247</v>
      </c>
    </row>
    <row r="2633" spans="25:33">
      <c r="Y2633" s="47">
        <v>7048</v>
      </c>
      <c r="Z2633" s="52" t="s">
        <v>407</v>
      </c>
      <c r="AA2633" s="52" t="s">
        <v>247</v>
      </c>
      <c r="AB2633" s="52" t="s">
        <v>247</v>
      </c>
      <c r="AC2633" s="52" t="s">
        <v>247</v>
      </c>
      <c r="AD2633" s="52" t="s">
        <v>1</v>
      </c>
      <c r="AE2633" s="52" t="s">
        <v>385</v>
      </c>
      <c r="AF2633" s="155" t="s">
        <v>247</v>
      </c>
      <c r="AG2633" s="155" t="s">
        <v>247</v>
      </c>
    </row>
    <row r="2634" spans="25:33">
      <c r="Y2634" s="47">
        <v>7049</v>
      </c>
      <c r="Z2634" s="52" t="s">
        <v>407</v>
      </c>
      <c r="AA2634" s="52" t="s">
        <v>247</v>
      </c>
      <c r="AB2634" s="52" t="s">
        <v>247</v>
      </c>
      <c r="AC2634" s="52" t="s">
        <v>247</v>
      </c>
      <c r="AD2634" s="52" t="s">
        <v>1</v>
      </c>
      <c r="AE2634" s="52" t="s">
        <v>385</v>
      </c>
      <c r="AF2634" s="155" t="s">
        <v>247</v>
      </c>
      <c r="AG2634" s="155" t="s">
        <v>247</v>
      </c>
    </row>
    <row r="2635" spans="25:33">
      <c r="Y2635" s="47">
        <v>7050</v>
      </c>
      <c r="Z2635" s="52" t="s">
        <v>407</v>
      </c>
      <c r="AA2635" s="52" t="s">
        <v>247</v>
      </c>
      <c r="AB2635" s="52" t="s">
        <v>247</v>
      </c>
      <c r="AC2635" s="52" t="s">
        <v>247</v>
      </c>
      <c r="AD2635" s="52" t="s">
        <v>1</v>
      </c>
      <c r="AE2635" s="52" t="s">
        <v>385</v>
      </c>
      <c r="AF2635" s="155" t="s">
        <v>247</v>
      </c>
      <c r="AG2635" s="155" t="s">
        <v>247</v>
      </c>
    </row>
    <row r="2636" spans="25:33">
      <c r="Y2636" s="47">
        <v>7051</v>
      </c>
      <c r="Z2636" s="52" t="s">
        <v>407</v>
      </c>
      <c r="AA2636" s="52" t="s">
        <v>247</v>
      </c>
      <c r="AB2636" s="52" t="s">
        <v>247</v>
      </c>
      <c r="AC2636" s="52" t="s">
        <v>247</v>
      </c>
      <c r="AD2636" s="52" t="s">
        <v>1</v>
      </c>
      <c r="AE2636" s="52" t="s">
        <v>385</v>
      </c>
      <c r="AF2636" s="155" t="s">
        <v>247</v>
      </c>
      <c r="AG2636" s="155" t="s">
        <v>247</v>
      </c>
    </row>
    <row r="2637" spans="25:33">
      <c r="Y2637" s="47">
        <v>7052</v>
      </c>
      <c r="Z2637" s="52" t="s">
        <v>407</v>
      </c>
      <c r="AA2637" s="52" t="s">
        <v>247</v>
      </c>
      <c r="AB2637" s="52" t="s">
        <v>247</v>
      </c>
      <c r="AC2637" s="52" t="s">
        <v>247</v>
      </c>
      <c r="AD2637" s="52" t="s">
        <v>1</v>
      </c>
      <c r="AE2637" s="52" t="s">
        <v>385</v>
      </c>
      <c r="AF2637" s="155" t="s">
        <v>247</v>
      </c>
      <c r="AG2637" s="155" t="s">
        <v>247</v>
      </c>
    </row>
    <row r="2638" spans="25:33">
      <c r="Y2638" s="47">
        <v>7053</v>
      </c>
      <c r="Z2638" s="52" t="s">
        <v>407</v>
      </c>
      <c r="AA2638" s="52" t="s">
        <v>247</v>
      </c>
      <c r="AB2638" s="52" t="s">
        <v>247</v>
      </c>
      <c r="AC2638" s="52" t="s">
        <v>247</v>
      </c>
      <c r="AD2638" s="52" t="s">
        <v>1</v>
      </c>
      <c r="AE2638" s="52" t="s">
        <v>385</v>
      </c>
      <c r="AF2638" s="155" t="s">
        <v>247</v>
      </c>
      <c r="AG2638" s="155" t="s">
        <v>247</v>
      </c>
    </row>
    <row r="2639" spans="25:33">
      <c r="Y2639" s="47">
        <v>7054</v>
      </c>
      <c r="Z2639" s="52" t="s">
        <v>407</v>
      </c>
      <c r="AA2639" s="52" t="s">
        <v>247</v>
      </c>
      <c r="AB2639" s="52" t="s">
        <v>247</v>
      </c>
      <c r="AC2639" s="52" t="s">
        <v>247</v>
      </c>
      <c r="AD2639" s="52" t="s">
        <v>1</v>
      </c>
      <c r="AE2639" s="52" t="s">
        <v>385</v>
      </c>
      <c r="AF2639" s="155" t="s">
        <v>247</v>
      </c>
      <c r="AG2639" s="155" t="s">
        <v>247</v>
      </c>
    </row>
    <row r="2640" spans="25:33">
      <c r="Y2640" s="47">
        <v>7055</v>
      </c>
      <c r="Z2640" s="52" t="s">
        <v>407</v>
      </c>
      <c r="AA2640" s="52" t="s">
        <v>247</v>
      </c>
      <c r="AB2640" s="52" t="s">
        <v>247</v>
      </c>
      <c r="AC2640" s="52" t="s">
        <v>247</v>
      </c>
      <c r="AD2640" s="52" t="s">
        <v>1</v>
      </c>
      <c r="AE2640" s="52" t="s">
        <v>385</v>
      </c>
      <c r="AF2640" s="155" t="s">
        <v>247</v>
      </c>
      <c r="AG2640" s="155" t="s">
        <v>247</v>
      </c>
    </row>
    <row r="2641" spans="25:33">
      <c r="Y2641" s="47">
        <v>7056</v>
      </c>
      <c r="Z2641" s="52" t="s">
        <v>407</v>
      </c>
      <c r="AA2641" s="52" t="s">
        <v>247</v>
      </c>
      <c r="AB2641" s="52" t="s">
        <v>247</v>
      </c>
      <c r="AC2641" s="52" t="s">
        <v>247</v>
      </c>
      <c r="AD2641" s="52" t="s">
        <v>1</v>
      </c>
      <c r="AE2641" s="52" t="s">
        <v>385</v>
      </c>
      <c r="AF2641" s="155" t="s">
        <v>247</v>
      </c>
      <c r="AG2641" s="155" t="s">
        <v>247</v>
      </c>
    </row>
    <row r="2642" spans="25:33">
      <c r="Y2642" s="47">
        <v>7057</v>
      </c>
      <c r="Z2642" s="52" t="s">
        <v>407</v>
      </c>
      <c r="AA2642" s="52" t="s">
        <v>247</v>
      </c>
      <c r="AB2642" s="52" t="s">
        <v>247</v>
      </c>
      <c r="AC2642" s="52" t="s">
        <v>247</v>
      </c>
      <c r="AD2642" s="52" t="s">
        <v>1</v>
      </c>
      <c r="AE2642" s="52" t="s">
        <v>385</v>
      </c>
      <c r="AF2642" s="155" t="s">
        <v>247</v>
      </c>
      <c r="AG2642" s="155" t="s">
        <v>247</v>
      </c>
    </row>
    <row r="2643" spans="25:33">
      <c r="Y2643" s="47">
        <v>7058</v>
      </c>
      <c r="Z2643" s="52" t="s">
        <v>407</v>
      </c>
      <c r="AA2643" s="52" t="s">
        <v>247</v>
      </c>
      <c r="AB2643" s="52" t="s">
        <v>247</v>
      </c>
      <c r="AC2643" s="52" t="s">
        <v>247</v>
      </c>
      <c r="AD2643" s="52" t="s">
        <v>1</v>
      </c>
      <c r="AE2643" s="52" t="s">
        <v>385</v>
      </c>
      <c r="AF2643" s="155" t="s">
        <v>247</v>
      </c>
      <c r="AG2643" s="155" t="s">
        <v>247</v>
      </c>
    </row>
    <row r="2644" spans="25:33">
      <c r="Y2644" s="47">
        <v>7059</v>
      </c>
      <c r="Z2644" s="52" t="s">
        <v>407</v>
      </c>
      <c r="AA2644" s="52" t="s">
        <v>247</v>
      </c>
      <c r="AB2644" s="52" t="s">
        <v>247</v>
      </c>
      <c r="AC2644" s="52" t="s">
        <v>247</v>
      </c>
      <c r="AD2644" s="52" t="s">
        <v>1</v>
      </c>
      <c r="AE2644" s="52" t="s">
        <v>385</v>
      </c>
      <c r="AF2644" s="155" t="s">
        <v>247</v>
      </c>
      <c r="AG2644" s="155" t="s">
        <v>247</v>
      </c>
    </row>
    <row r="2645" spans="25:33">
      <c r="Y2645" s="47">
        <v>7060</v>
      </c>
      <c r="Z2645" s="52" t="s">
        <v>407</v>
      </c>
      <c r="AA2645" s="52" t="s">
        <v>247</v>
      </c>
      <c r="AB2645" s="52" t="s">
        <v>247</v>
      </c>
      <c r="AC2645" s="52" t="s">
        <v>247</v>
      </c>
      <c r="AD2645" s="52" t="s">
        <v>1</v>
      </c>
      <c r="AE2645" s="52" t="s">
        <v>385</v>
      </c>
      <c r="AF2645" s="155" t="s">
        <v>247</v>
      </c>
      <c r="AG2645" s="155" t="s">
        <v>247</v>
      </c>
    </row>
    <row r="2646" spans="25:33">
      <c r="Y2646" s="47">
        <v>7061</v>
      </c>
      <c r="Z2646" s="52" t="s">
        <v>407</v>
      </c>
      <c r="AA2646" s="52" t="s">
        <v>247</v>
      </c>
      <c r="AB2646" s="52" t="s">
        <v>247</v>
      </c>
      <c r="AC2646" s="52" t="s">
        <v>247</v>
      </c>
      <c r="AD2646" s="52" t="s">
        <v>1</v>
      </c>
      <c r="AE2646" s="52" t="s">
        <v>385</v>
      </c>
      <c r="AF2646" s="155" t="s">
        <v>247</v>
      </c>
      <c r="AG2646" s="155" t="s">
        <v>247</v>
      </c>
    </row>
    <row r="2647" spans="25:33">
      <c r="Y2647" s="47">
        <v>7062</v>
      </c>
      <c r="Z2647" s="52" t="s">
        <v>407</v>
      </c>
      <c r="AA2647" s="52" t="s">
        <v>247</v>
      </c>
      <c r="AB2647" s="52" t="s">
        <v>247</v>
      </c>
      <c r="AC2647" s="52" t="s">
        <v>247</v>
      </c>
      <c r="AD2647" s="52" t="s">
        <v>1</v>
      </c>
      <c r="AE2647" s="52" t="s">
        <v>385</v>
      </c>
      <c r="AF2647" s="155" t="s">
        <v>247</v>
      </c>
      <c r="AG2647" s="155" t="s">
        <v>247</v>
      </c>
    </row>
    <row r="2648" spans="25:33">
      <c r="Y2648" s="47">
        <v>7063</v>
      </c>
      <c r="Z2648" s="52" t="s">
        <v>407</v>
      </c>
      <c r="AA2648" s="52" t="s">
        <v>247</v>
      </c>
      <c r="AB2648" s="52" t="s">
        <v>247</v>
      </c>
      <c r="AC2648" s="52" t="s">
        <v>247</v>
      </c>
      <c r="AD2648" s="52" t="s">
        <v>1</v>
      </c>
      <c r="AE2648" s="52" t="s">
        <v>385</v>
      </c>
      <c r="AF2648" s="155" t="s">
        <v>247</v>
      </c>
      <c r="AG2648" s="155" t="s">
        <v>247</v>
      </c>
    </row>
    <row r="2649" spans="25:33">
      <c r="Y2649" s="47">
        <v>7064</v>
      </c>
      <c r="Z2649" s="52" t="s">
        <v>407</v>
      </c>
      <c r="AA2649" s="52" t="s">
        <v>247</v>
      </c>
      <c r="AB2649" s="52" t="s">
        <v>247</v>
      </c>
      <c r="AC2649" s="52" t="s">
        <v>247</v>
      </c>
      <c r="AD2649" s="52" t="s">
        <v>1</v>
      </c>
      <c r="AE2649" s="52" t="s">
        <v>385</v>
      </c>
      <c r="AF2649" s="155" t="s">
        <v>247</v>
      </c>
      <c r="AG2649" s="155" t="s">
        <v>247</v>
      </c>
    </row>
    <row r="2650" spans="25:33">
      <c r="Y2650" s="47">
        <v>7065</v>
      </c>
      <c r="Z2650" s="52" t="s">
        <v>407</v>
      </c>
      <c r="AA2650" s="52" t="s">
        <v>247</v>
      </c>
      <c r="AB2650" s="52" t="s">
        <v>247</v>
      </c>
      <c r="AC2650" s="52" t="s">
        <v>247</v>
      </c>
      <c r="AD2650" s="52" t="s">
        <v>1</v>
      </c>
      <c r="AE2650" s="52" t="s">
        <v>385</v>
      </c>
      <c r="AF2650" s="155" t="s">
        <v>247</v>
      </c>
      <c r="AG2650" s="155" t="s">
        <v>247</v>
      </c>
    </row>
    <row r="2651" spans="25:33">
      <c r="Y2651" s="47">
        <v>7066</v>
      </c>
      <c r="Z2651" s="52" t="s">
        <v>407</v>
      </c>
      <c r="AA2651" s="52" t="s">
        <v>247</v>
      </c>
      <c r="AB2651" s="52" t="s">
        <v>247</v>
      </c>
      <c r="AC2651" s="52" t="s">
        <v>247</v>
      </c>
      <c r="AD2651" s="52" t="s">
        <v>1</v>
      </c>
      <c r="AE2651" s="52" t="s">
        <v>385</v>
      </c>
      <c r="AF2651" s="155" t="s">
        <v>247</v>
      </c>
      <c r="AG2651" s="155" t="s">
        <v>247</v>
      </c>
    </row>
    <row r="2652" spans="25:33">
      <c r="Y2652" s="47">
        <v>7067</v>
      </c>
      <c r="Z2652" s="52" t="s">
        <v>407</v>
      </c>
      <c r="AA2652" s="52" t="s">
        <v>247</v>
      </c>
      <c r="AB2652" s="52" t="s">
        <v>247</v>
      </c>
      <c r="AC2652" s="52" t="s">
        <v>247</v>
      </c>
      <c r="AD2652" s="52" t="s">
        <v>1</v>
      </c>
      <c r="AE2652" s="52" t="s">
        <v>385</v>
      </c>
      <c r="AF2652" s="155" t="s">
        <v>247</v>
      </c>
      <c r="AG2652" s="155" t="s">
        <v>247</v>
      </c>
    </row>
    <row r="2653" spans="25:33">
      <c r="Y2653" s="47">
        <v>7068</v>
      </c>
      <c r="Z2653" s="52" t="s">
        <v>407</v>
      </c>
      <c r="AA2653" s="52" t="s">
        <v>247</v>
      </c>
      <c r="AB2653" s="52" t="s">
        <v>247</v>
      </c>
      <c r="AC2653" s="52" t="s">
        <v>247</v>
      </c>
      <c r="AD2653" s="52" t="s">
        <v>1</v>
      </c>
      <c r="AE2653" s="52" t="s">
        <v>385</v>
      </c>
      <c r="AF2653" s="155" t="s">
        <v>247</v>
      </c>
      <c r="AG2653" s="155" t="s">
        <v>247</v>
      </c>
    </row>
    <row r="2654" spans="25:33">
      <c r="Y2654" s="47">
        <v>7069</v>
      </c>
      <c r="Z2654" s="52" t="s">
        <v>407</v>
      </c>
      <c r="AA2654" s="52" t="s">
        <v>247</v>
      </c>
      <c r="AB2654" s="52" t="s">
        <v>247</v>
      </c>
      <c r="AC2654" s="52" t="s">
        <v>247</v>
      </c>
      <c r="AD2654" s="52" t="s">
        <v>1</v>
      </c>
      <c r="AE2654" s="52" t="s">
        <v>385</v>
      </c>
      <c r="AF2654" s="155" t="s">
        <v>247</v>
      </c>
      <c r="AG2654" s="155" t="s">
        <v>247</v>
      </c>
    </row>
    <row r="2655" spans="25:33">
      <c r="Y2655" s="47">
        <v>7070</v>
      </c>
      <c r="Z2655" s="52" t="s">
        <v>407</v>
      </c>
      <c r="AA2655" s="52" t="s">
        <v>247</v>
      </c>
      <c r="AB2655" s="52" t="s">
        <v>247</v>
      </c>
      <c r="AC2655" s="52" t="s">
        <v>247</v>
      </c>
      <c r="AD2655" s="52" t="s">
        <v>1</v>
      </c>
      <c r="AE2655" s="52" t="s">
        <v>385</v>
      </c>
      <c r="AF2655" s="155" t="s">
        <v>247</v>
      </c>
      <c r="AG2655" s="155" t="s">
        <v>247</v>
      </c>
    </row>
    <row r="2656" spans="25:33">
      <c r="Y2656" s="47">
        <v>7071</v>
      </c>
      <c r="Z2656" s="52" t="s">
        <v>407</v>
      </c>
      <c r="AA2656" s="52" t="s">
        <v>247</v>
      </c>
      <c r="AB2656" s="52" t="s">
        <v>247</v>
      </c>
      <c r="AC2656" s="52" t="s">
        <v>247</v>
      </c>
      <c r="AD2656" s="52" t="s">
        <v>1</v>
      </c>
      <c r="AE2656" s="52" t="s">
        <v>385</v>
      </c>
      <c r="AF2656" s="155" t="s">
        <v>247</v>
      </c>
      <c r="AG2656" s="155" t="s">
        <v>247</v>
      </c>
    </row>
    <row r="2657" spans="25:33">
      <c r="Y2657" s="47">
        <v>7072</v>
      </c>
      <c r="Z2657" s="52" t="s">
        <v>407</v>
      </c>
      <c r="AA2657" s="52" t="s">
        <v>247</v>
      </c>
      <c r="AB2657" s="52" t="s">
        <v>247</v>
      </c>
      <c r="AC2657" s="52" t="s">
        <v>247</v>
      </c>
      <c r="AD2657" s="52" t="s">
        <v>1</v>
      </c>
      <c r="AE2657" s="52" t="s">
        <v>385</v>
      </c>
      <c r="AF2657" s="155" t="s">
        <v>247</v>
      </c>
      <c r="AG2657" s="155" t="s">
        <v>247</v>
      </c>
    </row>
    <row r="2658" spans="25:33">
      <c r="Y2658" s="47">
        <v>7073</v>
      </c>
      <c r="Z2658" s="52" t="s">
        <v>407</v>
      </c>
      <c r="AA2658" s="52" t="s">
        <v>247</v>
      </c>
      <c r="AB2658" s="52" t="s">
        <v>247</v>
      </c>
      <c r="AC2658" s="52" t="s">
        <v>247</v>
      </c>
      <c r="AD2658" s="52" t="s">
        <v>1</v>
      </c>
      <c r="AE2658" s="52" t="s">
        <v>385</v>
      </c>
      <c r="AF2658" s="155" t="s">
        <v>247</v>
      </c>
      <c r="AG2658" s="155" t="s">
        <v>247</v>
      </c>
    </row>
    <row r="2659" spans="25:33">
      <c r="Y2659" s="47">
        <v>7074</v>
      </c>
      <c r="Z2659" s="52" t="s">
        <v>407</v>
      </c>
      <c r="AA2659" s="52" t="s">
        <v>247</v>
      </c>
      <c r="AB2659" s="52" t="s">
        <v>247</v>
      </c>
      <c r="AC2659" s="52" t="s">
        <v>247</v>
      </c>
      <c r="AD2659" s="52" t="s">
        <v>1</v>
      </c>
      <c r="AE2659" s="52" t="s">
        <v>385</v>
      </c>
      <c r="AF2659" s="155" t="s">
        <v>247</v>
      </c>
      <c r="AG2659" s="155" t="s">
        <v>247</v>
      </c>
    </row>
    <row r="2660" spans="25:33">
      <c r="Y2660" s="47">
        <v>7075</v>
      </c>
      <c r="Z2660" s="52" t="s">
        <v>407</v>
      </c>
      <c r="AA2660" s="52" t="s">
        <v>247</v>
      </c>
      <c r="AB2660" s="52" t="s">
        <v>247</v>
      </c>
      <c r="AC2660" s="52" t="s">
        <v>247</v>
      </c>
      <c r="AD2660" s="52" t="s">
        <v>1</v>
      </c>
      <c r="AE2660" s="52" t="s">
        <v>385</v>
      </c>
      <c r="AF2660" s="155" t="s">
        <v>247</v>
      </c>
      <c r="AG2660" s="155" t="s">
        <v>247</v>
      </c>
    </row>
    <row r="2661" spans="25:33">
      <c r="Y2661" s="47">
        <v>7076</v>
      </c>
      <c r="Z2661" s="52" t="s">
        <v>407</v>
      </c>
      <c r="AA2661" s="52" t="s">
        <v>247</v>
      </c>
      <c r="AB2661" s="52" t="s">
        <v>247</v>
      </c>
      <c r="AC2661" s="52" t="s">
        <v>247</v>
      </c>
      <c r="AD2661" s="52" t="s">
        <v>1</v>
      </c>
      <c r="AE2661" s="52" t="s">
        <v>385</v>
      </c>
      <c r="AF2661" s="155" t="s">
        <v>247</v>
      </c>
      <c r="AG2661" s="155" t="s">
        <v>247</v>
      </c>
    </row>
    <row r="2662" spans="25:33">
      <c r="Y2662" s="47">
        <v>7077</v>
      </c>
      <c r="Z2662" s="52" t="s">
        <v>407</v>
      </c>
      <c r="AA2662" s="52" t="s">
        <v>247</v>
      </c>
      <c r="AB2662" s="52" t="s">
        <v>247</v>
      </c>
      <c r="AC2662" s="52" t="s">
        <v>247</v>
      </c>
      <c r="AD2662" s="52" t="s">
        <v>1</v>
      </c>
      <c r="AE2662" s="52" t="s">
        <v>385</v>
      </c>
      <c r="AF2662" s="155" t="s">
        <v>247</v>
      </c>
      <c r="AG2662" s="155" t="s">
        <v>247</v>
      </c>
    </row>
    <row r="2663" spans="25:33">
      <c r="Y2663" s="47">
        <v>7078</v>
      </c>
      <c r="Z2663" s="52" t="s">
        <v>407</v>
      </c>
      <c r="AA2663" s="52" t="s">
        <v>247</v>
      </c>
      <c r="AB2663" s="52" t="s">
        <v>247</v>
      </c>
      <c r="AC2663" s="52" t="s">
        <v>247</v>
      </c>
      <c r="AD2663" s="52" t="s">
        <v>1</v>
      </c>
      <c r="AE2663" s="52" t="s">
        <v>385</v>
      </c>
      <c r="AF2663" s="155" t="s">
        <v>247</v>
      </c>
      <c r="AG2663" s="155" t="s">
        <v>247</v>
      </c>
    </row>
    <row r="2664" spans="25:33">
      <c r="Y2664" s="47">
        <v>7079</v>
      </c>
      <c r="Z2664" s="52" t="s">
        <v>407</v>
      </c>
      <c r="AA2664" s="52" t="s">
        <v>247</v>
      </c>
      <c r="AB2664" s="52" t="s">
        <v>247</v>
      </c>
      <c r="AC2664" s="52" t="s">
        <v>247</v>
      </c>
      <c r="AD2664" s="52" t="s">
        <v>1</v>
      </c>
      <c r="AE2664" s="52" t="s">
        <v>385</v>
      </c>
      <c r="AF2664" s="155" t="s">
        <v>247</v>
      </c>
      <c r="AG2664" s="155" t="s">
        <v>247</v>
      </c>
    </row>
    <row r="2665" spans="25:33">
      <c r="Y2665" s="47">
        <v>7080</v>
      </c>
      <c r="Z2665" s="52" t="s">
        <v>407</v>
      </c>
      <c r="AA2665" s="52" t="s">
        <v>247</v>
      </c>
      <c r="AB2665" s="52" t="s">
        <v>247</v>
      </c>
      <c r="AC2665" s="52" t="s">
        <v>247</v>
      </c>
      <c r="AD2665" s="52" t="s">
        <v>1</v>
      </c>
      <c r="AE2665" s="52" t="s">
        <v>385</v>
      </c>
      <c r="AF2665" s="155" t="s">
        <v>247</v>
      </c>
      <c r="AG2665" s="155" t="s">
        <v>247</v>
      </c>
    </row>
    <row r="2666" spans="25:33">
      <c r="Y2666" s="47">
        <v>7081</v>
      </c>
      <c r="Z2666" s="52" t="s">
        <v>407</v>
      </c>
      <c r="AA2666" s="52" t="s">
        <v>247</v>
      </c>
      <c r="AB2666" s="52" t="s">
        <v>247</v>
      </c>
      <c r="AC2666" s="52" t="s">
        <v>247</v>
      </c>
      <c r="AD2666" s="52" t="s">
        <v>1</v>
      </c>
      <c r="AE2666" s="52" t="s">
        <v>385</v>
      </c>
      <c r="AF2666" s="155" t="s">
        <v>247</v>
      </c>
      <c r="AG2666" s="155" t="s">
        <v>247</v>
      </c>
    </row>
    <row r="2667" spans="25:33">
      <c r="Y2667" s="47">
        <v>7082</v>
      </c>
      <c r="Z2667" s="52" t="s">
        <v>407</v>
      </c>
      <c r="AA2667" s="52" t="s">
        <v>247</v>
      </c>
      <c r="AB2667" s="52" t="s">
        <v>247</v>
      </c>
      <c r="AC2667" s="52" t="s">
        <v>247</v>
      </c>
      <c r="AD2667" s="52" t="s">
        <v>1</v>
      </c>
      <c r="AE2667" s="52" t="s">
        <v>385</v>
      </c>
      <c r="AF2667" s="155" t="s">
        <v>247</v>
      </c>
      <c r="AG2667" s="155" t="s">
        <v>247</v>
      </c>
    </row>
    <row r="2668" spans="25:33">
      <c r="Y2668" s="47">
        <v>7083</v>
      </c>
      <c r="Z2668" s="52" t="s">
        <v>407</v>
      </c>
      <c r="AA2668" s="52" t="s">
        <v>247</v>
      </c>
      <c r="AB2668" s="52" t="s">
        <v>247</v>
      </c>
      <c r="AC2668" s="52" t="s">
        <v>247</v>
      </c>
      <c r="AD2668" s="52" t="s">
        <v>1</v>
      </c>
      <c r="AE2668" s="52" t="s">
        <v>385</v>
      </c>
      <c r="AF2668" s="155" t="s">
        <v>247</v>
      </c>
      <c r="AG2668" s="155" t="s">
        <v>247</v>
      </c>
    </row>
    <row r="2669" spans="25:33">
      <c r="Y2669" s="47">
        <v>7084</v>
      </c>
      <c r="Z2669" s="52" t="s">
        <v>407</v>
      </c>
      <c r="AA2669" s="52" t="s">
        <v>247</v>
      </c>
      <c r="AB2669" s="52" t="s">
        <v>247</v>
      </c>
      <c r="AC2669" s="52" t="s">
        <v>247</v>
      </c>
      <c r="AD2669" s="52" t="s">
        <v>1</v>
      </c>
      <c r="AE2669" s="52" t="s">
        <v>385</v>
      </c>
      <c r="AF2669" s="155" t="s">
        <v>247</v>
      </c>
      <c r="AG2669" s="155" t="s">
        <v>247</v>
      </c>
    </row>
    <row r="2670" spans="25:33">
      <c r="Y2670" s="47">
        <v>7085</v>
      </c>
      <c r="Z2670" s="52" t="s">
        <v>407</v>
      </c>
      <c r="AA2670" s="52" t="s">
        <v>247</v>
      </c>
      <c r="AB2670" s="52" t="s">
        <v>247</v>
      </c>
      <c r="AC2670" s="52" t="s">
        <v>247</v>
      </c>
      <c r="AD2670" s="52" t="s">
        <v>1</v>
      </c>
      <c r="AE2670" s="52" t="s">
        <v>385</v>
      </c>
      <c r="AF2670" s="155" t="s">
        <v>247</v>
      </c>
      <c r="AG2670" s="155" t="s">
        <v>247</v>
      </c>
    </row>
    <row r="2671" spans="25:33">
      <c r="Y2671" s="47">
        <v>7086</v>
      </c>
      <c r="Z2671" s="52" t="s">
        <v>407</v>
      </c>
      <c r="AA2671" s="52" t="s">
        <v>247</v>
      </c>
      <c r="AB2671" s="52" t="s">
        <v>247</v>
      </c>
      <c r="AC2671" s="52" t="s">
        <v>247</v>
      </c>
      <c r="AD2671" s="52" t="s">
        <v>1</v>
      </c>
      <c r="AE2671" s="52" t="s">
        <v>385</v>
      </c>
      <c r="AF2671" s="155" t="s">
        <v>247</v>
      </c>
      <c r="AG2671" s="155" t="s">
        <v>247</v>
      </c>
    </row>
    <row r="2672" spans="25:33">
      <c r="Y2672" s="47">
        <v>7087</v>
      </c>
      <c r="Z2672" s="52" t="s">
        <v>407</v>
      </c>
      <c r="AA2672" s="52" t="s">
        <v>247</v>
      </c>
      <c r="AB2672" s="52" t="s">
        <v>247</v>
      </c>
      <c r="AC2672" s="52" t="s">
        <v>247</v>
      </c>
      <c r="AD2672" s="52" t="s">
        <v>1</v>
      </c>
      <c r="AE2672" s="52" t="s">
        <v>385</v>
      </c>
      <c r="AF2672" s="155" t="s">
        <v>247</v>
      </c>
      <c r="AG2672" s="155" t="s">
        <v>247</v>
      </c>
    </row>
    <row r="2673" spans="25:33">
      <c r="Y2673" s="47">
        <v>7088</v>
      </c>
      <c r="Z2673" s="52" t="s">
        <v>407</v>
      </c>
      <c r="AA2673" s="52" t="s">
        <v>247</v>
      </c>
      <c r="AB2673" s="52" t="s">
        <v>247</v>
      </c>
      <c r="AC2673" s="52" t="s">
        <v>247</v>
      </c>
      <c r="AD2673" s="52" t="s">
        <v>1</v>
      </c>
      <c r="AE2673" s="52" t="s">
        <v>385</v>
      </c>
      <c r="AF2673" s="155" t="s">
        <v>247</v>
      </c>
      <c r="AG2673" s="155" t="s">
        <v>247</v>
      </c>
    </row>
    <row r="2674" spans="25:33">
      <c r="Y2674" s="47">
        <v>7089</v>
      </c>
      <c r="Z2674" s="52" t="s">
        <v>407</v>
      </c>
      <c r="AA2674" s="52" t="s">
        <v>247</v>
      </c>
      <c r="AB2674" s="52" t="s">
        <v>247</v>
      </c>
      <c r="AC2674" s="52" t="s">
        <v>247</v>
      </c>
      <c r="AD2674" s="52" t="s">
        <v>1</v>
      </c>
      <c r="AE2674" s="52" t="s">
        <v>385</v>
      </c>
      <c r="AF2674" s="155" t="s">
        <v>247</v>
      </c>
      <c r="AG2674" s="155" t="s">
        <v>247</v>
      </c>
    </row>
    <row r="2675" spans="25:33">
      <c r="Y2675" s="47">
        <v>7090</v>
      </c>
      <c r="Z2675" s="52" t="s">
        <v>407</v>
      </c>
      <c r="AA2675" s="52" t="s">
        <v>247</v>
      </c>
      <c r="AB2675" s="52" t="s">
        <v>247</v>
      </c>
      <c r="AC2675" s="52" t="s">
        <v>247</v>
      </c>
      <c r="AD2675" s="52" t="s">
        <v>1</v>
      </c>
      <c r="AE2675" s="52" t="s">
        <v>385</v>
      </c>
      <c r="AF2675" s="155" t="s">
        <v>247</v>
      </c>
      <c r="AG2675" s="155" t="s">
        <v>247</v>
      </c>
    </row>
    <row r="2676" spans="25:33">
      <c r="Y2676" s="47">
        <v>7091</v>
      </c>
      <c r="Z2676" s="52" t="s">
        <v>407</v>
      </c>
      <c r="AA2676" s="52" t="s">
        <v>247</v>
      </c>
      <c r="AB2676" s="52" t="s">
        <v>247</v>
      </c>
      <c r="AC2676" s="52" t="s">
        <v>247</v>
      </c>
      <c r="AD2676" s="52" t="s">
        <v>1</v>
      </c>
      <c r="AE2676" s="52" t="s">
        <v>385</v>
      </c>
      <c r="AF2676" s="155" t="s">
        <v>247</v>
      </c>
      <c r="AG2676" s="155" t="s">
        <v>247</v>
      </c>
    </row>
    <row r="2677" spans="25:33">
      <c r="Y2677" s="47">
        <v>7092</v>
      </c>
      <c r="Z2677" s="52" t="s">
        <v>407</v>
      </c>
      <c r="AA2677" s="52" t="s">
        <v>247</v>
      </c>
      <c r="AB2677" s="52" t="s">
        <v>247</v>
      </c>
      <c r="AC2677" s="52" t="s">
        <v>247</v>
      </c>
      <c r="AD2677" s="52" t="s">
        <v>1</v>
      </c>
      <c r="AE2677" s="52" t="s">
        <v>385</v>
      </c>
      <c r="AF2677" s="155" t="s">
        <v>247</v>
      </c>
      <c r="AG2677" s="155" t="s">
        <v>247</v>
      </c>
    </row>
    <row r="2678" spans="25:33">
      <c r="Y2678" s="47">
        <v>7093</v>
      </c>
      <c r="Z2678" s="52" t="s">
        <v>407</v>
      </c>
      <c r="AA2678" s="52" t="s">
        <v>247</v>
      </c>
      <c r="AB2678" s="52" t="s">
        <v>247</v>
      </c>
      <c r="AC2678" s="52" t="s">
        <v>247</v>
      </c>
      <c r="AD2678" s="52" t="s">
        <v>1</v>
      </c>
      <c r="AE2678" s="52" t="s">
        <v>385</v>
      </c>
      <c r="AF2678" s="155" t="s">
        <v>247</v>
      </c>
      <c r="AG2678" s="155" t="s">
        <v>247</v>
      </c>
    </row>
    <row r="2679" spans="25:33">
      <c r="Y2679" s="47">
        <v>7094</v>
      </c>
      <c r="Z2679" s="52" t="s">
        <v>407</v>
      </c>
      <c r="AA2679" s="52" t="s">
        <v>247</v>
      </c>
      <c r="AB2679" s="52" t="s">
        <v>247</v>
      </c>
      <c r="AC2679" s="52" t="s">
        <v>247</v>
      </c>
      <c r="AD2679" s="52" t="s">
        <v>1</v>
      </c>
      <c r="AE2679" s="52" t="s">
        <v>385</v>
      </c>
      <c r="AF2679" s="155" t="s">
        <v>247</v>
      </c>
      <c r="AG2679" s="155" t="s">
        <v>247</v>
      </c>
    </row>
    <row r="2680" spans="25:33">
      <c r="Y2680" s="47">
        <v>7095</v>
      </c>
      <c r="Z2680" s="52" t="s">
        <v>407</v>
      </c>
      <c r="AA2680" s="52" t="s">
        <v>247</v>
      </c>
      <c r="AB2680" s="52" t="s">
        <v>247</v>
      </c>
      <c r="AC2680" s="52" t="s">
        <v>247</v>
      </c>
      <c r="AD2680" s="52" t="s">
        <v>1</v>
      </c>
      <c r="AE2680" s="52" t="s">
        <v>385</v>
      </c>
      <c r="AF2680" s="155" t="s">
        <v>247</v>
      </c>
      <c r="AG2680" s="155" t="s">
        <v>247</v>
      </c>
    </row>
    <row r="2681" spans="25:33">
      <c r="Y2681" s="47">
        <v>7096</v>
      </c>
      <c r="Z2681" s="52" t="s">
        <v>407</v>
      </c>
      <c r="AA2681" s="52" t="s">
        <v>247</v>
      </c>
      <c r="AB2681" s="52" t="s">
        <v>247</v>
      </c>
      <c r="AC2681" s="52" t="s">
        <v>247</v>
      </c>
      <c r="AD2681" s="52" t="s">
        <v>1</v>
      </c>
      <c r="AE2681" s="52" t="s">
        <v>385</v>
      </c>
      <c r="AF2681" s="155" t="s">
        <v>247</v>
      </c>
      <c r="AG2681" s="155" t="s">
        <v>247</v>
      </c>
    </row>
    <row r="2682" spans="25:33">
      <c r="Y2682" s="47">
        <v>7097</v>
      </c>
      <c r="Z2682" s="52" t="s">
        <v>407</v>
      </c>
      <c r="AA2682" s="52" t="s">
        <v>247</v>
      </c>
      <c r="AB2682" s="52" t="s">
        <v>247</v>
      </c>
      <c r="AC2682" s="52" t="s">
        <v>247</v>
      </c>
      <c r="AD2682" s="52" t="s">
        <v>1</v>
      </c>
      <c r="AE2682" s="52" t="s">
        <v>385</v>
      </c>
      <c r="AF2682" s="155" t="s">
        <v>247</v>
      </c>
      <c r="AG2682" s="155" t="s">
        <v>247</v>
      </c>
    </row>
    <row r="2683" spans="25:33">
      <c r="Y2683" s="47">
        <v>7098</v>
      </c>
      <c r="Z2683" s="52" t="s">
        <v>407</v>
      </c>
      <c r="AA2683" s="52" t="s">
        <v>247</v>
      </c>
      <c r="AB2683" s="52" t="s">
        <v>247</v>
      </c>
      <c r="AC2683" s="52" t="s">
        <v>247</v>
      </c>
      <c r="AD2683" s="52" t="s">
        <v>1</v>
      </c>
      <c r="AE2683" s="52" t="s">
        <v>385</v>
      </c>
      <c r="AF2683" s="155" t="s">
        <v>247</v>
      </c>
      <c r="AG2683" s="155" t="s">
        <v>247</v>
      </c>
    </row>
    <row r="2684" spans="25:33">
      <c r="Y2684" s="47">
        <v>7099</v>
      </c>
      <c r="Z2684" s="52" t="s">
        <v>407</v>
      </c>
      <c r="AA2684" s="52" t="s">
        <v>247</v>
      </c>
      <c r="AB2684" s="52" t="s">
        <v>247</v>
      </c>
      <c r="AC2684" s="52" t="s">
        <v>247</v>
      </c>
      <c r="AD2684" s="52" t="s">
        <v>1</v>
      </c>
      <c r="AE2684" s="52" t="s">
        <v>385</v>
      </c>
      <c r="AF2684" s="155" t="s">
        <v>247</v>
      </c>
      <c r="AG2684" s="155" t="s">
        <v>247</v>
      </c>
    </row>
    <row r="2685" spans="25:33">
      <c r="Y2685" s="47">
        <v>7100</v>
      </c>
      <c r="Z2685" s="52" t="s">
        <v>407</v>
      </c>
      <c r="AA2685" s="52" t="s">
        <v>247</v>
      </c>
      <c r="AB2685" s="52" t="s">
        <v>247</v>
      </c>
      <c r="AC2685" s="52" t="s">
        <v>247</v>
      </c>
      <c r="AD2685" s="52" t="s">
        <v>1</v>
      </c>
      <c r="AE2685" s="52" t="s">
        <v>385</v>
      </c>
      <c r="AF2685" s="155" t="s">
        <v>247</v>
      </c>
      <c r="AG2685" s="155" t="s">
        <v>247</v>
      </c>
    </row>
    <row r="2686" spans="25:33">
      <c r="Y2686" s="47">
        <v>7101</v>
      </c>
      <c r="Z2686" s="52" t="s">
        <v>407</v>
      </c>
      <c r="AA2686" s="52" t="s">
        <v>247</v>
      </c>
      <c r="AB2686" s="52" t="s">
        <v>247</v>
      </c>
      <c r="AC2686" s="52" t="s">
        <v>247</v>
      </c>
      <c r="AD2686" s="52" t="s">
        <v>1</v>
      </c>
      <c r="AE2686" s="52" t="s">
        <v>385</v>
      </c>
      <c r="AF2686" s="155" t="s">
        <v>247</v>
      </c>
      <c r="AG2686" s="155" t="s">
        <v>247</v>
      </c>
    </row>
    <row r="2687" spans="25:33">
      <c r="Y2687" s="47">
        <v>7102</v>
      </c>
      <c r="Z2687" s="52" t="s">
        <v>407</v>
      </c>
      <c r="AA2687" s="52" t="s">
        <v>247</v>
      </c>
      <c r="AB2687" s="52" t="s">
        <v>247</v>
      </c>
      <c r="AC2687" s="52" t="s">
        <v>247</v>
      </c>
      <c r="AD2687" s="52" t="s">
        <v>1</v>
      </c>
      <c r="AE2687" s="52" t="s">
        <v>385</v>
      </c>
      <c r="AF2687" s="155" t="s">
        <v>247</v>
      </c>
      <c r="AG2687" s="155" t="s">
        <v>247</v>
      </c>
    </row>
    <row r="2688" spans="25:33">
      <c r="Y2688" s="47">
        <v>7103</v>
      </c>
      <c r="Z2688" s="52" t="s">
        <v>407</v>
      </c>
      <c r="AA2688" s="52" t="s">
        <v>247</v>
      </c>
      <c r="AB2688" s="52" t="s">
        <v>247</v>
      </c>
      <c r="AC2688" s="52" t="s">
        <v>247</v>
      </c>
      <c r="AD2688" s="52" t="s">
        <v>1</v>
      </c>
      <c r="AE2688" s="52" t="s">
        <v>385</v>
      </c>
      <c r="AF2688" s="155" t="s">
        <v>247</v>
      </c>
      <c r="AG2688" s="155" t="s">
        <v>247</v>
      </c>
    </row>
    <row r="2689" spans="25:33">
      <c r="Y2689" s="47">
        <v>7104</v>
      </c>
      <c r="Z2689" s="52" t="s">
        <v>407</v>
      </c>
      <c r="AA2689" s="52" t="s">
        <v>247</v>
      </c>
      <c r="AB2689" s="52" t="s">
        <v>247</v>
      </c>
      <c r="AC2689" s="52" t="s">
        <v>247</v>
      </c>
      <c r="AD2689" s="52" t="s">
        <v>1</v>
      </c>
      <c r="AE2689" s="52" t="s">
        <v>385</v>
      </c>
      <c r="AF2689" s="155" t="s">
        <v>247</v>
      </c>
      <c r="AG2689" s="155" t="s">
        <v>247</v>
      </c>
    </row>
    <row r="2690" spans="25:33">
      <c r="Y2690" s="47">
        <v>7105</v>
      </c>
      <c r="Z2690" s="52" t="s">
        <v>407</v>
      </c>
      <c r="AA2690" s="52" t="s">
        <v>247</v>
      </c>
      <c r="AB2690" s="52" t="s">
        <v>247</v>
      </c>
      <c r="AC2690" s="52" t="s">
        <v>247</v>
      </c>
      <c r="AD2690" s="52" t="s">
        <v>1</v>
      </c>
      <c r="AE2690" s="52" t="s">
        <v>385</v>
      </c>
      <c r="AF2690" s="155" t="s">
        <v>247</v>
      </c>
      <c r="AG2690" s="155" t="s">
        <v>247</v>
      </c>
    </row>
    <row r="2691" spans="25:33">
      <c r="Y2691" s="47">
        <v>7106</v>
      </c>
      <c r="Z2691" s="52" t="s">
        <v>407</v>
      </c>
      <c r="AA2691" s="52" t="s">
        <v>247</v>
      </c>
      <c r="AB2691" s="52" t="s">
        <v>247</v>
      </c>
      <c r="AC2691" s="52" t="s">
        <v>247</v>
      </c>
      <c r="AD2691" s="52" t="s">
        <v>1</v>
      </c>
      <c r="AE2691" s="52" t="s">
        <v>385</v>
      </c>
      <c r="AF2691" s="155" t="s">
        <v>247</v>
      </c>
      <c r="AG2691" s="155" t="s">
        <v>247</v>
      </c>
    </row>
    <row r="2692" spans="25:33">
      <c r="Y2692" s="47">
        <v>7107</v>
      </c>
      <c r="Z2692" s="52" t="s">
        <v>407</v>
      </c>
      <c r="AA2692" s="52" t="s">
        <v>247</v>
      </c>
      <c r="AB2692" s="52" t="s">
        <v>247</v>
      </c>
      <c r="AC2692" s="52" t="s">
        <v>247</v>
      </c>
      <c r="AD2692" s="52" t="s">
        <v>1</v>
      </c>
      <c r="AE2692" s="52" t="s">
        <v>385</v>
      </c>
      <c r="AF2692" s="155" t="s">
        <v>247</v>
      </c>
      <c r="AG2692" s="155" t="s">
        <v>247</v>
      </c>
    </row>
    <row r="2693" spans="25:33">
      <c r="Y2693" s="47">
        <v>7108</v>
      </c>
      <c r="Z2693" s="52" t="s">
        <v>407</v>
      </c>
      <c r="AA2693" s="52" t="s">
        <v>247</v>
      </c>
      <c r="AB2693" s="52" t="s">
        <v>247</v>
      </c>
      <c r="AC2693" s="52" t="s">
        <v>247</v>
      </c>
      <c r="AD2693" s="52" t="s">
        <v>1</v>
      </c>
      <c r="AE2693" s="52" t="s">
        <v>385</v>
      </c>
      <c r="AF2693" s="155" t="s">
        <v>247</v>
      </c>
      <c r="AG2693" s="155" t="s">
        <v>247</v>
      </c>
    </row>
    <row r="2694" spans="25:33">
      <c r="Y2694" s="47">
        <v>7109</v>
      </c>
      <c r="Z2694" s="52" t="s">
        <v>407</v>
      </c>
      <c r="AA2694" s="52" t="s">
        <v>247</v>
      </c>
      <c r="AB2694" s="52" t="s">
        <v>247</v>
      </c>
      <c r="AC2694" s="52" t="s">
        <v>247</v>
      </c>
      <c r="AD2694" s="52" t="s">
        <v>1</v>
      </c>
      <c r="AE2694" s="52" t="s">
        <v>385</v>
      </c>
      <c r="AF2694" s="155" t="s">
        <v>247</v>
      </c>
      <c r="AG2694" s="155" t="s">
        <v>247</v>
      </c>
    </row>
    <row r="2695" spans="25:33">
      <c r="Y2695" s="47">
        <v>7110</v>
      </c>
      <c r="Z2695" s="52" t="s">
        <v>407</v>
      </c>
      <c r="AA2695" s="52" t="s">
        <v>247</v>
      </c>
      <c r="AB2695" s="52" t="s">
        <v>247</v>
      </c>
      <c r="AC2695" s="52" t="s">
        <v>247</v>
      </c>
      <c r="AD2695" s="52" t="s">
        <v>1</v>
      </c>
      <c r="AE2695" s="52" t="s">
        <v>385</v>
      </c>
      <c r="AF2695" s="155" t="s">
        <v>247</v>
      </c>
      <c r="AG2695" s="155" t="s">
        <v>247</v>
      </c>
    </row>
    <row r="2696" spans="25:33">
      <c r="Y2696" s="47">
        <v>7111</v>
      </c>
      <c r="Z2696" s="52" t="s">
        <v>407</v>
      </c>
      <c r="AA2696" s="52" t="s">
        <v>247</v>
      </c>
      <c r="AB2696" s="52" t="s">
        <v>247</v>
      </c>
      <c r="AC2696" s="52" t="s">
        <v>247</v>
      </c>
      <c r="AD2696" s="52" t="s">
        <v>1</v>
      </c>
      <c r="AE2696" s="52" t="s">
        <v>385</v>
      </c>
      <c r="AF2696" s="155" t="s">
        <v>247</v>
      </c>
      <c r="AG2696" s="155" t="s">
        <v>247</v>
      </c>
    </row>
    <row r="2697" spans="25:33">
      <c r="Y2697" s="47">
        <v>7112</v>
      </c>
      <c r="Z2697" s="52" t="s">
        <v>407</v>
      </c>
      <c r="AA2697" s="52" t="s">
        <v>247</v>
      </c>
      <c r="AB2697" s="52" t="s">
        <v>247</v>
      </c>
      <c r="AC2697" s="52" t="s">
        <v>247</v>
      </c>
      <c r="AD2697" s="52" t="s">
        <v>1</v>
      </c>
      <c r="AE2697" s="52" t="s">
        <v>385</v>
      </c>
      <c r="AF2697" s="155" t="s">
        <v>247</v>
      </c>
      <c r="AG2697" s="155" t="s">
        <v>247</v>
      </c>
    </row>
    <row r="2698" spans="25:33">
      <c r="Y2698" s="47">
        <v>7113</v>
      </c>
      <c r="Z2698" s="52" t="s">
        <v>407</v>
      </c>
      <c r="AA2698" s="52" t="s">
        <v>247</v>
      </c>
      <c r="AB2698" s="52" t="s">
        <v>247</v>
      </c>
      <c r="AC2698" s="52" t="s">
        <v>247</v>
      </c>
      <c r="AD2698" s="52" t="s">
        <v>1</v>
      </c>
      <c r="AE2698" s="52" t="s">
        <v>385</v>
      </c>
      <c r="AF2698" s="155" t="s">
        <v>247</v>
      </c>
      <c r="AG2698" s="155" t="s">
        <v>247</v>
      </c>
    </row>
    <row r="2699" spans="25:33">
      <c r="Y2699" s="47">
        <v>7114</v>
      </c>
      <c r="Z2699" s="52" t="s">
        <v>407</v>
      </c>
      <c r="AA2699" s="52" t="s">
        <v>247</v>
      </c>
      <c r="AB2699" s="52" t="s">
        <v>247</v>
      </c>
      <c r="AC2699" s="52" t="s">
        <v>247</v>
      </c>
      <c r="AD2699" s="52" t="s">
        <v>1</v>
      </c>
      <c r="AE2699" s="52" t="s">
        <v>385</v>
      </c>
      <c r="AF2699" s="155" t="s">
        <v>247</v>
      </c>
      <c r="AG2699" s="155" t="s">
        <v>247</v>
      </c>
    </row>
    <row r="2700" spans="25:33">
      <c r="Y2700" s="47">
        <v>7115</v>
      </c>
      <c r="Z2700" s="52" t="s">
        <v>407</v>
      </c>
      <c r="AA2700" s="52" t="s">
        <v>247</v>
      </c>
      <c r="AB2700" s="52" t="s">
        <v>247</v>
      </c>
      <c r="AC2700" s="52" t="s">
        <v>247</v>
      </c>
      <c r="AD2700" s="52" t="s">
        <v>1</v>
      </c>
      <c r="AE2700" s="52" t="s">
        <v>385</v>
      </c>
      <c r="AF2700" s="155" t="s">
        <v>247</v>
      </c>
      <c r="AG2700" s="155" t="s">
        <v>247</v>
      </c>
    </row>
    <row r="2701" spans="25:33">
      <c r="Y2701" s="47">
        <v>7116</v>
      </c>
      <c r="Z2701" s="52" t="s">
        <v>407</v>
      </c>
      <c r="AA2701" s="52" t="s">
        <v>247</v>
      </c>
      <c r="AB2701" s="52" t="s">
        <v>247</v>
      </c>
      <c r="AC2701" s="52" t="s">
        <v>247</v>
      </c>
      <c r="AD2701" s="52" t="s">
        <v>1</v>
      </c>
      <c r="AE2701" s="52" t="s">
        <v>385</v>
      </c>
      <c r="AF2701" s="155" t="s">
        <v>247</v>
      </c>
      <c r="AG2701" s="155" t="s">
        <v>247</v>
      </c>
    </row>
    <row r="2702" spans="25:33">
      <c r="Y2702" s="47">
        <v>7117</v>
      </c>
      <c r="Z2702" s="52" t="s">
        <v>407</v>
      </c>
      <c r="AA2702" s="52" t="s">
        <v>247</v>
      </c>
      <c r="AB2702" s="52" t="s">
        <v>247</v>
      </c>
      <c r="AC2702" s="52" t="s">
        <v>247</v>
      </c>
      <c r="AD2702" s="52" t="s">
        <v>1</v>
      </c>
      <c r="AE2702" s="52" t="s">
        <v>385</v>
      </c>
      <c r="AF2702" s="155" t="s">
        <v>247</v>
      </c>
      <c r="AG2702" s="155" t="s">
        <v>247</v>
      </c>
    </row>
    <row r="2703" spans="25:33">
      <c r="Y2703" s="47">
        <v>7118</v>
      </c>
      <c r="Z2703" s="52" t="s">
        <v>407</v>
      </c>
      <c r="AA2703" s="52" t="s">
        <v>247</v>
      </c>
      <c r="AB2703" s="52" t="s">
        <v>247</v>
      </c>
      <c r="AC2703" s="52" t="s">
        <v>247</v>
      </c>
      <c r="AD2703" s="52" t="s">
        <v>1</v>
      </c>
      <c r="AE2703" s="52" t="s">
        <v>385</v>
      </c>
      <c r="AF2703" s="155" t="s">
        <v>247</v>
      </c>
      <c r="AG2703" s="155" t="s">
        <v>247</v>
      </c>
    </row>
    <row r="2704" spans="25:33">
      <c r="Y2704" s="47">
        <v>7119</v>
      </c>
      <c r="Z2704" s="52" t="s">
        <v>407</v>
      </c>
      <c r="AA2704" s="52" t="s">
        <v>247</v>
      </c>
      <c r="AB2704" s="52" t="s">
        <v>247</v>
      </c>
      <c r="AC2704" s="52" t="s">
        <v>247</v>
      </c>
      <c r="AD2704" s="52" t="s">
        <v>1</v>
      </c>
      <c r="AE2704" s="52" t="s">
        <v>385</v>
      </c>
      <c r="AF2704" s="155" t="s">
        <v>247</v>
      </c>
      <c r="AG2704" s="155" t="s">
        <v>247</v>
      </c>
    </row>
    <row r="2705" spans="25:33">
      <c r="Y2705" s="47">
        <v>7120</v>
      </c>
      <c r="Z2705" s="52" t="s">
        <v>407</v>
      </c>
      <c r="AA2705" s="52" t="s">
        <v>247</v>
      </c>
      <c r="AB2705" s="52" t="s">
        <v>247</v>
      </c>
      <c r="AC2705" s="52" t="s">
        <v>247</v>
      </c>
      <c r="AD2705" s="52" t="s">
        <v>1</v>
      </c>
      <c r="AE2705" s="52" t="s">
        <v>385</v>
      </c>
      <c r="AF2705" s="155" t="s">
        <v>247</v>
      </c>
      <c r="AG2705" s="155" t="s">
        <v>247</v>
      </c>
    </row>
    <row r="2706" spans="25:33">
      <c r="Y2706" s="47">
        <v>7121</v>
      </c>
      <c r="Z2706" s="52" t="s">
        <v>407</v>
      </c>
      <c r="AA2706" s="52" t="s">
        <v>247</v>
      </c>
      <c r="AB2706" s="52" t="s">
        <v>247</v>
      </c>
      <c r="AC2706" s="52" t="s">
        <v>247</v>
      </c>
      <c r="AD2706" s="52" t="s">
        <v>1</v>
      </c>
      <c r="AE2706" s="52" t="s">
        <v>385</v>
      </c>
      <c r="AF2706" s="155" t="s">
        <v>247</v>
      </c>
      <c r="AG2706" s="155" t="s">
        <v>247</v>
      </c>
    </row>
    <row r="2707" spans="25:33">
      <c r="Y2707" s="47">
        <v>7122</v>
      </c>
      <c r="Z2707" s="52" t="s">
        <v>407</v>
      </c>
      <c r="AA2707" s="52" t="s">
        <v>247</v>
      </c>
      <c r="AB2707" s="52" t="s">
        <v>247</v>
      </c>
      <c r="AC2707" s="52" t="s">
        <v>247</v>
      </c>
      <c r="AD2707" s="52" t="s">
        <v>1</v>
      </c>
      <c r="AE2707" s="52" t="s">
        <v>385</v>
      </c>
      <c r="AF2707" s="155" t="s">
        <v>247</v>
      </c>
      <c r="AG2707" s="155" t="s">
        <v>247</v>
      </c>
    </row>
    <row r="2708" spans="25:33">
      <c r="Y2708" s="47">
        <v>7123</v>
      </c>
      <c r="Z2708" s="52" t="s">
        <v>407</v>
      </c>
      <c r="AA2708" s="52" t="s">
        <v>247</v>
      </c>
      <c r="AB2708" s="52" t="s">
        <v>247</v>
      </c>
      <c r="AC2708" s="52" t="s">
        <v>247</v>
      </c>
      <c r="AD2708" s="52" t="s">
        <v>1</v>
      </c>
      <c r="AE2708" s="52" t="s">
        <v>385</v>
      </c>
      <c r="AF2708" s="155" t="s">
        <v>247</v>
      </c>
      <c r="AG2708" s="155" t="s">
        <v>247</v>
      </c>
    </row>
    <row r="2709" spans="25:33">
      <c r="Y2709" s="47">
        <v>7124</v>
      </c>
      <c r="Z2709" s="52" t="s">
        <v>407</v>
      </c>
      <c r="AA2709" s="52" t="s">
        <v>247</v>
      </c>
      <c r="AB2709" s="52" t="s">
        <v>247</v>
      </c>
      <c r="AC2709" s="52" t="s">
        <v>247</v>
      </c>
      <c r="AD2709" s="52" t="s">
        <v>1</v>
      </c>
      <c r="AE2709" s="52" t="s">
        <v>385</v>
      </c>
      <c r="AF2709" s="155" t="s">
        <v>247</v>
      </c>
      <c r="AG2709" s="155" t="s">
        <v>247</v>
      </c>
    </row>
    <row r="2710" spans="25:33">
      <c r="Y2710" s="47">
        <v>7125</v>
      </c>
      <c r="Z2710" s="52" t="s">
        <v>407</v>
      </c>
      <c r="AA2710" s="52" t="s">
        <v>247</v>
      </c>
      <c r="AB2710" s="52" t="s">
        <v>247</v>
      </c>
      <c r="AC2710" s="52" t="s">
        <v>247</v>
      </c>
      <c r="AD2710" s="52" t="s">
        <v>1</v>
      </c>
      <c r="AE2710" s="52" t="s">
        <v>385</v>
      </c>
      <c r="AF2710" s="155" t="s">
        <v>247</v>
      </c>
      <c r="AG2710" s="155" t="s">
        <v>247</v>
      </c>
    </row>
    <row r="2711" spans="25:33">
      <c r="Y2711" s="47">
        <v>7126</v>
      </c>
      <c r="Z2711" s="52" t="s">
        <v>407</v>
      </c>
      <c r="AA2711" s="52" t="s">
        <v>247</v>
      </c>
      <c r="AB2711" s="52" t="s">
        <v>247</v>
      </c>
      <c r="AC2711" s="52" t="s">
        <v>247</v>
      </c>
      <c r="AD2711" s="52" t="s">
        <v>1</v>
      </c>
      <c r="AE2711" s="52" t="s">
        <v>385</v>
      </c>
      <c r="AF2711" s="155" t="s">
        <v>247</v>
      </c>
      <c r="AG2711" s="155" t="s">
        <v>247</v>
      </c>
    </row>
    <row r="2712" spans="25:33">
      <c r="Y2712" s="47">
        <v>7127</v>
      </c>
      <c r="Z2712" s="52" t="s">
        <v>407</v>
      </c>
      <c r="AA2712" s="52" t="s">
        <v>247</v>
      </c>
      <c r="AB2712" s="52" t="s">
        <v>247</v>
      </c>
      <c r="AC2712" s="52" t="s">
        <v>247</v>
      </c>
      <c r="AD2712" s="52" t="s">
        <v>1</v>
      </c>
      <c r="AE2712" s="52" t="s">
        <v>385</v>
      </c>
      <c r="AF2712" s="155" t="s">
        <v>247</v>
      </c>
      <c r="AG2712" s="155" t="s">
        <v>247</v>
      </c>
    </row>
    <row r="2713" spans="25:33">
      <c r="Y2713" s="47">
        <v>7128</v>
      </c>
      <c r="Z2713" s="52" t="s">
        <v>407</v>
      </c>
      <c r="AA2713" s="52" t="s">
        <v>247</v>
      </c>
      <c r="AB2713" s="52" t="s">
        <v>247</v>
      </c>
      <c r="AC2713" s="52" t="s">
        <v>247</v>
      </c>
      <c r="AD2713" s="52" t="s">
        <v>1</v>
      </c>
      <c r="AE2713" s="52" t="s">
        <v>385</v>
      </c>
      <c r="AF2713" s="155" t="s">
        <v>247</v>
      </c>
      <c r="AG2713" s="155" t="s">
        <v>247</v>
      </c>
    </row>
    <row r="2714" spans="25:33">
      <c r="Y2714" s="47">
        <v>7129</v>
      </c>
      <c r="Z2714" s="52" t="s">
        <v>407</v>
      </c>
      <c r="AA2714" s="52" t="s">
        <v>247</v>
      </c>
      <c r="AB2714" s="52" t="s">
        <v>247</v>
      </c>
      <c r="AC2714" s="52" t="s">
        <v>247</v>
      </c>
      <c r="AD2714" s="52" t="s">
        <v>1</v>
      </c>
      <c r="AE2714" s="52" t="s">
        <v>385</v>
      </c>
      <c r="AF2714" s="155" t="s">
        <v>247</v>
      </c>
      <c r="AG2714" s="155" t="s">
        <v>247</v>
      </c>
    </row>
    <row r="2715" spans="25:33">
      <c r="Y2715" s="47">
        <v>7130</v>
      </c>
      <c r="Z2715" s="52" t="s">
        <v>407</v>
      </c>
      <c r="AA2715" s="52" t="s">
        <v>247</v>
      </c>
      <c r="AB2715" s="52" t="s">
        <v>247</v>
      </c>
      <c r="AC2715" s="52" t="s">
        <v>247</v>
      </c>
      <c r="AD2715" s="52" t="s">
        <v>1</v>
      </c>
      <c r="AE2715" s="52" t="s">
        <v>385</v>
      </c>
      <c r="AF2715" s="155" t="s">
        <v>247</v>
      </c>
      <c r="AG2715" s="155" t="s">
        <v>247</v>
      </c>
    </row>
    <row r="2716" spans="25:33">
      <c r="Y2716" s="47">
        <v>7131</v>
      </c>
      <c r="Z2716" s="52" t="s">
        <v>407</v>
      </c>
      <c r="AA2716" s="52" t="s">
        <v>247</v>
      </c>
      <c r="AB2716" s="52" t="s">
        <v>247</v>
      </c>
      <c r="AC2716" s="52" t="s">
        <v>247</v>
      </c>
      <c r="AD2716" s="52" t="s">
        <v>1</v>
      </c>
      <c r="AE2716" s="52" t="s">
        <v>385</v>
      </c>
      <c r="AF2716" s="155" t="s">
        <v>247</v>
      </c>
      <c r="AG2716" s="155" t="s">
        <v>247</v>
      </c>
    </row>
    <row r="2717" spans="25:33">
      <c r="Y2717" s="47">
        <v>7132</v>
      </c>
      <c r="Z2717" s="52" t="s">
        <v>407</v>
      </c>
      <c r="AA2717" s="52" t="s">
        <v>247</v>
      </c>
      <c r="AB2717" s="52" t="s">
        <v>247</v>
      </c>
      <c r="AC2717" s="52" t="s">
        <v>247</v>
      </c>
      <c r="AD2717" s="52" t="s">
        <v>1</v>
      </c>
      <c r="AE2717" s="52" t="s">
        <v>385</v>
      </c>
      <c r="AF2717" s="155" t="s">
        <v>247</v>
      </c>
      <c r="AG2717" s="155" t="s">
        <v>247</v>
      </c>
    </row>
    <row r="2718" spans="25:33">
      <c r="Y2718" s="47">
        <v>7133</v>
      </c>
      <c r="Z2718" s="52" t="s">
        <v>407</v>
      </c>
      <c r="AA2718" s="52" t="s">
        <v>247</v>
      </c>
      <c r="AB2718" s="52" t="s">
        <v>247</v>
      </c>
      <c r="AC2718" s="52" t="s">
        <v>247</v>
      </c>
      <c r="AD2718" s="52" t="s">
        <v>1</v>
      </c>
      <c r="AE2718" s="52" t="s">
        <v>385</v>
      </c>
      <c r="AF2718" s="155" t="s">
        <v>247</v>
      </c>
      <c r="AG2718" s="155" t="s">
        <v>247</v>
      </c>
    </row>
    <row r="2719" spans="25:33">
      <c r="Y2719" s="47">
        <v>7134</v>
      </c>
      <c r="Z2719" s="52" t="s">
        <v>407</v>
      </c>
      <c r="AA2719" s="52" t="s">
        <v>247</v>
      </c>
      <c r="AB2719" s="52" t="s">
        <v>247</v>
      </c>
      <c r="AC2719" s="52" t="s">
        <v>247</v>
      </c>
      <c r="AD2719" s="52" t="s">
        <v>1</v>
      </c>
      <c r="AE2719" s="52" t="s">
        <v>385</v>
      </c>
      <c r="AF2719" s="155" t="s">
        <v>247</v>
      </c>
      <c r="AG2719" s="155" t="s">
        <v>247</v>
      </c>
    </row>
    <row r="2720" spans="25:33">
      <c r="Y2720" s="47">
        <v>7135</v>
      </c>
      <c r="Z2720" s="52" t="s">
        <v>407</v>
      </c>
      <c r="AA2720" s="52" t="s">
        <v>247</v>
      </c>
      <c r="AB2720" s="52" t="s">
        <v>247</v>
      </c>
      <c r="AC2720" s="52" t="s">
        <v>247</v>
      </c>
      <c r="AD2720" s="52" t="s">
        <v>1</v>
      </c>
      <c r="AE2720" s="52" t="s">
        <v>385</v>
      </c>
      <c r="AF2720" s="155" t="s">
        <v>247</v>
      </c>
      <c r="AG2720" s="155" t="s">
        <v>247</v>
      </c>
    </row>
    <row r="2721" spans="25:33">
      <c r="Y2721" s="47">
        <v>7136</v>
      </c>
      <c r="Z2721" s="52" t="s">
        <v>407</v>
      </c>
      <c r="AA2721" s="52" t="s">
        <v>247</v>
      </c>
      <c r="AB2721" s="52" t="s">
        <v>247</v>
      </c>
      <c r="AC2721" s="52" t="s">
        <v>247</v>
      </c>
      <c r="AD2721" s="52" t="s">
        <v>1</v>
      </c>
      <c r="AE2721" s="52" t="s">
        <v>385</v>
      </c>
      <c r="AF2721" s="155" t="s">
        <v>247</v>
      </c>
      <c r="AG2721" s="155" t="s">
        <v>247</v>
      </c>
    </row>
    <row r="2722" spans="25:33">
      <c r="Y2722" s="47">
        <v>7137</v>
      </c>
      <c r="Z2722" s="52" t="s">
        <v>407</v>
      </c>
      <c r="AA2722" s="52" t="s">
        <v>247</v>
      </c>
      <c r="AB2722" s="52" t="s">
        <v>247</v>
      </c>
      <c r="AC2722" s="52" t="s">
        <v>247</v>
      </c>
      <c r="AD2722" s="52" t="s">
        <v>1</v>
      </c>
      <c r="AE2722" s="52" t="s">
        <v>385</v>
      </c>
      <c r="AF2722" s="155" t="s">
        <v>247</v>
      </c>
      <c r="AG2722" s="155" t="s">
        <v>247</v>
      </c>
    </row>
    <row r="2723" spans="25:33">
      <c r="Y2723" s="47">
        <v>7138</v>
      </c>
      <c r="Z2723" s="52" t="s">
        <v>407</v>
      </c>
      <c r="AA2723" s="52" t="s">
        <v>247</v>
      </c>
      <c r="AB2723" s="52" t="s">
        <v>247</v>
      </c>
      <c r="AC2723" s="52" t="s">
        <v>247</v>
      </c>
      <c r="AD2723" s="52" t="s">
        <v>1</v>
      </c>
      <c r="AE2723" s="52" t="s">
        <v>385</v>
      </c>
      <c r="AF2723" s="155" t="s">
        <v>247</v>
      </c>
      <c r="AG2723" s="155" t="s">
        <v>247</v>
      </c>
    </row>
    <row r="2724" spans="25:33">
      <c r="Y2724" s="47">
        <v>7139</v>
      </c>
      <c r="Z2724" s="52" t="s">
        <v>407</v>
      </c>
      <c r="AA2724" s="52" t="s">
        <v>247</v>
      </c>
      <c r="AB2724" s="52" t="s">
        <v>247</v>
      </c>
      <c r="AC2724" s="52" t="s">
        <v>247</v>
      </c>
      <c r="AD2724" s="52" t="s">
        <v>1</v>
      </c>
      <c r="AE2724" s="52" t="s">
        <v>385</v>
      </c>
      <c r="AF2724" s="155" t="s">
        <v>247</v>
      </c>
      <c r="AG2724" s="155" t="s">
        <v>247</v>
      </c>
    </row>
    <row r="2725" spans="25:33">
      <c r="Y2725" s="47">
        <v>7140</v>
      </c>
      <c r="Z2725" s="52" t="s">
        <v>407</v>
      </c>
      <c r="AA2725" s="52" t="s">
        <v>247</v>
      </c>
      <c r="AB2725" s="52" t="s">
        <v>247</v>
      </c>
      <c r="AC2725" s="52" t="s">
        <v>247</v>
      </c>
      <c r="AD2725" s="52" t="s">
        <v>1</v>
      </c>
      <c r="AE2725" s="52" t="s">
        <v>385</v>
      </c>
      <c r="AF2725" s="155" t="s">
        <v>247</v>
      </c>
      <c r="AG2725" s="155" t="s">
        <v>247</v>
      </c>
    </row>
    <row r="2726" spans="25:33">
      <c r="Y2726" s="47">
        <v>7141</v>
      </c>
      <c r="Z2726" s="52" t="s">
        <v>407</v>
      </c>
      <c r="AA2726" s="52" t="s">
        <v>247</v>
      </c>
      <c r="AB2726" s="52" t="s">
        <v>247</v>
      </c>
      <c r="AC2726" s="52" t="s">
        <v>247</v>
      </c>
      <c r="AD2726" s="52" t="s">
        <v>1</v>
      </c>
      <c r="AE2726" s="52" t="s">
        <v>385</v>
      </c>
      <c r="AF2726" s="155" t="s">
        <v>247</v>
      </c>
      <c r="AG2726" s="155" t="s">
        <v>247</v>
      </c>
    </row>
    <row r="2727" spans="25:33">
      <c r="Y2727" s="47">
        <v>7142</v>
      </c>
      <c r="Z2727" s="52" t="s">
        <v>407</v>
      </c>
      <c r="AA2727" s="52" t="s">
        <v>247</v>
      </c>
      <c r="AB2727" s="52" t="s">
        <v>247</v>
      </c>
      <c r="AC2727" s="52" t="s">
        <v>247</v>
      </c>
      <c r="AD2727" s="52" t="s">
        <v>1</v>
      </c>
      <c r="AE2727" s="52" t="s">
        <v>385</v>
      </c>
      <c r="AF2727" s="155" t="s">
        <v>247</v>
      </c>
      <c r="AG2727" s="155" t="s">
        <v>247</v>
      </c>
    </row>
    <row r="2728" spans="25:33">
      <c r="Y2728" s="47">
        <v>7143</v>
      </c>
      <c r="Z2728" s="52" t="s">
        <v>407</v>
      </c>
      <c r="AA2728" s="52" t="s">
        <v>247</v>
      </c>
      <c r="AB2728" s="52" t="s">
        <v>247</v>
      </c>
      <c r="AC2728" s="52" t="s">
        <v>247</v>
      </c>
      <c r="AD2728" s="52" t="s">
        <v>1</v>
      </c>
      <c r="AE2728" s="52" t="s">
        <v>385</v>
      </c>
      <c r="AF2728" s="155" t="s">
        <v>247</v>
      </c>
      <c r="AG2728" s="155" t="s">
        <v>247</v>
      </c>
    </row>
    <row r="2729" spans="25:33">
      <c r="Y2729" s="47">
        <v>7144</v>
      </c>
      <c r="Z2729" s="52" t="s">
        <v>407</v>
      </c>
      <c r="AA2729" s="52" t="s">
        <v>247</v>
      </c>
      <c r="AB2729" s="52" t="s">
        <v>247</v>
      </c>
      <c r="AC2729" s="52" t="s">
        <v>247</v>
      </c>
      <c r="AD2729" s="52" t="s">
        <v>1</v>
      </c>
      <c r="AE2729" s="52" t="s">
        <v>385</v>
      </c>
      <c r="AF2729" s="155" t="s">
        <v>247</v>
      </c>
      <c r="AG2729" s="155" t="s">
        <v>247</v>
      </c>
    </row>
    <row r="2730" spans="25:33">
      <c r="Y2730" s="47">
        <v>7145</v>
      </c>
      <c r="Z2730" s="52" t="s">
        <v>407</v>
      </c>
      <c r="AA2730" s="52" t="s">
        <v>247</v>
      </c>
      <c r="AB2730" s="52" t="s">
        <v>247</v>
      </c>
      <c r="AC2730" s="52" t="s">
        <v>247</v>
      </c>
      <c r="AD2730" s="52" t="s">
        <v>1</v>
      </c>
      <c r="AE2730" s="52" t="s">
        <v>385</v>
      </c>
      <c r="AF2730" s="155" t="s">
        <v>247</v>
      </c>
      <c r="AG2730" s="155" t="s">
        <v>247</v>
      </c>
    </row>
    <row r="2731" spans="25:33">
      <c r="Y2731" s="47">
        <v>7146</v>
      </c>
      <c r="Z2731" s="52" t="s">
        <v>407</v>
      </c>
      <c r="AA2731" s="52" t="s">
        <v>247</v>
      </c>
      <c r="AB2731" s="52" t="s">
        <v>247</v>
      </c>
      <c r="AC2731" s="52" t="s">
        <v>247</v>
      </c>
      <c r="AD2731" s="52" t="s">
        <v>1</v>
      </c>
      <c r="AE2731" s="52" t="s">
        <v>385</v>
      </c>
      <c r="AF2731" s="155" t="s">
        <v>247</v>
      </c>
      <c r="AG2731" s="155" t="s">
        <v>247</v>
      </c>
    </row>
    <row r="2732" spans="25:33">
      <c r="Y2732" s="47">
        <v>7147</v>
      </c>
      <c r="Z2732" s="52" t="s">
        <v>407</v>
      </c>
      <c r="AA2732" s="52" t="s">
        <v>247</v>
      </c>
      <c r="AB2732" s="52" t="s">
        <v>247</v>
      </c>
      <c r="AC2732" s="52" t="s">
        <v>247</v>
      </c>
      <c r="AD2732" s="52" t="s">
        <v>1</v>
      </c>
      <c r="AE2732" s="52" t="s">
        <v>385</v>
      </c>
      <c r="AF2732" s="155" t="s">
        <v>247</v>
      </c>
      <c r="AG2732" s="155" t="s">
        <v>247</v>
      </c>
    </row>
    <row r="2733" spans="25:33">
      <c r="Y2733" s="47">
        <v>7148</v>
      </c>
      <c r="Z2733" s="52" t="s">
        <v>407</v>
      </c>
      <c r="AA2733" s="52" t="s">
        <v>247</v>
      </c>
      <c r="AB2733" s="52" t="s">
        <v>247</v>
      </c>
      <c r="AC2733" s="52" t="s">
        <v>247</v>
      </c>
      <c r="AD2733" s="52" t="s">
        <v>1</v>
      </c>
      <c r="AE2733" s="52" t="s">
        <v>385</v>
      </c>
      <c r="AF2733" s="155" t="s">
        <v>247</v>
      </c>
      <c r="AG2733" s="155" t="s">
        <v>247</v>
      </c>
    </row>
    <row r="2734" spans="25:33">
      <c r="Y2734" s="47">
        <v>7149</v>
      </c>
      <c r="Z2734" s="52" t="s">
        <v>407</v>
      </c>
      <c r="AA2734" s="52" t="s">
        <v>247</v>
      </c>
      <c r="AB2734" s="52" t="s">
        <v>247</v>
      </c>
      <c r="AC2734" s="52" t="s">
        <v>247</v>
      </c>
      <c r="AD2734" s="52" t="s">
        <v>1</v>
      </c>
      <c r="AE2734" s="52" t="s">
        <v>385</v>
      </c>
      <c r="AF2734" s="155" t="s">
        <v>247</v>
      </c>
      <c r="AG2734" s="155" t="s">
        <v>247</v>
      </c>
    </row>
    <row r="2735" spans="25:33">
      <c r="Y2735" s="47">
        <v>7150</v>
      </c>
      <c r="Z2735" s="52" t="s">
        <v>407</v>
      </c>
      <c r="AA2735" s="52" t="s">
        <v>247</v>
      </c>
      <c r="AB2735" s="52" t="s">
        <v>247</v>
      </c>
      <c r="AC2735" s="52" t="s">
        <v>247</v>
      </c>
      <c r="AD2735" s="52" t="s">
        <v>1</v>
      </c>
      <c r="AE2735" s="52" t="s">
        <v>385</v>
      </c>
      <c r="AF2735" s="155" t="s">
        <v>247</v>
      </c>
      <c r="AG2735" s="155" t="s">
        <v>247</v>
      </c>
    </row>
    <row r="2736" spans="25:33">
      <c r="Y2736" s="47">
        <v>7151</v>
      </c>
      <c r="Z2736" s="52" t="s">
        <v>407</v>
      </c>
      <c r="AA2736" s="52" t="s">
        <v>247</v>
      </c>
      <c r="AB2736" s="52" t="s">
        <v>247</v>
      </c>
      <c r="AC2736" s="52" t="s">
        <v>247</v>
      </c>
      <c r="AD2736" s="52" t="s">
        <v>1</v>
      </c>
      <c r="AE2736" s="52" t="s">
        <v>385</v>
      </c>
      <c r="AF2736" s="155" t="s">
        <v>247</v>
      </c>
      <c r="AG2736" s="155" t="s">
        <v>247</v>
      </c>
    </row>
    <row r="2737" spans="25:33">
      <c r="Y2737" s="47">
        <v>7152</v>
      </c>
      <c r="Z2737" s="52" t="s">
        <v>407</v>
      </c>
      <c r="AA2737" s="52" t="s">
        <v>247</v>
      </c>
      <c r="AB2737" s="52" t="s">
        <v>247</v>
      </c>
      <c r="AC2737" s="52" t="s">
        <v>247</v>
      </c>
      <c r="AD2737" s="52" t="s">
        <v>1</v>
      </c>
      <c r="AE2737" s="52" t="s">
        <v>385</v>
      </c>
      <c r="AF2737" s="155" t="s">
        <v>247</v>
      </c>
      <c r="AG2737" s="155" t="s">
        <v>247</v>
      </c>
    </row>
    <row r="2738" spans="25:33">
      <c r="Y2738" s="47">
        <v>7153</v>
      </c>
      <c r="Z2738" s="52" t="s">
        <v>407</v>
      </c>
      <c r="AA2738" s="52" t="s">
        <v>247</v>
      </c>
      <c r="AB2738" s="52" t="s">
        <v>247</v>
      </c>
      <c r="AC2738" s="52" t="s">
        <v>247</v>
      </c>
      <c r="AD2738" s="52" t="s">
        <v>1</v>
      </c>
      <c r="AE2738" s="52" t="s">
        <v>385</v>
      </c>
      <c r="AF2738" s="155" t="s">
        <v>247</v>
      </c>
      <c r="AG2738" s="155" t="s">
        <v>247</v>
      </c>
    </row>
    <row r="2739" spans="25:33">
      <c r="Y2739" s="47">
        <v>7154</v>
      </c>
      <c r="Z2739" s="52" t="s">
        <v>407</v>
      </c>
      <c r="AA2739" s="52" t="s">
        <v>247</v>
      </c>
      <c r="AB2739" s="52" t="s">
        <v>247</v>
      </c>
      <c r="AC2739" s="52" t="s">
        <v>247</v>
      </c>
      <c r="AD2739" s="52" t="s">
        <v>1</v>
      </c>
      <c r="AE2739" s="52" t="s">
        <v>385</v>
      </c>
      <c r="AF2739" s="155" t="s">
        <v>247</v>
      </c>
      <c r="AG2739" s="155" t="s">
        <v>247</v>
      </c>
    </row>
    <row r="2740" spans="25:33">
      <c r="Y2740" s="47">
        <v>7155</v>
      </c>
      <c r="Z2740" s="52" t="s">
        <v>407</v>
      </c>
      <c r="AA2740" s="52" t="s">
        <v>247</v>
      </c>
      <c r="AB2740" s="52" t="s">
        <v>247</v>
      </c>
      <c r="AC2740" s="52" t="s">
        <v>247</v>
      </c>
      <c r="AD2740" s="52" t="s">
        <v>1</v>
      </c>
      <c r="AE2740" s="52" t="s">
        <v>385</v>
      </c>
      <c r="AF2740" s="155" t="s">
        <v>247</v>
      </c>
      <c r="AG2740" s="155" t="s">
        <v>247</v>
      </c>
    </row>
    <row r="2741" spans="25:33">
      <c r="Y2741" s="47">
        <v>7156</v>
      </c>
      <c r="Z2741" s="52" t="s">
        <v>407</v>
      </c>
      <c r="AA2741" s="52" t="s">
        <v>247</v>
      </c>
      <c r="AB2741" s="52" t="s">
        <v>247</v>
      </c>
      <c r="AC2741" s="52" t="s">
        <v>247</v>
      </c>
      <c r="AD2741" s="52" t="s">
        <v>1</v>
      </c>
      <c r="AE2741" s="52" t="s">
        <v>385</v>
      </c>
      <c r="AF2741" s="155" t="s">
        <v>247</v>
      </c>
      <c r="AG2741" s="155" t="s">
        <v>247</v>
      </c>
    </row>
    <row r="2742" spans="25:33">
      <c r="Y2742" s="47">
        <v>7157</v>
      </c>
      <c r="Z2742" s="52" t="s">
        <v>407</v>
      </c>
      <c r="AA2742" s="52" t="s">
        <v>247</v>
      </c>
      <c r="AB2742" s="52" t="s">
        <v>247</v>
      </c>
      <c r="AC2742" s="52" t="s">
        <v>247</v>
      </c>
      <c r="AD2742" s="52" t="s">
        <v>1</v>
      </c>
      <c r="AE2742" s="52" t="s">
        <v>385</v>
      </c>
      <c r="AF2742" s="155" t="s">
        <v>247</v>
      </c>
      <c r="AG2742" s="155" t="s">
        <v>247</v>
      </c>
    </row>
    <row r="2743" spans="25:33">
      <c r="Y2743" s="47">
        <v>7158</v>
      </c>
      <c r="Z2743" s="52" t="s">
        <v>407</v>
      </c>
      <c r="AA2743" s="52" t="s">
        <v>247</v>
      </c>
      <c r="AB2743" s="52" t="s">
        <v>247</v>
      </c>
      <c r="AC2743" s="52" t="s">
        <v>247</v>
      </c>
      <c r="AD2743" s="52" t="s">
        <v>1</v>
      </c>
      <c r="AE2743" s="52" t="s">
        <v>385</v>
      </c>
      <c r="AF2743" s="155" t="s">
        <v>247</v>
      </c>
      <c r="AG2743" s="155" t="s">
        <v>247</v>
      </c>
    </row>
    <row r="2744" spans="25:33">
      <c r="Y2744" s="47">
        <v>7159</v>
      </c>
      <c r="Z2744" s="52" t="s">
        <v>407</v>
      </c>
      <c r="AA2744" s="52" t="s">
        <v>247</v>
      </c>
      <c r="AB2744" s="52" t="s">
        <v>247</v>
      </c>
      <c r="AC2744" s="52" t="s">
        <v>247</v>
      </c>
      <c r="AD2744" s="52" t="s">
        <v>1</v>
      </c>
      <c r="AE2744" s="52" t="s">
        <v>385</v>
      </c>
      <c r="AF2744" s="155" t="s">
        <v>247</v>
      </c>
      <c r="AG2744" s="155" t="s">
        <v>247</v>
      </c>
    </row>
    <row r="2745" spans="25:33">
      <c r="Y2745" s="47">
        <v>7160</v>
      </c>
      <c r="Z2745" s="52" t="s">
        <v>407</v>
      </c>
      <c r="AA2745" s="52" t="s">
        <v>247</v>
      </c>
      <c r="AB2745" s="52" t="s">
        <v>247</v>
      </c>
      <c r="AC2745" s="52" t="s">
        <v>247</v>
      </c>
      <c r="AD2745" s="52" t="s">
        <v>1</v>
      </c>
      <c r="AE2745" s="52" t="s">
        <v>385</v>
      </c>
      <c r="AF2745" s="155" t="s">
        <v>247</v>
      </c>
      <c r="AG2745" s="155" t="s">
        <v>247</v>
      </c>
    </row>
    <row r="2746" spans="25:33">
      <c r="Y2746" s="47">
        <v>7161</v>
      </c>
      <c r="Z2746" s="52" t="s">
        <v>407</v>
      </c>
      <c r="AA2746" s="52" t="s">
        <v>247</v>
      </c>
      <c r="AB2746" s="52" t="s">
        <v>247</v>
      </c>
      <c r="AC2746" s="52" t="s">
        <v>247</v>
      </c>
      <c r="AD2746" s="52" t="s">
        <v>1</v>
      </c>
      <c r="AE2746" s="52" t="s">
        <v>385</v>
      </c>
      <c r="AF2746" s="155" t="s">
        <v>247</v>
      </c>
      <c r="AG2746" s="155" t="s">
        <v>247</v>
      </c>
    </row>
    <row r="2747" spans="25:33">
      <c r="Y2747" s="47">
        <v>7162</v>
      </c>
      <c r="Z2747" s="52" t="s">
        <v>407</v>
      </c>
      <c r="AA2747" s="52" t="s">
        <v>247</v>
      </c>
      <c r="AB2747" s="52" t="s">
        <v>247</v>
      </c>
      <c r="AC2747" s="52" t="s">
        <v>247</v>
      </c>
      <c r="AD2747" s="52" t="s">
        <v>1</v>
      </c>
      <c r="AE2747" s="52" t="s">
        <v>385</v>
      </c>
      <c r="AF2747" s="155" t="s">
        <v>247</v>
      </c>
      <c r="AG2747" s="155" t="s">
        <v>247</v>
      </c>
    </row>
    <row r="2748" spans="25:33">
      <c r="Y2748" s="47">
        <v>7163</v>
      </c>
      <c r="Z2748" s="52" t="s">
        <v>407</v>
      </c>
      <c r="AA2748" s="52" t="s">
        <v>247</v>
      </c>
      <c r="AB2748" s="52" t="s">
        <v>247</v>
      </c>
      <c r="AC2748" s="52" t="s">
        <v>247</v>
      </c>
      <c r="AD2748" s="52" t="s">
        <v>1</v>
      </c>
      <c r="AE2748" s="52" t="s">
        <v>385</v>
      </c>
      <c r="AF2748" s="155" t="s">
        <v>247</v>
      </c>
      <c r="AG2748" s="155" t="s">
        <v>247</v>
      </c>
    </row>
    <row r="2749" spans="25:33">
      <c r="Y2749" s="47">
        <v>7164</v>
      </c>
      <c r="Z2749" s="52" t="s">
        <v>407</v>
      </c>
      <c r="AA2749" s="52" t="s">
        <v>247</v>
      </c>
      <c r="AB2749" s="52" t="s">
        <v>247</v>
      </c>
      <c r="AC2749" s="52" t="s">
        <v>247</v>
      </c>
      <c r="AD2749" s="52" t="s">
        <v>1</v>
      </c>
      <c r="AE2749" s="52" t="s">
        <v>385</v>
      </c>
      <c r="AF2749" s="155" t="s">
        <v>247</v>
      </c>
      <c r="AG2749" s="155" t="s">
        <v>247</v>
      </c>
    </row>
    <row r="2750" spans="25:33">
      <c r="Y2750" s="47">
        <v>7165</v>
      </c>
      <c r="Z2750" s="52" t="s">
        <v>407</v>
      </c>
      <c r="AA2750" s="52" t="s">
        <v>247</v>
      </c>
      <c r="AB2750" s="52" t="s">
        <v>247</v>
      </c>
      <c r="AC2750" s="52" t="s">
        <v>247</v>
      </c>
      <c r="AD2750" s="52" t="s">
        <v>1</v>
      </c>
      <c r="AE2750" s="52" t="s">
        <v>385</v>
      </c>
      <c r="AF2750" s="155" t="s">
        <v>247</v>
      </c>
      <c r="AG2750" s="155" t="s">
        <v>247</v>
      </c>
    </row>
    <row r="2751" spans="25:33">
      <c r="Y2751" s="47">
        <v>7166</v>
      </c>
      <c r="Z2751" s="52" t="s">
        <v>407</v>
      </c>
      <c r="AA2751" s="52" t="s">
        <v>247</v>
      </c>
      <c r="AB2751" s="52" t="s">
        <v>247</v>
      </c>
      <c r="AC2751" s="52" t="s">
        <v>247</v>
      </c>
      <c r="AD2751" s="52" t="s">
        <v>1</v>
      </c>
      <c r="AE2751" s="52" t="s">
        <v>385</v>
      </c>
      <c r="AF2751" s="155" t="s">
        <v>247</v>
      </c>
      <c r="AG2751" s="155" t="s">
        <v>247</v>
      </c>
    </row>
    <row r="2752" spans="25:33">
      <c r="Y2752" s="47">
        <v>7167</v>
      </c>
      <c r="Z2752" s="52" t="s">
        <v>407</v>
      </c>
      <c r="AA2752" s="52" t="s">
        <v>247</v>
      </c>
      <c r="AB2752" s="52" t="s">
        <v>247</v>
      </c>
      <c r="AC2752" s="52" t="s">
        <v>247</v>
      </c>
      <c r="AD2752" s="52" t="s">
        <v>1</v>
      </c>
      <c r="AE2752" s="52" t="s">
        <v>385</v>
      </c>
      <c r="AF2752" s="155" t="s">
        <v>247</v>
      </c>
      <c r="AG2752" s="155" t="s">
        <v>247</v>
      </c>
    </row>
    <row r="2753" spans="25:33">
      <c r="Y2753" s="47">
        <v>7168</v>
      </c>
      <c r="Z2753" s="52" t="s">
        <v>407</v>
      </c>
      <c r="AA2753" s="52" t="s">
        <v>247</v>
      </c>
      <c r="AB2753" s="52" t="s">
        <v>247</v>
      </c>
      <c r="AC2753" s="52" t="s">
        <v>247</v>
      </c>
      <c r="AD2753" s="52" t="s">
        <v>1</v>
      </c>
      <c r="AE2753" s="52" t="s">
        <v>385</v>
      </c>
      <c r="AF2753" s="155" t="s">
        <v>247</v>
      </c>
      <c r="AG2753" s="155" t="s">
        <v>247</v>
      </c>
    </row>
    <row r="2754" spans="25:33">
      <c r="Y2754" s="47">
        <v>7169</v>
      </c>
      <c r="Z2754" s="52" t="s">
        <v>407</v>
      </c>
      <c r="AA2754" s="52" t="s">
        <v>247</v>
      </c>
      <c r="AB2754" s="52" t="s">
        <v>247</v>
      </c>
      <c r="AC2754" s="52" t="s">
        <v>247</v>
      </c>
      <c r="AD2754" s="52" t="s">
        <v>1</v>
      </c>
      <c r="AE2754" s="52" t="s">
        <v>385</v>
      </c>
      <c r="AF2754" s="155" t="s">
        <v>247</v>
      </c>
      <c r="AG2754" s="155" t="s">
        <v>247</v>
      </c>
    </row>
    <row r="2755" spans="25:33">
      <c r="Y2755" s="47">
        <v>7170</v>
      </c>
      <c r="Z2755" s="52" t="s">
        <v>407</v>
      </c>
      <c r="AA2755" s="52" t="s">
        <v>247</v>
      </c>
      <c r="AB2755" s="52" t="s">
        <v>247</v>
      </c>
      <c r="AC2755" s="52" t="s">
        <v>247</v>
      </c>
      <c r="AD2755" s="52" t="s">
        <v>1</v>
      </c>
      <c r="AE2755" s="52" t="s">
        <v>385</v>
      </c>
      <c r="AF2755" s="155" t="s">
        <v>247</v>
      </c>
      <c r="AG2755" s="155" t="s">
        <v>247</v>
      </c>
    </row>
    <row r="2756" spans="25:33">
      <c r="Y2756" s="47">
        <v>7171</v>
      </c>
      <c r="Z2756" s="52" t="s">
        <v>407</v>
      </c>
      <c r="AA2756" s="52" t="s">
        <v>247</v>
      </c>
      <c r="AB2756" s="52" t="s">
        <v>247</v>
      </c>
      <c r="AC2756" s="52" t="s">
        <v>247</v>
      </c>
      <c r="AD2756" s="52" t="s">
        <v>1</v>
      </c>
      <c r="AE2756" s="52" t="s">
        <v>385</v>
      </c>
      <c r="AF2756" s="155" t="s">
        <v>247</v>
      </c>
      <c r="AG2756" s="155" t="s">
        <v>247</v>
      </c>
    </row>
    <row r="2757" spans="25:33">
      <c r="Y2757" s="47">
        <v>7172</v>
      </c>
      <c r="Z2757" s="52" t="s">
        <v>407</v>
      </c>
      <c r="AA2757" s="52" t="s">
        <v>247</v>
      </c>
      <c r="AB2757" s="52" t="s">
        <v>247</v>
      </c>
      <c r="AC2757" s="52" t="s">
        <v>247</v>
      </c>
      <c r="AD2757" s="52" t="s">
        <v>1</v>
      </c>
      <c r="AE2757" s="52" t="s">
        <v>385</v>
      </c>
      <c r="AF2757" s="155" t="s">
        <v>247</v>
      </c>
      <c r="AG2757" s="155" t="s">
        <v>247</v>
      </c>
    </row>
    <row r="2758" spans="25:33">
      <c r="Y2758" s="47">
        <v>7173</v>
      </c>
      <c r="Z2758" s="52" t="s">
        <v>407</v>
      </c>
      <c r="AA2758" s="52" t="s">
        <v>247</v>
      </c>
      <c r="AB2758" s="52" t="s">
        <v>247</v>
      </c>
      <c r="AC2758" s="52" t="s">
        <v>247</v>
      </c>
      <c r="AD2758" s="52" t="s">
        <v>1</v>
      </c>
      <c r="AE2758" s="52" t="s">
        <v>385</v>
      </c>
      <c r="AF2758" s="155" t="s">
        <v>247</v>
      </c>
      <c r="AG2758" s="155" t="s">
        <v>247</v>
      </c>
    </row>
    <row r="2759" spans="25:33">
      <c r="Y2759" s="47">
        <v>7174</v>
      </c>
      <c r="Z2759" s="52" t="s">
        <v>407</v>
      </c>
      <c r="AA2759" s="52" t="s">
        <v>247</v>
      </c>
      <c r="AB2759" s="52" t="s">
        <v>247</v>
      </c>
      <c r="AC2759" s="52" t="s">
        <v>247</v>
      </c>
      <c r="AD2759" s="52" t="s">
        <v>1</v>
      </c>
      <c r="AE2759" s="52" t="s">
        <v>385</v>
      </c>
      <c r="AF2759" s="155" t="s">
        <v>247</v>
      </c>
      <c r="AG2759" s="155" t="s">
        <v>247</v>
      </c>
    </row>
    <row r="2760" spans="25:33">
      <c r="Y2760" s="47">
        <v>7175</v>
      </c>
      <c r="Z2760" s="52" t="s">
        <v>407</v>
      </c>
      <c r="AA2760" s="52" t="s">
        <v>247</v>
      </c>
      <c r="AB2760" s="52" t="s">
        <v>247</v>
      </c>
      <c r="AC2760" s="52" t="s">
        <v>247</v>
      </c>
      <c r="AD2760" s="52" t="s">
        <v>1</v>
      </c>
      <c r="AE2760" s="52" t="s">
        <v>385</v>
      </c>
      <c r="AF2760" s="155" t="s">
        <v>247</v>
      </c>
      <c r="AG2760" s="155" t="s">
        <v>247</v>
      </c>
    </row>
    <row r="2761" spans="25:33">
      <c r="Y2761" s="47">
        <v>7176</v>
      </c>
      <c r="Z2761" s="52" t="s">
        <v>407</v>
      </c>
      <c r="AA2761" s="52" t="s">
        <v>247</v>
      </c>
      <c r="AB2761" s="52" t="s">
        <v>247</v>
      </c>
      <c r="AC2761" s="52" t="s">
        <v>247</v>
      </c>
      <c r="AD2761" s="52" t="s">
        <v>1</v>
      </c>
      <c r="AE2761" s="52" t="s">
        <v>385</v>
      </c>
      <c r="AF2761" s="155" t="s">
        <v>247</v>
      </c>
      <c r="AG2761" s="155" t="s">
        <v>247</v>
      </c>
    </row>
    <row r="2762" spans="25:33">
      <c r="Y2762" s="47">
        <v>7177</v>
      </c>
      <c r="Z2762" s="52" t="s">
        <v>407</v>
      </c>
      <c r="AA2762" s="52" t="s">
        <v>247</v>
      </c>
      <c r="AB2762" s="52" t="s">
        <v>247</v>
      </c>
      <c r="AC2762" s="52" t="s">
        <v>247</v>
      </c>
      <c r="AD2762" s="52" t="s">
        <v>1</v>
      </c>
      <c r="AE2762" s="52" t="s">
        <v>385</v>
      </c>
      <c r="AF2762" s="155" t="s">
        <v>247</v>
      </c>
      <c r="AG2762" s="155" t="s">
        <v>247</v>
      </c>
    </row>
    <row r="2763" spans="25:33">
      <c r="Y2763" s="47">
        <v>7178</v>
      </c>
      <c r="Z2763" s="52" t="s">
        <v>407</v>
      </c>
      <c r="AA2763" s="52" t="s">
        <v>247</v>
      </c>
      <c r="AB2763" s="52" t="s">
        <v>247</v>
      </c>
      <c r="AC2763" s="52" t="s">
        <v>247</v>
      </c>
      <c r="AD2763" s="52" t="s">
        <v>1</v>
      </c>
      <c r="AE2763" s="52" t="s">
        <v>385</v>
      </c>
      <c r="AF2763" s="155" t="s">
        <v>247</v>
      </c>
      <c r="AG2763" s="155" t="s">
        <v>247</v>
      </c>
    </row>
    <row r="2764" spans="25:33">
      <c r="Y2764" s="47">
        <v>7179</v>
      </c>
      <c r="Z2764" s="52" t="s">
        <v>407</v>
      </c>
      <c r="AA2764" s="52" t="s">
        <v>247</v>
      </c>
      <c r="AB2764" s="52" t="s">
        <v>247</v>
      </c>
      <c r="AC2764" s="52" t="s">
        <v>247</v>
      </c>
      <c r="AD2764" s="52" t="s">
        <v>1</v>
      </c>
      <c r="AE2764" s="52" t="s">
        <v>385</v>
      </c>
      <c r="AF2764" s="155" t="s">
        <v>247</v>
      </c>
      <c r="AG2764" s="155" t="s">
        <v>247</v>
      </c>
    </row>
    <row r="2765" spans="25:33">
      <c r="Y2765" s="47">
        <v>7180</v>
      </c>
      <c r="Z2765" s="52" t="s">
        <v>407</v>
      </c>
      <c r="AA2765" s="52" t="s">
        <v>247</v>
      </c>
      <c r="AB2765" s="52" t="s">
        <v>247</v>
      </c>
      <c r="AC2765" s="52" t="s">
        <v>247</v>
      </c>
      <c r="AD2765" s="52" t="s">
        <v>1</v>
      </c>
      <c r="AE2765" s="52" t="s">
        <v>385</v>
      </c>
      <c r="AF2765" s="155" t="s">
        <v>247</v>
      </c>
      <c r="AG2765" s="155" t="s">
        <v>247</v>
      </c>
    </row>
    <row r="2766" spans="25:33">
      <c r="Y2766" s="47">
        <v>7181</v>
      </c>
      <c r="Z2766" s="52" t="s">
        <v>407</v>
      </c>
      <c r="AA2766" s="52" t="s">
        <v>247</v>
      </c>
      <c r="AB2766" s="52" t="s">
        <v>247</v>
      </c>
      <c r="AC2766" s="52" t="s">
        <v>247</v>
      </c>
      <c r="AD2766" s="52" t="s">
        <v>1</v>
      </c>
      <c r="AE2766" s="52" t="s">
        <v>385</v>
      </c>
      <c r="AF2766" s="155" t="s">
        <v>247</v>
      </c>
      <c r="AG2766" s="155" t="s">
        <v>247</v>
      </c>
    </row>
    <row r="2767" spans="25:33">
      <c r="Y2767" s="47">
        <v>7182</v>
      </c>
      <c r="Z2767" s="52" t="s">
        <v>407</v>
      </c>
      <c r="AA2767" s="52" t="s">
        <v>247</v>
      </c>
      <c r="AB2767" s="52" t="s">
        <v>247</v>
      </c>
      <c r="AC2767" s="52" t="s">
        <v>247</v>
      </c>
      <c r="AD2767" s="52" t="s">
        <v>1</v>
      </c>
      <c r="AE2767" s="52" t="s">
        <v>385</v>
      </c>
      <c r="AF2767" s="155" t="s">
        <v>247</v>
      </c>
      <c r="AG2767" s="155" t="s">
        <v>247</v>
      </c>
    </row>
    <row r="2768" spans="25:33">
      <c r="Y2768" s="47">
        <v>7183</v>
      </c>
      <c r="Z2768" s="52" t="s">
        <v>407</v>
      </c>
      <c r="AA2768" s="52" t="s">
        <v>247</v>
      </c>
      <c r="AB2768" s="52" t="s">
        <v>247</v>
      </c>
      <c r="AC2768" s="52" t="s">
        <v>247</v>
      </c>
      <c r="AD2768" s="52" t="s">
        <v>1</v>
      </c>
      <c r="AE2768" s="52" t="s">
        <v>385</v>
      </c>
      <c r="AF2768" s="155" t="s">
        <v>247</v>
      </c>
      <c r="AG2768" s="155" t="s">
        <v>247</v>
      </c>
    </row>
    <row r="2769" spans="25:33">
      <c r="Y2769" s="47">
        <v>7184</v>
      </c>
      <c r="Z2769" s="52" t="s">
        <v>407</v>
      </c>
      <c r="AA2769" s="52" t="s">
        <v>247</v>
      </c>
      <c r="AB2769" s="52" t="s">
        <v>247</v>
      </c>
      <c r="AC2769" s="52" t="s">
        <v>247</v>
      </c>
      <c r="AD2769" s="52" t="s">
        <v>1</v>
      </c>
      <c r="AE2769" s="52" t="s">
        <v>385</v>
      </c>
      <c r="AF2769" s="155" t="s">
        <v>247</v>
      </c>
      <c r="AG2769" s="155" t="s">
        <v>247</v>
      </c>
    </row>
    <row r="2770" spans="25:33">
      <c r="Y2770" s="47">
        <v>7185</v>
      </c>
      <c r="Z2770" s="52" t="s">
        <v>407</v>
      </c>
      <c r="AA2770" s="52" t="s">
        <v>247</v>
      </c>
      <c r="AB2770" s="52" t="s">
        <v>247</v>
      </c>
      <c r="AC2770" s="52" t="s">
        <v>247</v>
      </c>
      <c r="AD2770" s="52" t="s">
        <v>1</v>
      </c>
      <c r="AE2770" s="52" t="s">
        <v>385</v>
      </c>
      <c r="AF2770" s="155" t="s">
        <v>247</v>
      </c>
      <c r="AG2770" s="155" t="s">
        <v>247</v>
      </c>
    </row>
    <row r="2771" spans="25:33">
      <c r="Y2771" s="47">
        <v>7186</v>
      </c>
      <c r="Z2771" s="52" t="s">
        <v>407</v>
      </c>
      <c r="AA2771" s="52" t="s">
        <v>247</v>
      </c>
      <c r="AB2771" s="52" t="s">
        <v>247</v>
      </c>
      <c r="AC2771" s="52" t="s">
        <v>247</v>
      </c>
      <c r="AD2771" s="52" t="s">
        <v>1</v>
      </c>
      <c r="AE2771" s="52" t="s">
        <v>385</v>
      </c>
      <c r="AF2771" s="155" t="s">
        <v>247</v>
      </c>
      <c r="AG2771" s="155" t="s">
        <v>247</v>
      </c>
    </row>
    <row r="2772" spans="25:33">
      <c r="Y2772" s="47">
        <v>7187</v>
      </c>
      <c r="Z2772" s="52" t="s">
        <v>407</v>
      </c>
      <c r="AA2772" s="52" t="s">
        <v>247</v>
      </c>
      <c r="AB2772" s="52" t="s">
        <v>247</v>
      </c>
      <c r="AC2772" s="52" t="s">
        <v>247</v>
      </c>
      <c r="AD2772" s="52" t="s">
        <v>1</v>
      </c>
      <c r="AE2772" s="52" t="s">
        <v>385</v>
      </c>
      <c r="AF2772" s="155" t="s">
        <v>247</v>
      </c>
      <c r="AG2772" s="155" t="s">
        <v>247</v>
      </c>
    </row>
    <row r="2773" spans="25:33">
      <c r="Y2773" s="47">
        <v>7188</v>
      </c>
      <c r="Z2773" s="52" t="s">
        <v>407</v>
      </c>
      <c r="AA2773" s="52" t="s">
        <v>247</v>
      </c>
      <c r="AB2773" s="52" t="s">
        <v>247</v>
      </c>
      <c r="AC2773" s="52" t="s">
        <v>247</v>
      </c>
      <c r="AD2773" s="52" t="s">
        <v>1</v>
      </c>
      <c r="AE2773" s="52" t="s">
        <v>385</v>
      </c>
      <c r="AF2773" s="155" t="s">
        <v>247</v>
      </c>
      <c r="AG2773" s="155" t="s">
        <v>247</v>
      </c>
    </row>
    <row r="2774" spans="25:33">
      <c r="Y2774" s="47">
        <v>7189</v>
      </c>
      <c r="Z2774" s="52" t="s">
        <v>407</v>
      </c>
      <c r="AA2774" s="52" t="s">
        <v>247</v>
      </c>
      <c r="AB2774" s="52" t="s">
        <v>247</v>
      </c>
      <c r="AC2774" s="52" t="s">
        <v>247</v>
      </c>
      <c r="AD2774" s="52" t="s">
        <v>1</v>
      </c>
      <c r="AE2774" s="52" t="s">
        <v>385</v>
      </c>
      <c r="AF2774" s="155" t="s">
        <v>247</v>
      </c>
      <c r="AG2774" s="155" t="s">
        <v>247</v>
      </c>
    </row>
    <row r="2775" spans="25:33">
      <c r="Y2775" s="47">
        <v>7190</v>
      </c>
      <c r="Z2775" s="52" t="s">
        <v>407</v>
      </c>
      <c r="AA2775" s="52" t="s">
        <v>247</v>
      </c>
      <c r="AB2775" s="52" t="s">
        <v>247</v>
      </c>
      <c r="AC2775" s="52" t="s">
        <v>247</v>
      </c>
      <c r="AD2775" s="52" t="s">
        <v>1</v>
      </c>
      <c r="AE2775" s="52" t="s">
        <v>385</v>
      </c>
      <c r="AF2775" s="155" t="s">
        <v>247</v>
      </c>
      <c r="AG2775" s="155" t="s">
        <v>247</v>
      </c>
    </row>
    <row r="2776" spans="25:33">
      <c r="Y2776" s="47">
        <v>7191</v>
      </c>
      <c r="Z2776" s="52" t="s">
        <v>407</v>
      </c>
      <c r="AA2776" s="52" t="s">
        <v>247</v>
      </c>
      <c r="AB2776" s="52" t="s">
        <v>247</v>
      </c>
      <c r="AC2776" s="52" t="s">
        <v>247</v>
      </c>
      <c r="AD2776" s="52" t="s">
        <v>1</v>
      </c>
      <c r="AE2776" s="52" t="s">
        <v>385</v>
      </c>
      <c r="AF2776" s="155" t="s">
        <v>247</v>
      </c>
      <c r="AG2776" s="155" t="s">
        <v>247</v>
      </c>
    </row>
    <row r="2777" spans="25:33">
      <c r="Y2777" s="47">
        <v>7192</v>
      </c>
      <c r="Z2777" s="52" t="s">
        <v>407</v>
      </c>
      <c r="AA2777" s="52" t="s">
        <v>247</v>
      </c>
      <c r="AB2777" s="52" t="s">
        <v>247</v>
      </c>
      <c r="AC2777" s="52" t="s">
        <v>247</v>
      </c>
      <c r="AD2777" s="52" t="s">
        <v>1</v>
      </c>
      <c r="AE2777" s="52" t="s">
        <v>385</v>
      </c>
      <c r="AF2777" s="155" t="s">
        <v>247</v>
      </c>
      <c r="AG2777" s="155" t="s">
        <v>247</v>
      </c>
    </row>
    <row r="2778" spans="25:33">
      <c r="Y2778" s="47">
        <v>7193</v>
      </c>
      <c r="Z2778" s="52" t="s">
        <v>407</v>
      </c>
      <c r="AA2778" s="52" t="s">
        <v>247</v>
      </c>
      <c r="AB2778" s="52" t="s">
        <v>247</v>
      </c>
      <c r="AC2778" s="52" t="s">
        <v>247</v>
      </c>
      <c r="AD2778" s="52" t="s">
        <v>1</v>
      </c>
      <c r="AE2778" s="52" t="s">
        <v>385</v>
      </c>
      <c r="AF2778" s="155" t="s">
        <v>247</v>
      </c>
      <c r="AG2778" s="155" t="s">
        <v>247</v>
      </c>
    </row>
    <row r="2779" spans="25:33">
      <c r="Y2779" s="47">
        <v>7194</v>
      </c>
      <c r="Z2779" s="52" t="s">
        <v>407</v>
      </c>
      <c r="AA2779" s="52" t="s">
        <v>247</v>
      </c>
      <c r="AB2779" s="52" t="s">
        <v>247</v>
      </c>
      <c r="AC2779" s="52" t="s">
        <v>247</v>
      </c>
      <c r="AD2779" s="52" t="s">
        <v>1</v>
      </c>
      <c r="AE2779" s="52" t="s">
        <v>385</v>
      </c>
      <c r="AF2779" s="155" t="s">
        <v>247</v>
      </c>
      <c r="AG2779" s="155" t="s">
        <v>247</v>
      </c>
    </row>
    <row r="2780" spans="25:33">
      <c r="Y2780" s="47">
        <v>7195</v>
      </c>
      <c r="Z2780" s="52" t="s">
        <v>407</v>
      </c>
      <c r="AA2780" s="52" t="s">
        <v>247</v>
      </c>
      <c r="AB2780" s="52" t="s">
        <v>247</v>
      </c>
      <c r="AC2780" s="52" t="s">
        <v>247</v>
      </c>
      <c r="AD2780" s="52" t="s">
        <v>1</v>
      </c>
      <c r="AE2780" s="52" t="s">
        <v>385</v>
      </c>
      <c r="AF2780" s="155" t="s">
        <v>247</v>
      </c>
      <c r="AG2780" s="155" t="s">
        <v>247</v>
      </c>
    </row>
    <row r="2781" spans="25:33">
      <c r="Y2781" s="47">
        <v>7196</v>
      </c>
      <c r="Z2781" s="52" t="s">
        <v>407</v>
      </c>
      <c r="AA2781" s="52" t="s">
        <v>247</v>
      </c>
      <c r="AB2781" s="52" t="s">
        <v>247</v>
      </c>
      <c r="AC2781" s="52" t="s">
        <v>247</v>
      </c>
      <c r="AD2781" s="52" t="s">
        <v>1</v>
      </c>
      <c r="AE2781" s="52" t="s">
        <v>385</v>
      </c>
      <c r="AF2781" s="155" t="s">
        <v>247</v>
      </c>
      <c r="AG2781" s="155" t="s">
        <v>247</v>
      </c>
    </row>
    <row r="2782" spans="25:33">
      <c r="Y2782" s="47">
        <v>7197</v>
      </c>
      <c r="Z2782" s="52" t="s">
        <v>407</v>
      </c>
      <c r="AA2782" s="52" t="s">
        <v>247</v>
      </c>
      <c r="AB2782" s="52" t="s">
        <v>247</v>
      </c>
      <c r="AC2782" s="52" t="s">
        <v>247</v>
      </c>
      <c r="AD2782" s="52" t="s">
        <v>1</v>
      </c>
      <c r="AE2782" s="52" t="s">
        <v>385</v>
      </c>
      <c r="AF2782" s="155" t="s">
        <v>247</v>
      </c>
      <c r="AG2782" s="155" t="s">
        <v>247</v>
      </c>
    </row>
    <row r="2783" spans="25:33">
      <c r="Y2783" s="47">
        <v>7198</v>
      </c>
      <c r="Z2783" s="52" t="s">
        <v>407</v>
      </c>
      <c r="AA2783" s="52" t="s">
        <v>247</v>
      </c>
      <c r="AB2783" s="52" t="s">
        <v>247</v>
      </c>
      <c r="AC2783" s="52" t="s">
        <v>247</v>
      </c>
      <c r="AD2783" s="52" t="s">
        <v>1</v>
      </c>
      <c r="AE2783" s="52" t="s">
        <v>385</v>
      </c>
      <c r="AF2783" s="155" t="s">
        <v>247</v>
      </c>
      <c r="AG2783" s="155" t="s">
        <v>247</v>
      </c>
    </row>
    <row r="2784" spans="25:33">
      <c r="Y2784" s="47">
        <v>7199</v>
      </c>
      <c r="Z2784" s="52" t="s">
        <v>407</v>
      </c>
      <c r="AA2784" s="52" t="s">
        <v>247</v>
      </c>
      <c r="AB2784" s="52" t="s">
        <v>247</v>
      </c>
      <c r="AC2784" s="52" t="s">
        <v>247</v>
      </c>
      <c r="AD2784" s="52" t="s">
        <v>1</v>
      </c>
      <c r="AE2784" s="52" t="s">
        <v>385</v>
      </c>
      <c r="AF2784" s="155" t="s">
        <v>247</v>
      </c>
      <c r="AG2784" s="155" t="s">
        <v>247</v>
      </c>
    </row>
    <row r="2785" spans="25:33">
      <c r="Y2785" s="47">
        <v>7200</v>
      </c>
      <c r="Z2785" s="52" t="s">
        <v>407</v>
      </c>
      <c r="AA2785" s="52" t="s">
        <v>247</v>
      </c>
      <c r="AB2785" s="52" t="s">
        <v>247</v>
      </c>
      <c r="AC2785" s="52" t="s">
        <v>247</v>
      </c>
      <c r="AD2785" s="52" t="s">
        <v>1</v>
      </c>
      <c r="AE2785" s="52" t="s">
        <v>385</v>
      </c>
      <c r="AF2785" s="155" t="s">
        <v>247</v>
      </c>
      <c r="AG2785" s="155" t="s">
        <v>247</v>
      </c>
    </row>
    <row r="2786" spans="25:33">
      <c r="Y2786" s="47">
        <v>7201</v>
      </c>
      <c r="Z2786" s="52" t="s">
        <v>407</v>
      </c>
      <c r="AA2786" s="52" t="s">
        <v>247</v>
      </c>
      <c r="AB2786" s="52" t="s">
        <v>247</v>
      </c>
      <c r="AC2786" s="52" t="s">
        <v>247</v>
      </c>
      <c r="AD2786" s="52" t="s">
        <v>1</v>
      </c>
      <c r="AE2786" s="52" t="s">
        <v>385</v>
      </c>
      <c r="AF2786" s="155" t="s">
        <v>247</v>
      </c>
      <c r="AG2786" s="155" t="s">
        <v>247</v>
      </c>
    </row>
    <row r="2787" spans="25:33">
      <c r="Y2787" s="47">
        <v>7202</v>
      </c>
      <c r="Z2787" s="52" t="s">
        <v>407</v>
      </c>
      <c r="AA2787" s="52" t="s">
        <v>247</v>
      </c>
      <c r="AB2787" s="52" t="s">
        <v>247</v>
      </c>
      <c r="AC2787" s="52" t="s">
        <v>247</v>
      </c>
      <c r="AD2787" s="52" t="s">
        <v>1</v>
      </c>
      <c r="AE2787" s="52" t="s">
        <v>385</v>
      </c>
      <c r="AF2787" s="155" t="s">
        <v>247</v>
      </c>
      <c r="AG2787" s="155" t="s">
        <v>247</v>
      </c>
    </row>
    <row r="2788" spans="25:33">
      <c r="Y2788" s="47">
        <v>7203</v>
      </c>
      <c r="Z2788" s="52" t="s">
        <v>407</v>
      </c>
      <c r="AA2788" s="52" t="s">
        <v>247</v>
      </c>
      <c r="AB2788" s="52" t="s">
        <v>247</v>
      </c>
      <c r="AC2788" s="52" t="s">
        <v>247</v>
      </c>
      <c r="AD2788" s="52" t="s">
        <v>1</v>
      </c>
      <c r="AE2788" s="52" t="s">
        <v>385</v>
      </c>
      <c r="AF2788" s="155" t="s">
        <v>247</v>
      </c>
      <c r="AG2788" s="155" t="s">
        <v>247</v>
      </c>
    </row>
    <row r="2789" spans="25:33">
      <c r="Y2789" s="47">
        <v>7204</v>
      </c>
      <c r="Z2789" s="52" t="s">
        <v>407</v>
      </c>
      <c r="AA2789" s="52" t="s">
        <v>247</v>
      </c>
      <c r="AB2789" s="52" t="s">
        <v>247</v>
      </c>
      <c r="AC2789" s="52" t="s">
        <v>247</v>
      </c>
      <c r="AD2789" s="52" t="s">
        <v>1</v>
      </c>
      <c r="AE2789" s="52" t="s">
        <v>385</v>
      </c>
      <c r="AF2789" s="155" t="s">
        <v>247</v>
      </c>
      <c r="AG2789" s="155" t="s">
        <v>247</v>
      </c>
    </row>
    <row r="2790" spans="25:33">
      <c r="Y2790" s="47">
        <v>7205</v>
      </c>
      <c r="Z2790" s="52" t="s">
        <v>407</v>
      </c>
      <c r="AA2790" s="52" t="s">
        <v>247</v>
      </c>
      <c r="AB2790" s="52" t="s">
        <v>247</v>
      </c>
      <c r="AC2790" s="52" t="s">
        <v>247</v>
      </c>
      <c r="AD2790" s="52" t="s">
        <v>1</v>
      </c>
      <c r="AE2790" s="52" t="s">
        <v>385</v>
      </c>
      <c r="AF2790" s="155" t="s">
        <v>247</v>
      </c>
      <c r="AG2790" s="155" t="s">
        <v>247</v>
      </c>
    </row>
    <row r="2791" spans="25:33">
      <c r="Y2791" s="47">
        <v>7206</v>
      </c>
      <c r="Z2791" s="52" t="s">
        <v>407</v>
      </c>
      <c r="AA2791" s="52" t="s">
        <v>247</v>
      </c>
      <c r="AB2791" s="52" t="s">
        <v>247</v>
      </c>
      <c r="AC2791" s="52" t="s">
        <v>247</v>
      </c>
      <c r="AD2791" s="52" t="s">
        <v>1</v>
      </c>
      <c r="AE2791" s="52" t="s">
        <v>385</v>
      </c>
      <c r="AF2791" s="155" t="s">
        <v>247</v>
      </c>
      <c r="AG2791" s="155" t="s">
        <v>247</v>
      </c>
    </row>
    <row r="2792" spans="25:33">
      <c r="Y2792" s="47">
        <v>7207</v>
      </c>
      <c r="Z2792" s="52" t="s">
        <v>407</v>
      </c>
      <c r="AA2792" s="52" t="s">
        <v>247</v>
      </c>
      <c r="AB2792" s="52" t="s">
        <v>247</v>
      </c>
      <c r="AC2792" s="52" t="s">
        <v>247</v>
      </c>
      <c r="AD2792" s="52" t="s">
        <v>1</v>
      </c>
      <c r="AE2792" s="52" t="s">
        <v>385</v>
      </c>
      <c r="AF2792" s="155" t="s">
        <v>247</v>
      </c>
      <c r="AG2792" s="155" t="s">
        <v>247</v>
      </c>
    </row>
    <row r="2793" spans="25:33">
      <c r="Y2793" s="47">
        <v>7208</v>
      </c>
      <c r="Z2793" s="52" t="s">
        <v>407</v>
      </c>
      <c r="AA2793" s="52" t="s">
        <v>247</v>
      </c>
      <c r="AB2793" s="52" t="s">
        <v>247</v>
      </c>
      <c r="AC2793" s="52" t="s">
        <v>247</v>
      </c>
      <c r="AD2793" s="52" t="s">
        <v>1</v>
      </c>
      <c r="AE2793" s="52" t="s">
        <v>385</v>
      </c>
      <c r="AF2793" s="155" t="s">
        <v>247</v>
      </c>
      <c r="AG2793" s="155" t="s">
        <v>247</v>
      </c>
    </row>
    <row r="2794" spans="25:33">
      <c r="Y2794" s="47">
        <v>7209</v>
      </c>
      <c r="Z2794" s="52" t="s">
        <v>407</v>
      </c>
      <c r="AA2794" s="52" t="s">
        <v>247</v>
      </c>
      <c r="AB2794" s="52" t="s">
        <v>247</v>
      </c>
      <c r="AC2794" s="52" t="s">
        <v>247</v>
      </c>
      <c r="AD2794" s="52" t="s">
        <v>1</v>
      </c>
      <c r="AE2794" s="52" t="s">
        <v>385</v>
      </c>
      <c r="AF2794" s="155" t="s">
        <v>247</v>
      </c>
      <c r="AG2794" s="155" t="s">
        <v>247</v>
      </c>
    </row>
    <row r="2795" spans="25:33">
      <c r="Y2795" s="47">
        <v>7210</v>
      </c>
      <c r="Z2795" s="52" t="s">
        <v>407</v>
      </c>
      <c r="AA2795" s="52" t="s">
        <v>247</v>
      </c>
      <c r="AB2795" s="52" t="s">
        <v>247</v>
      </c>
      <c r="AC2795" s="52" t="s">
        <v>247</v>
      </c>
      <c r="AD2795" s="52" t="s">
        <v>1</v>
      </c>
      <c r="AE2795" s="52" t="s">
        <v>385</v>
      </c>
      <c r="AF2795" s="155" t="s">
        <v>247</v>
      </c>
      <c r="AG2795" s="155" t="s">
        <v>247</v>
      </c>
    </row>
    <row r="2796" spans="25:33">
      <c r="Y2796" s="47">
        <v>7211</v>
      </c>
      <c r="Z2796" s="52" t="s">
        <v>407</v>
      </c>
      <c r="AA2796" s="52" t="s">
        <v>247</v>
      </c>
      <c r="AB2796" s="52" t="s">
        <v>247</v>
      </c>
      <c r="AC2796" s="52" t="s">
        <v>247</v>
      </c>
      <c r="AD2796" s="52" t="s">
        <v>1</v>
      </c>
      <c r="AE2796" s="52" t="s">
        <v>385</v>
      </c>
      <c r="AF2796" s="155" t="s">
        <v>247</v>
      </c>
      <c r="AG2796" s="155" t="s">
        <v>247</v>
      </c>
    </row>
    <row r="2797" spans="25:33">
      <c r="Y2797" s="47">
        <v>7212</v>
      </c>
      <c r="Z2797" s="52" t="s">
        <v>407</v>
      </c>
      <c r="AA2797" s="52" t="s">
        <v>247</v>
      </c>
      <c r="AB2797" s="52" t="s">
        <v>247</v>
      </c>
      <c r="AC2797" s="52" t="s">
        <v>247</v>
      </c>
      <c r="AD2797" s="52" t="s">
        <v>1</v>
      </c>
      <c r="AE2797" s="52" t="s">
        <v>385</v>
      </c>
      <c r="AF2797" s="155" t="s">
        <v>247</v>
      </c>
      <c r="AG2797" s="155" t="s">
        <v>247</v>
      </c>
    </row>
    <row r="2798" spans="25:33">
      <c r="Y2798" s="47">
        <v>7213</v>
      </c>
      <c r="Z2798" s="52" t="s">
        <v>407</v>
      </c>
      <c r="AA2798" s="52" t="s">
        <v>247</v>
      </c>
      <c r="AB2798" s="52" t="s">
        <v>247</v>
      </c>
      <c r="AC2798" s="52" t="s">
        <v>247</v>
      </c>
      <c r="AD2798" s="52" t="s">
        <v>1</v>
      </c>
      <c r="AE2798" s="52" t="s">
        <v>385</v>
      </c>
      <c r="AF2798" s="155" t="s">
        <v>247</v>
      </c>
      <c r="AG2798" s="155" t="s">
        <v>247</v>
      </c>
    </row>
    <row r="2799" spans="25:33">
      <c r="Y2799" s="47">
        <v>7214</v>
      </c>
      <c r="Z2799" s="52" t="s">
        <v>407</v>
      </c>
      <c r="AA2799" s="52" t="s">
        <v>247</v>
      </c>
      <c r="AB2799" s="52" t="s">
        <v>247</v>
      </c>
      <c r="AC2799" s="52" t="s">
        <v>247</v>
      </c>
      <c r="AD2799" s="52" t="s">
        <v>1</v>
      </c>
      <c r="AE2799" s="52" t="s">
        <v>385</v>
      </c>
      <c r="AF2799" s="155" t="s">
        <v>247</v>
      </c>
      <c r="AG2799" s="155" t="s">
        <v>247</v>
      </c>
    </row>
    <row r="2800" spans="25:33">
      <c r="Y2800" s="47">
        <v>7215</v>
      </c>
      <c r="Z2800" s="52" t="s">
        <v>407</v>
      </c>
      <c r="AA2800" s="52" t="s">
        <v>247</v>
      </c>
      <c r="AB2800" s="52" t="s">
        <v>247</v>
      </c>
      <c r="AC2800" s="52" t="s">
        <v>247</v>
      </c>
      <c r="AD2800" s="52" t="s">
        <v>1</v>
      </c>
      <c r="AE2800" s="52" t="s">
        <v>385</v>
      </c>
      <c r="AF2800" s="155" t="s">
        <v>247</v>
      </c>
      <c r="AG2800" s="155" t="s">
        <v>247</v>
      </c>
    </row>
    <row r="2801" spans="25:33">
      <c r="Y2801" s="47">
        <v>7216</v>
      </c>
      <c r="Z2801" s="52" t="s">
        <v>407</v>
      </c>
      <c r="AA2801" s="52" t="s">
        <v>247</v>
      </c>
      <c r="AB2801" s="52" t="s">
        <v>247</v>
      </c>
      <c r="AC2801" s="52" t="s">
        <v>247</v>
      </c>
      <c r="AD2801" s="52" t="s">
        <v>1</v>
      </c>
      <c r="AE2801" s="52" t="s">
        <v>385</v>
      </c>
      <c r="AF2801" s="155" t="s">
        <v>247</v>
      </c>
      <c r="AG2801" s="155" t="s">
        <v>247</v>
      </c>
    </row>
    <row r="2802" spans="25:33">
      <c r="Y2802" s="47">
        <v>7217</v>
      </c>
      <c r="Z2802" s="52" t="s">
        <v>407</v>
      </c>
      <c r="AA2802" s="52" t="s">
        <v>247</v>
      </c>
      <c r="AB2802" s="52" t="s">
        <v>247</v>
      </c>
      <c r="AC2802" s="52" t="s">
        <v>247</v>
      </c>
      <c r="AD2802" s="52" t="s">
        <v>1</v>
      </c>
      <c r="AE2802" s="52" t="s">
        <v>385</v>
      </c>
      <c r="AF2802" s="155" t="s">
        <v>247</v>
      </c>
      <c r="AG2802" s="155" t="s">
        <v>247</v>
      </c>
    </row>
    <row r="2803" spans="25:33">
      <c r="Y2803" s="47">
        <v>7218</v>
      </c>
      <c r="Z2803" s="52" t="s">
        <v>407</v>
      </c>
      <c r="AA2803" s="52" t="s">
        <v>247</v>
      </c>
      <c r="AB2803" s="52" t="s">
        <v>247</v>
      </c>
      <c r="AC2803" s="52" t="s">
        <v>247</v>
      </c>
      <c r="AD2803" s="52" t="s">
        <v>1</v>
      </c>
      <c r="AE2803" s="52" t="s">
        <v>385</v>
      </c>
      <c r="AF2803" s="155" t="s">
        <v>247</v>
      </c>
      <c r="AG2803" s="155" t="s">
        <v>247</v>
      </c>
    </row>
    <row r="2804" spans="25:33">
      <c r="Y2804" s="47">
        <v>7219</v>
      </c>
      <c r="Z2804" s="52" t="s">
        <v>407</v>
      </c>
      <c r="AA2804" s="52" t="s">
        <v>247</v>
      </c>
      <c r="AB2804" s="52" t="s">
        <v>247</v>
      </c>
      <c r="AC2804" s="52" t="s">
        <v>247</v>
      </c>
      <c r="AD2804" s="52" t="s">
        <v>1</v>
      </c>
      <c r="AE2804" s="52" t="s">
        <v>385</v>
      </c>
      <c r="AF2804" s="155" t="s">
        <v>247</v>
      </c>
      <c r="AG2804" s="155" t="s">
        <v>247</v>
      </c>
    </row>
    <row r="2805" spans="25:33">
      <c r="Y2805" s="47">
        <v>7220</v>
      </c>
      <c r="Z2805" s="52" t="s">
        <v>407</v>
      </c>
      <c r="AA2805" s="52" t="s">
        <v>247</v>
      </c>
      <c r="AB2805" s="52" t="s">
        <v>247</v>
      </c>
      <c r="AC2805" s="52" t="s">
        <v>247</v>
      </c>
      <c r="AD2805" s="52" t="s">
        <v>1</v>
      </c>
      <c r="AE2805" s="52" t="s">
        <v>385</v>
      </c>
      <c r="AF2805" s="155" t="s">
        <v>247</v>
      </c>
      <c r="AG2805" s="155" t="s">
        <v>247</v>
      </c>
    </row>
    <row r="2806" spans="25:33">
      <c r="Y2806" s="47">
        <v>7221</v>
      </c>
      <c r="Z2806" s="52" t="s">
        <v>407</v>
      </c>
      <c r="AA2806" s="52" t="s">
        <v>247</v>
      </c>
      <c r="AB2806" s="52" t="s">
        <v>247</v>
      </c>
      <c r="AC2806" s="52" t="s">
        <v>247</v>
      </c>
      <c r="AD2806" s="52" t="s">
        <v>1</v>
      </c>
      <c r="AE2806" s="52" t="s">
        <v>385</v>
      </c>
      <c r="AF2806" s="155" t="s">
        <v>247</v>
      </c>
      <c r="AG2806" s="155" t="s">
        <v>247</v>
      </c>
    </row>
    <row r="2807" spans="25:33">
      <c r="Y2807" s="47">
        <v>7222</v>
      </c>
      <c r="Z2807" s="52" t="s">
        <v>407</v>
      </c>
      <c r="AA2807" s="52" t="s">
        <v>247</v>
      </c>
      <c r="AB2807" s="52" t="s">
        <v>247</v>
      </c>
      <c r="AC2807" s="52" t="s">
        <v>247</v>
      </c>
      <c r="AD2807" s="52" t="s">
        <v>1</v>
      </c>
      <c r="AE2807" s="52" t="s">
        <v>385</v>
      </c>
      <c r="AF2807" s="155" t="s">
        <v>247</v>
      </c>
      <c r="AG2807" s="155" t="s">
        <v>247</v>
      </c>
    </row>
    <row r="2808" spans="25:33">
      <c r="Y2808" s="47">
        <v>7223</v>
      </c>
      <c r="Z2808" s="52" t="s">
        <v>407</v>
      </c>
      <c r="AA2808" s="52" t="s">
        <v>247</v>
      </c>
      <c r="AB2808" s="52" t="s">
        <v>247</v>
      </c>
      <c r="AC2808" s="52" t="s">
        <v>247</v>
      </c>
      <c r="AD2808" s="52" t="s">
        <v>1</v>
      </c>
      <c r="AE2808" s="52" t="s">
        <v>385</v>
      </c>
      <c r="AF2808" s="155" t="s">
        <v>247</v>
      </c>
      <c r="AG2808" s="155" t="s">
        <v>247</v>
      </c>
    </row>
    <row r="2809" spans="25:33">
      <c r="Y2809" s="47">
        <v>7224</v>
      </c>
      <c r="Z2809" s="52" t="s">
        <v>407</v>
      </c>
      <c r="AA2809" s="52" t="s">
        <v>247</v>
      </c>
      <c r="AB2809" s="52" t="s">
        <v>247</v>
      </c>
      <c r="AC2809" s="52" t="s">
        <v>247</v>
      </c>
      <c r="AD2809" s="52" t="s">
        <v>1</v>
      </c>
      <c r="AE2809" s="52" t="s">
        <v>385</v>
      </c>
      <c r="AF2809" s="155" t="s">
        <v>247</v>
      </c>
      <c r="AG2809" s="155" t="s">
        <v>247</v>
      </c>
    </row>
    <row r="2810" spans="25:33">
      <c r="Y2810" s="47">
        <v>7225</v>
      </c>
      <c r="Z2810" s="52" t="s">
        <v>407</v>
      </c>
      <c r="AA2810" s="52" t="s">
        <v>247</v>
      </c>
      <c r="AB2810" s="52" t="s">
        <v>247</v>
      </c>
      <c r="AC2810" s="52" t="s">
        <v>247</v>
      </c>
      <c r="AD2810" s="52" t="s">
        <v>1</v>
      </c>
      <c r="AE2810" s="52" t="s">
        <v>385</v>
      </c>
      <c r="AF2810" s="155" t="s">
        <v>247</v>
      </c>
      <c r="AG2810" s="155" t="s">
        <v>247</v>
      </c>
    </row>
    <row r="2811" spans="25:33">
      <c r="Y2811" s="47">
        <v>7226</v>
      </c>
      <c r="Z2811" s="52" t="s">
        <v>407</v>
      </c>
      <c r="AA2811" s="52" t="s">
        <v>247</v>
      </c>
      <c r="AB2811" s="52" t="s">
        <v>247</v>
      </c>
      <c r="AC2811" s="52" t="s">
        <v>247</v>
      </c>
      <c r="AD2811" s="52" t="s">
        <v>1</v>
      </c>
      <c r="AE2811" s="52" t="s">
        <v>385</v>
      </c>
      <c r="AF2811" s="155" t="s">
        <v>247</v>
      </c>
      <c r="AG2811" s="155" t="s">
        <v>247</v>
      </c>
    </row>
    <row r="2812" spans="25:33">
      <c r="Y2812" s="47">
        <v>7227</v>
      </c>
      <c r="Z2812" s="52" t="s">
        <v>407</v>
      </c>
      <c r="AA2812" s="52" t="s">
        <v>247</v>
      </c>
      <c r="AB2812" s="52" t="s">
        <v>247</v>
      </c>
      <c r="AC2812" s="52" t="s">
        <v>247</v>
      </c>
      <c r="AD2812" s="52" t="s">
        <v>1</v>
      </c>
      <c r="AE2812" s="52" t="s">
        <v>385</v>
      </c>
      <c r="AF2812" s="155" t="s">
        <v>247</v>
      </c>
      <c r="AG2812" s="155" t="s">
        <v>247</v>
      </c>
    </row>
    <row r="2813" spans="25:33">
      <c r="Y2813" s="47">
        <v>7228</v>
      </c>
      <c r="Z2813" s="52" t="s">
        <v>407</v>
      </c>
      <c r="AA2813" s="52" t="s">
        <v>247</v>
      </c>
      <c r="AB2813" s="52" t="s">
        <v>247</v>
      </c>
      <c r="AC2813" s="52" t="s">
        <v>247</v>
      </c>
      <c r="AD2813" s="52" t="s">
        <v>1</v>
      </c>
      <c r="AE2813" s="52" t="s">
        <v>385</v>
      </c>
      <c r="AF2813" s="155" t="s">
        <v>247</v>
      </c>
      <c r="AG2813" s="155" t="s">
        <v>247</v>
      </c>
    </row>
    <row r="2814" spans="25:33">
      <c r="Y2814" s="47">
        <v>7229</v>
      </c>
      <c r="Z2814" s="52" t="s">
        <v>407</v>
      </c>
      <c r="AA2814" s="52" t="s">
        <v>247</v>
      </c>
      <c r="AB2814" s="52" t="s">
        <v>247</v>
      </c>
      <c r="AC2814" s="52" t="s">
        <v>247</v>
      </c>
      <c r="AD2814" s="52" t="s">
        <v>1</v>
      </c>
      <c r="AE2814" s="52" t="s">
        <v>385</v>
      </c>
      <c r="AF2814" s="155" t="s">
        <v>247</v>
      </c>
      <c r="AG2814" s="155" t="s">
        <v>247</v>
      </c>
    </row>
    <row r="2815" spans="25:33">
      <c r="Y2815" s="47">
        <v>7230</v>
      </c>
      <c r="Z2815" s="52" t="s">
        <v>407</v>
      </c>
      <c r="AA2815" s="52" t="s">
        <v>247</v>
      </c>
      <c r="AB2815" s="52" t="s">
        <v>247</v>
      </c>
      <c r="AC2815" s="52" t="s">
        <v>247</v>
      </c>
      <c r="AD2815" s="52" t="s">
        <v>1</v>
      </c>
      <c r="AE2815" s="52" t="s">
        <v>385</v>
      </c>
      <c r="AF2815" s="155" t="s">
        <v>247</v>
      </c>
      <c r="AG2815" s="155" t="s">
        <v>247</v>
      </c>
    </row>
    <row r="2816" spans="25:33">
      <c r="Y2816" s="47">
        <v>7231</v>
      </c>
      <c r="Z2816" s="52" t="s">
        <v>407</v>
      </c>
      <c r="AA2816" s="52" t="s">
        <v>247</v>
      </c>
      <c r="AB2816" s="52" t="s">
        <v>247</v>
      </c>
      <c r="AC2816" s="52" t="s">
        <v>247</v>
      </c>
      <c r="AD2816" s="52" t="s">
        <v>1</v>
      </c>
      <c r="AE2816" s="52" t="s">
        <v>385</v>
      </c>
      <c r="AF2816" s="155" t="s">
        <v>247</v>
      </c>
      <c r="AG2816" s="155" t="s">
        <v>247</v>
      </c>
    </row>
    <row r="2817" spans="25:33">
      <c r="Y2817" s="47">
        <v>7232</v>
      </c>
      <c r="Z2817" s="52" t="s">
        <v>407</v>
      </c>
      <c r="AA2817" s="52" t="s">
        <v>247</v>
      </c>
      <c r="AB2817" s="52" t="s">
        <v>247</v>
      </c>
      <c r="AC2817" s="52" t="s">
        <v>247</v>
      </c>
      <c r="AD2817" s="52" t="s">
        <v>1</v>
      </c>
      <c r="AE2817" s="52" t="s">
        <v>385</v>
      </c>
      <c r="AF2817" s="155" t="s">
        <v>247</v>
      </c>
      <c r="AG2817" s="155" t="s">
        <v>247</v>
      </c>
    </row>
    <row r="2818" spans="25:33">
      <c r="Y2818" s="47">
        <v>7233</v>
      </c>
      <c r="Z2818" s="52" t="s">
        <v>407</v>
      </c>
      <c r="AA2818" s="52" t="s">
        <v>247</v>
      </c>
      <c r="AB2818" s="52" t="s">
        <v>247</v>
      </c>
      <c r="AC2818" s="52" t="s">
        <v>247</v>
      </c>
      <c r="AD2818" s="52" t="s">
        <v>1</v>
      </c>
      <c r="AE2818" s="52" t="s">
        <v>385</v>
      </c>
      <c r="AF2818" s="155" t="s">
        <v>247</v>
      </c>
      <c r="AG2818" s="155" t="s">
        <v>247</v>
      </c>
    </row>
    <row r="2819" spans="25:33">
      <c r="Y2819" s="47">
        <v>7234</v>
      </c>
      <c r="Z2819" s="52" t="s">
        <v>407</v>
      </c>
      <c r="AA2819" s="52" t="s">
        <v>247</v>
      </c>
      <c r="AB2819" s="52" t="s">
        <v>247</v>
      </c>
      <c r="AC2819" s="52" t="s">
        <v>247</v>
      </c>
      <c r="AD2819" s="52" t="s">
        <v>1</v>
      </c>
      <c r="AE2819" s="52" t="s">
        <v>385</v>
      </c>
      <c r="AF2819" s="155" t="s">
        <v>247</v>
      </c>
      <c r="AG2819" s="155" t="s">
        <v>247</v>
      </c>
    </row>
    <row r="2820" spans="25:33">
      <c r="Y2820" s="47">
        <v>7235</v>
      </c>
      <c r="Z2820" s="52" t="s">
        <v>407</v>
      </c>
      <c r="AA2820" s="52" t="s">
        <v>247</v>
      </c>
      <c r="AB2820" s="52" t="s">
        <v>247</v>
      </c>
      <c r="AC2820" s="52" t="s">
        <v>247</v>
      </c>
      <c r="AD2820" s="52" t="s">
        <v>1</v>
      </c>
      <c r="AE2820" s="52" t="s">
        <v>385</v>
      </c>
      <c r="AF2820" s="155" t="s">
        <v>247</v>
      </c>
      <c r="AG2820" s="155" t="s">
        <v>247</v>
      </c>
    </row>
    <row r="2821" spans="25:33">
      <c r="Y2821" s="47">
        <v>7236</v>
      </c>
      <c r="Z2821" s="52" t="s">
        <v>407</v>
      </c>
      <c r="AA2821" s="52" t="s">
        <v>247</v>
      </c>
      <c r="AB2821" s="52" t="s">
        <v>247</v>
      </c>
      <c r="AC2821" s="52" t="s">
        <v>247</v>
      </c>
      <c r="AD2821" s="52" t="s">
        <v>1</v>
      </c>
      <c r="AE2821" s="52" t="s">
        <v>385</v>
      </c>
      <c r="AF2821" s="155" t="s">
        <v>247</v>
      </c>
      <c r="AG2821" s="155" t="s">
        <v>247</v>
      </c>
    </row>
    <row r="2822" spans="25:33">
      <c r="Y2822" s="47">
        <v>7237</v>
      </c>
      <c r="Z2822" s="52" t="s">
        <v>407</v>
      </c>
      <c r="AA2822" s="52" t="s">
        <v>247</v>
      </c>
      <c r="AB2822" s="52" t="s">
        <v>247</v>
      </c>
      <c r="AC2822" s="52" t="s">
        <v>247</v>
      </c>
      <c r="AD2822" s="52" t="s">
        <v>1</v>
      </c>
      <c r="AE2822" s="52" t="s">
        <v>385</v>
      </c>
      <c r="AF2822" s="155" t="s">
        <v>247</v>
      </c>
      <c r="AG2822" s="155" t="s">
        <v>247</v>
      </c>
    </row>
    <row r="2823" spans="25:33">
      <c r="Y2823" s="47">
        <v>7238</v>
      </c>
      <c r="Z2823" s="52" t="s">
        <v>407</v>
      </c>
      <c r="AA2823" s="52" t="s">
        <v>247</v>
      </c>
      <c r="AB2823" s="52" t="s">
        <v>247</v>
      </c>
      <c r="AC2823" s="52" t="s">
        <v>247</v>
      </c>
      <c r="AD2823" s="52" t="s">
        <v>1</v>
      </c>
      <c r="AE2823" s="52" t="s">
        <v>385</v>
      </c>
      <c r="AF2823" s="155" t="s">
        <v>247</v>
      </c>
      <c r="AG2823" s="155" t="s">
        <v>247</v>
      </c>
    </row>
    <row r="2824" spans="25:33">
      <c r="Y2824" s="47">
        <v>7239</v>
      </c>
      <c r="Z2824" s="52" t="s">
        <v>407</v>
      </c>
      <c r="AA2824" s="52" t="s">
        <v>247</v>
      </c>
      <c r="AB2824" s="52" t="s">
        <v>247</v>
      </c>
      <c r="AC2824" s="52" t="s">
        <v>247</v>
      </c>
      <c r="AD2824" s="52" t="s">
        <v>1</v>
      </c>
      <c r="AE2824" s="52" t="s">
        <v>385</v>
      </c>
      <c r="AF2824" s="155" t="s">
        <v>247</v>
      </c>
      <c r="AG2824" s="155" t="s">
        <v>247</v>
      </c>
    </row>
    <row r="2825" spans="25:33">
      <c r="Y2825" s="47">
        <v>7240</v>
      </c>
      <c r="Z2825" s="52" t="s">
        <v>407</v>
      </c>
      <c r="AA2825" s="52" t="s">
        <v>247</v>
      </c>
      <c r="AB2825" s="52" t="s">
        <v>247</v>
      </c>
      <c r="AC2825" s="52" t="s">
        <v>247</v>
      </c>
      <c r="AD2825" s="52" t="s">
        <v>1</v>
      </c>
      <c r="AE2825" s="52" t="s">
        <v>385</v>
      </c>
      <c r="AF2825" s="155" t="s">
        <v>247</v>
      </c>
      <c r="AG2825" s="155" t="s">
        <v>247</v>
      </c>
    </row>
    <row r="2826" spans="25:33">
      <c r="Y2826" s="47">
        <v>7241</v>
      </c>
      <c r="Z2826" s="52" t="s">
        <v>407</v>
      </c>
      <c r="AA2826" s="52" t="s">
        <v>247</v>
      </c>
      <c r="AB2826" s="52" t="s">
        <v>247</v>
      </c>
      <c r="AC2826" s="52" t="s">
        <v>247</v>
      </c>
      <c r="AD2826" s="52" t="s">
        <v>1</v>
      </c>
      <c r="AE2826" s="52" t="s">
        <v>385</v>
      </c>
      <c r="AF2826" s="155" t="s">
        <v>247</v>
      </c>
      <c r="AG2826" s="155" t="s">
        <v>247</v>
      </c>
    </row>
    <row r="2827" spans="25:33">
      <c r="Y2827" s="47">
        <v>7242</v>
      </c>
      <c r="Z2827" s="52" t="s">
        <v>407</v>
      </c>
      <c r="AA2827" s="52" t="s">
        <v>247</v>
      </c>
      <c r="AB2827" s="52" t="s">
        <v>247</v>
      </c>
      <c r="AC2827" s="52" t="s">
        <v>247</v>
      </c>
      <c r="AD2827" s="52" t="s">
        <v>1</v>
      </c>
      <c r="AE2827" s="52" t="s">
        <v>385</v>
      </c>
      <c r="AF2827" s="155" t="s">
        <v>247</v>
      </c>
      <c r="AG2827" s="155" t="s">
        <v>247</v>
      </c>
    </row>
    <row r="2828" spans="25:33">
      <c r="Y2828" s="47">
        <v>7243</v>
      </c>
      <c r="Z2828" s="52" t="s">
        <v>407</v>
      </c>
      <c r="AA2828" s="52" t="s">
        <v>247</v>
      </c>
      <c r="AB2828" s="52" t="s">
        <v>247</v>
      </c>
      <c r="AC2828" s="52" t="s">
        <v>247</v>
      </c>
      <c r="AD2828" s="52" t="s">
        <v>1</v>
      </c>
      <c r="AE2828" s="52" t="s">
        <v>385</v>
      </c>
      <c r="AF2828" s="155" t="s">
        <v>247</v>
      </c>
      <c r="AG2828" s="155" t="s">
        <v>247</v>
      </c>
    </row>
    <row r="2829" spans="25:33">
      <c r="Y2829" s="47">
        <v>7244</v>
      </c>
      <c r="Z2829" s="52" t="s">
        <v>407</v>
      </c>
      <c r="AA2829" s="52" t="s">
        <v>247</v>
      </c>
      <c r="AB2829" s="52" t="s">
        <v>247</v>
      </c>
      <c r="AC2829" s="52" t="s">
        <v>247</v>
      </c>
      <c r="AD2829" s="52" t="s">
        <v>1</v>
      </c>
      <c r="AE2829" s="52" t="s">
        <v>385</v>
      </c>
      <c r="AF2829" s="155" t="s">
        <v>247</v>
      </c>
      <c r="AG2829" s="155" t="s">
        <v>247</v>
      </c>
    </row>
    <row r="2830" spans="25:33">
      <c r="Y2830" s="47">
        <v>7245</v>
      </c>
      <c r="Z2830" s="52" t="s">
        <v>407</v>
      </c>
      <c r="AA2830" s="52" t="s">
        <v>247</v>
      </c>
      <c r="AB2830" s="52" t="s">
        <v>247</v>
      </c>
      <c r="AC2830" s="52" t="s">
        <v>247</v>
      </c>
      <c r="AD2830" s="52" t="s">
        <v>1</v>
      </c>
      <c r="AE2830" s="52" t="s">
        <v>385</v>
      </c>
      <c r="AF2830" s="155" t="s">
        <v>247</v>
      </c>
      <c r="AG2830" s="155" t="s">
        <v>247</v>
      </c>
    </row>
    <row r="2831" spans="25:33">
      <c r="Y2831" s="47">
        <v>7246</v>
      </c>
      <c r="Z2831" s="52" t="s">
        <v>407</v>
      </c>
      <c r="AA2831" s="52" t="s">
        <v>247</v>
      </c>
      <c r="AB2831" s="52" t="s">
        <v>247</v>
      </c>
      <c r="AC2831" s="52" t="s">
        <v>247</v>
      </c>
      <c r="AD2831" s="52" t="s">
        <v>1</v>
      </c>
      <c r="AE2831" s="52" t="s">
        <v>385</v>
      </c>
      <c r="AF2831" s="155" t="s">
        <v>247</v>
      </c>
      <c r="AG2831" s="155" t="s">
        <v>247</v>
      </c>
    </row>
    <row r="2832" spans="25:33">
      <c r="Y2832" s="47">
        <v>7247</v>
      </c>
      <c r="Z2832" s="52" t="s">
        <v>407</v>
      </c>
      <c r="AA2832" s="52" t="s">
        <v>247</v>
      </c>
      <c r="AB2832" s="52" t="s">
        <v>247</v>
      </c>
      <c r="AC2832" s="52" t="s">
        <v>247</v>
      </c>
      <c r="AD2832" s="52" t="s">
        <v>1</v>
      </c>
      <c r="AE2832" s="52" t="s">
        <v>385</v>
      </c>
      <c r="AF2832" s="155" t="s">
        <v>247</v>
      </c>
      <c r="AG2832" s="155" t="s">
        <v>247</v>
      </c>
    </row>
    <row r="2833" spans="25:33">
      <c r="Y2833" s="47">
        <v>7248</v>
      </c>
      <c r="Z2833" s="52" t="s">
        <v>407</v>
      </c>
      <c r="AA2833" s="52" t="s">
        <v>247</v>
      </c>
      <c r="AB2833" s="52" t="s">
        <v>247</v>
      </c>
      <c r="AC2833" s="52" t="s">
        <v>247</v>
      </c>
      <c r="AD2833" s="52" t="s">
        <v>1</v>
      </c>
      <c r="AE2833" s="52" t="s">
        <v>385</v>
      </c>
      <c r="AF2833" s="155" t="s">
        <v>247</v>
      </c>
      <c r="AG2833" s="155" t="s">
        <v>247</v>
      </c>
    </row>
    <row r="2834" spans="25:33">
      <c r="Y2834" s="47">
        <v>7249</v>
      </c>
      <c r="Z2834" s="52" t="s">
        <v>407</v>
      </c>
      <c r="AA2834" s="52" t="s">
        <v>247</v>
      </c>
      <c r="AB2834" s="52" t="s">
        <v>247</v>
      </c>
      <c r="AC2834" s="52" t="s">
        <v>247</v>
      </c>
      <c r="AD2834" s="52" t="s">
        <v>1</v>
      </c>
      <c r="AE2834" s="52" t="s">
        <v>385</v>
      </c>
      <c r="AF2834" s="155" t="s">
        <v>247</v>
      </c>
      <c r="AG2834" s="155" t="s">
        <v>247</v>
      </c>
    </row>
    <row r="2835" spans="25:33">
      <c r="Y2835" s="47">
        <v>7250</v>
      </c>
      <c r="Z2835" s="52" t="s">
        <v>407</v>
      </c>
      <c r="AA2835" s="52" t="s">
        <v>247</v>
      </c>
      <c r="AB2835" s="52" t="s">
        <v>247</v>
      </c>
      <c r="AC2835" s="52" t="s">
        <v>247</v>
      </c>
      <c r="AD2835" s="52" t="s">
        <v>1</v>
      </c>
      <c r="AE2835" s="52" t="s">
        <v>385</v>
      </c>
      <c r="AF2835" s="155" t="s">
        <v>247</v>
      </c>
      <c r="AG2835" s="155" t="s">
        <v>247</v>
      </c>
    </row>
    <row r="2836" spans="25:33">
      <c r="Y2836" s="47">
        <v>7251</v>
      </c>
      <c r="Z2836" s="52" t="s">
        <v>407</v>
      </c>
      <c r="AA2836" s="52" t="s">
        <v>247</v>
      </c>
      <c r="AB2836" s="52" t="s">
        <v>247</v>
      </c>
      <c r="AC2836" s="52" t="s">
        <v>247</v>
      </c>
      <c r="AD2836" s="52" t="s">
        <v>1</v>
      </c>
      <c r="AE2836" s="52" t="s">
        <v>385</v>
      </c>
      <c r="AF2836" s="155" t="s">
        <v>247</v>
      </c>
      <c r="AG2836" s="155" t="s">
        <v>247</v>
      </c>
    </row>
    <row r="2837" spans="25:33">
      <c r="Y2837" s="47">
        <v>7252</v>
      </c>
      <c r="Z2837" s="52" t="s">
        <v>407</v>
      </c>
      <c r="AA2837" s="52" t="s">
        <v>247</v>
      </c>
      <c r="AB2837" s="52" t="s">
        <v>247</v>
      </c>
      <c r="AC2837" s="52" t="s">
        <v>247</v>
      </c>
      <c r="AD2837" s="52" t="s">
        <v>1</v>
      </c>
      <c r="AE2837" s="52" t="s">
        <v>385</v>
      </c>
      <c r="AF2837" s="155" t="s">
        <v>247</v>
      </c>
      <c r="AG2837" s="155" t="s">
        <v>247</v>
      </c>
    </row>
    <row r="2838" spans="25:33">
      <c r="Y2838" s="47">
        <v>7253</v>
      </c>
      <c r="Z2838" s="52" t="s">
        <v>407</v>
      </c>
      <c r="AA2838" s="52" t="s">
        <v>247</v>
      </c>
      <c r="AB2838" s="52" t="s">
        <v>247</v>
      </c>
      <c r="AC2838" s="52" t="s">
        <v>247</v>
      </c>
      <c r="AD2838" s="52" t="s">
        <v>1</v>
      </c>
      <c r="AE2838" s="52" t="s">
        <v>385</v>
      </c>
      <c r="AF2838" s="155" t="s">
        <v>247</v>
      </c>
      <c r="AG2838" s="155" t="s">
        <v>247</v>
      </c>
    </row>
    <row r="2839" spans="25:33">
      <c r="Y2839" s="47">
        <v>7254</v>
      </c>
      <c r="Z2839" s="52" t="s">
        <v>407</v>
      </c>
      <c r="AA2839" s="52" t="s">
        <v>247</v>
      </c>
      <c r="AB2839" s="52" t="s">
        <v>247</v>
      </c>
      <c r="AC2839" s="52" t="s">
        <v>247</v>
      </c>
      <c r="AD2839" s="52" t="s">
        <v>1</v>
      </c>
      <c r="AE2839" s="52" t="s">
        <v>385</v>
      </c>
      <c r="AF2839" s="155" t="s">
        <v>247</v>
      </c>
      <c r="AG2839" s="155" t="s">
        <v>247</v>
      </c>
    </row>
    <row r="2840" spans="25:33">
      <c r="Y2840" s="47">
        <v>7255</v>
      </c>
      <c r="Z2840" s="52" t="s">
        <v>407</v>
      </c>
      <c r="AA2840" s="52" t="s">
        <v>247</v>
      </c>
      <c r="AB2840" s="52" t="s">
        <v>247</v>
      </c>
      <c r="AC2840" s="52" t="s">
        <v>247</v>
      </c>
      <c r="AD2840" s="52" t="s">
        <v>1</v>
      </c>
      <c r="AE2840" s="52" t="s">
        <v>385</v>
      </c>
      <c r="AF2840" s="155" t="s">
        <v>247</v>
      </c>
      <c r="AG2840" s="155" t="s">
        <v>247</v>
      </c>
    </row>
    <row r="2841" spans="25:33">
      <c r="Y2841" s="47">
        <v>7256</v>
      </c>
      <c r="Z2841" s="52" t="s">
        <v>407</v>
      </c>
      <c r="AA2841" s="52" t="s">
        <v>247</v>
      </c>
      <c r="AB2841" s="52" t="s">
        <v>247</v>
      </c>
      <c r="AC2841" s="52" t="s">
        <v>247</v>
      </c>
      <c r="AD2841" s="52" t="s">
        <v>1</v>
      </c>
      <c r="AE2841" s="52" t="s">
        <v>385</v>
      </c>
      <c r="AF2841" s="155" t="s">
        <v>247</v>
      </c>
      <c r="AG2841" s="155" t="s">
        <v>247</v>
      </c>
    </row>
    <row r="2842" spans="25:33">
      <c r="Y2842" s="47">
        <v>7257</v>
      </c>
      <c r="Z2842" s="52" t="s">
        <v>407</v>
      </c>
      <c r="AA2842" s="52" t="s">
        <v>247</v>
      </c>
      <c r="AB2842" s="52" t="s">
        <v>247</v>
      </c>
      <c r="AC2842" s="52" t="s">
        <v>247</v>
      </c>
      <c r="AD2842" s="52" t="s">
        <v>1</v>
      </c>
      <c r="AE2842" s="52" t="s">
        <v>385</v>
      </c>
      <c r="AF2842" s="155" t="s">
        <v>247</v>
      </c>
      <c r="AG2842" s="155" t="s">
        <v>247</v>
      </c>
    </row>
    <row r="2843" spans="25:33">
      <c r="Y2843" s="47">
        <v>7258</v>
      </c>
      <c r="Z2843" s="52" t="s">
        <v>407</v>
      </c>
      <c r="AA2843" s="52" t="s">
        <v>247</v>
      </c>
      <c r="AB2843" s="52" t="s">
        <v>247</v>
      </c>
      <c r="AC2843" s="52" t="s">
        <v>247</v>
      </c>
      <c r="AD2843" s="52" t="s">
        <v>1</v>
      </c>
      <c r="AE2843" s="52" t="s">
        <v>385</v>
      </c>
      <c r="AF2843" s="155" t="s">
        <v>247</v>
      </c>
      <c r="AG2843" s="155" t="s">
        <v>247</v>
      </c>
    </row>
    <row r="2844" spans="25:33">
      <c r="Y2844" s="47">
        <v>7259</v>
      </c>
      <c r="Z2844" s="52" t="s">
        <v>407</v>
      </c>
      <c r="AA2844" s="52" t="s">
        <v>247</v>
      </c>
      <c r="AB2844" s="52" t="s">
        <v>247</v>
      </c>
      <c r="AC2844" s="52" t="s">
        <v>247</v>
      </c>
      <c r="AD2844" s="52" t="s">
        <v>1</v>
      </c>
      <c r="AE2844" s="52" t="s">
        <v>385</v>
      </c>
      <c r="AF2844" s="155" t="s">
        <v>247</v>
      </c>
      <c r="AG2844" s="155" t="s">
        <v>247</v>
      </c>
    </row>
    <row r="2845" spans="25:33">
      <c r="Y2845" s="47">
        <v>7260</v>
      </c>
      <c r="Z2845" s="52" t="s">
        <v>407</v>
      </c>
      <c r="AA2845" s="52" t="s">
        <v>247</v>
      </c>
      <c r="AB2845" s="52" t="s">
        <v>247</v>
      </c>
      <c r="AC2845" s="52" t="s">
        <v>247</v>
      </c>
      <c r="AD2845" s="52" t="s">
        <v>1</v>
      </c>
      <c r="AE2845" s="52" t="s">
        <v>385</v>
      </c>
      <c r="AF2845" s="155" t="s">
        <v>247</v>
      </c>
      <c r="AG2845" s="155" t="s">
        <v>247</v>
      </c>
    </row>
    <row r="2846" spans="25:33">
      <c r="Y2846" s="47">
        <v>7261</v>
      </c>
      <c r="Z2846" s="52" t="s">
        <v>407</v>
      </c>
      <c r="AA2846" s="52" t="s">
        <v>247</v>
      </c>
      <c r="AB2846" s="52" t="s">
        <v>247</v>
      </c>
      <c r="AC2846" s="52" t="s">
        <v>247</v>
      </c>
      <c r="AD2846" s="52" t="s">
        <v>1</v>
      </c>
      <c r="AE2846" s="52" t="s">
        <v>385</v>
      </c>
      <c r="AF2846" s="155" t="s">
        <v>247</v>
      </c>
      <c r="AG2846" s="155" t="s">
        <v>247</v>
      </c>
    </row>
    <row r="2847" spans="25:33">
      <c r="Y2847" s="47">
        <v>7262</v>
      </c>
      <c r="Z2847" s="52" t="s">
        <v>407</v>
      </c>
      <c r="AA2847" s="52" t="s">
        <v>247</v>
      </c>
      <c r="AB2847" s="52" t="s">
        <v>247</v>
      </c>
      <c r="AC2847" s="52" t="s">
        <v>247</v>
      </c>
      <c r="AD2847" s="52" t="s">
        <v>1</v>
      </c>
      <c r="AE2847" s="52" t="s">
        <v>385</v>
      </c>
      <c r="AF2847" s="155" t="s">
        <v>247</v>
      </c>
      <c r="AG2847" s="155" t="s">
        <v>247</v>
      </c>
    </row>
    <row r="2848" spans="25:33">
      <c r="Y2848" s="47">
        <v>7263</v>
      </c>
      <c r="Z2848" s="52" t="s">
        <v>407</v>
      </c>
      <c r="AA2848" s="52" t="s">
        <v>247</v>
      </c>
      <c r="AB2848" s="52" t="s">
        <v>247</v>
      </c>
      <c r="AC2848" s="52" t="s">
        <v>247</v>
      </c>
      <c r="AD2848" s="52" t="s">
        <v>1</v>
      </c>
      <c r="AE2848" s="52" t="s">
        <v>385</v>
      </c>
      <c r="AF2848" s="155" t="s">
        <v>247</v>
      </c>
      <c r="AG2848" s="155" t="s">
        <v>247</v>
      </c>
    </row>
    <row r="2849" spans="25:33">
      <c r="Y2849" s="47">
        <v>7264</v>
      </c>
      <c r="Z2849" s="52" t="s">
        <v>407</v>
      </c>
      <c r="AA2849" s="52" t="s">
        <v>247</v>
      </c>
      <c r="AB2849" s="52" t="s">
        <v>247</v>
      </c>
      <c r="AC2849" s="52" t="s">
        <v>247</v>
      </c>
      <c r="AD2849" s="52" t="s">
        <v>1</v>
      </c>
      <c r="AE2849" s="52" t="s">
        <v>385</v>
      </c>
      <c r="AF2849" s="155" t="s">
        <v>247</v>
      </c>
      <c r="AG2849" s="155" t="s">
        <v>247</v>
      </c>
    </row>
    <row r="2850" spans="25:33">
      <c r="Y2850" s="47">
        <v>7265</v>
      </c>
      <c r="Z2850" s="52" t="s">
        <v>407</v>
      </c>
      <c r="AA2850" s="52" t="s">
        <v>247</v>
      </c>
      <c r="AB2850" s="52" t="s">
        <v>247</v>
      </c>
      <c r="AC2850" s="52" t="s">
        <v>247</v>
      </c>
      <c r="AD2850" s="52" t="s">
        <v>1</v>
      </c>
      <c r="AE2850" s="52" t="s">
        <v>385</v>
      </c>
      <c r="AF2850" s="155" t="s">
        <v>247</v>
      </c>
      <c r="AG2850" s="155" t="s">
        <v>247</v>
      </c>
    </row>
    <row r="2851" spans="25:33">
      <c r="Y2851" s="47">
        <v>7266</v>
      </c>
      <c r="Z2851" s="52" t="s">
        <v>407</v>
      </c>
      <c r="AA2851" s="52" t="s">
        <v>247</v>
      </c>
      <c r="AB2851" s="52" t="s">
        <v>247</v>
      </c>
      <c r="AC2851" s="52" t="s">
        <v>247</v>
      </c>
      <c r="AD2851" s="52" t="s">
        <v>1</v>
      </c>
      <c r="AE2851" s="52" t="s">
        <v>385</v>
      </c>
      <c r="AF2851" s="155" t="s">
        <v>247</v>
      </c>
      <c r="AG2851" s="155" t="s">
        <v>247</v>
      </c>
    </row>
    <row r="2852" spans="25:33">
      <c r="Y2852" s="47">
        <v>7267</v>
      </c>
      <c r="Z2852" s="52" t="s">
        <v>407</v>
      </c>
      <c r="AA2852" s="52" t="s">
        <v>247</v>
      </c>
      <c r="AB2852" s="52" t="s">
        <v>247</v>
      </c>
      <c r="AC2852" s="52" t="s">
        <v>247</v>
      </c>
      <c r="AD2852" s="52" t="s">
        <v>1</v>
      </c>
      <c r="AE2852" s="52" t="s">
        <v>385</v>
      </c>
      <c r="AF2852" s="155" t="s">
        <v>247</v>
      </c>
      <c r="AG2852" s="155" t="s">
        <v>247</v>
      </c>
    </row>
    <row r="2853" spans="25:33">
      <c r="Y2853" s="47">
        <v>7268</v>
      </c>
      <c r="Z2853" s="52" t="s">
        <v>407</v>
      </c>
      <c r="AA2853" s="52" t="s">
        <v>247</v>
      </c>
      <c r="AB2853" s="52" t="s">
        <v>247</v>
      </c>
      <c r="AC2853" s="52" t="s">
        <v>247</v>
      </c>
      <c r="AD2853" s="52" t="s">
        <v>1</v>
      </c>
      <c r="AE2853" s="52" t="s">
        <v>385</v>
      </c>
      <c r="AF2853" s="155" t="s">
        <v>247</v>
      </c>
      <c r="AG2853" s="155" t="s">
        <v>247</v>
      </c>
    </row>
    <row r="2854" spans="25:33">
      <c r="Y2854" s="47">
        <v>7269</v>
      </c>
      <c r="Z2854" s="52" t="s">
        <v>407</v>
      </c>
      <c r="AA2854" s="52" t="s">
        <v>247</v>
      </c>
      <c r="AB2854" s="52" t="s">
        <v>247</v>
      </c>
      <c r="AC2854" s="52" t="s">
        <v>247</v>
      </c>
      <c r="AD2854" s="52" t="s">
        <v>1</v>
      </c>
      <c r="AE2854" s="52" t="s">
        <v>385</v>
      </c>
      <c r="AF2854" s="155" t="s">
        <v>247</v>
      </c>
      <c r="AG2854" s="155" t="s">
        <v>247</v>
      </c>
    </row>
    <row r="2855" spans="25:33">
      <c r="Y2855" s="47">
        <v>7270</v>
      </c>
      <c r="Z2855" s="52" t="s">
        <v>407</v>
      </c>
      <c r="AA2855" s="52" t="s">
        <v>247</v>
      </c>
      <c r="AB2855" s="52" t="s">
        <v>247</v>
      </c>
      <c r="AC2855" s="52" t="s">
        <v>247</v>
      </c>
      <c r="AD2855" s="52" t="s">
        <v>1</v>
      </c>
      <c r="AE2855" s="52" t="s">
        <v>385</v>
      </c>
      <c r="AF2855" s="155" t="s">
        <v>247</v>
      </c>
      <c r="AG2855" s="155" t="s">
        <v>247</v>
      </c>
    </row>
    <row r="2856" spans="25:33">
      <c r="Y2856" s="47">
        <v>7271</v>
      </c>
      <c r="Z2856" s="52" t="s">
        <v>407</v>
      </c>
      <c r="AA2856" s="52" t="s">
        <v>247</v>
      </c>
      <c r="AB2856" s="52" t="s">
        <v>247</v>
      </c>
      <c r="AC2856" s="52" t="s">
        <v>247</v>
      </c>
      <c r="AD2856" s="52" t="s">
        <v>1</v>
      </c>
      <c r="AE2856" s="52" t="s">
        <v>385</v>
      </c>
      <c r="AF2856" s="155" t="s">
        <v>247</v>
      </c>
      <c r="AG2856" s="155" t="s">
        <v>247</v>
      </c>
    </row>
    <row r="2857" spans="25:33">
      <c r="Y2857" s="47">
        <v>7272</v>
      </c>
      <c r="Z2857" s="52" t="s">
        <v>407</v>
      </c>
      <c r="AA2857" s="52" t="s">
        <v>247</v>
      </c>
      <c r="AB2857" s="52" t="s">
        <v>247</v>
      </c>
      <c r="AC2857" s="52" t="s">
        <v>247</v>
      </c>
      <c r="AD2857" s="52" t="s">
        <v>1</v>
      </c>
      <c r="AE2857" s="52" t="s">
        <v>385</v>
      </c>
      <c r="AF2857" s="155" t="s">
        <v>247</v>
      </c>
      <c r="AG2857" s="155" t="s">
        <v>247</v>
      </c>
    </row>
    <row r="2858" spans="25:33">
      <c r="Y2858" s="47">
        <v>7273</v>
      </c>
      <c r="Z2858" s="52" t="s">
        <v>407</v>
      </c>
      <c r="AA2858" s="52" t="s">
        <v>247</v>
      </c>
      <c r="AB2858" s="52" t="s">
        <v>247</v>
      </c>
      <c r="AC2858" s="52" t="s">
        <v>247</v>
      </c>
      <c r="AD2858" s="52" t="s">
        <v>1</v>
      </c>
      <c r="AE2858" s="52" t="s">
        <v>385</v>
      </c>
      <c r="AF2858" s="155" t="s">
        <v>247</v>
      </c>
      <c r="AG2858" s="155" t="s">
        <v>247</v>
      </c>
    </row>
    <row r="2859" spans="25:33">
      <c r="Y2859" s="47">
        <v>7274</v>
      </c>
      <c r="Z2859" s="52" t="s">
        <v>407</v>
      </c>
      <c r="AA2859" s="52" t="s">
        <v>247</v>
      </c>
      <c r="AB2859" s="52" t="s">
        <v>247</v>
      </c>
      <c r="AC2859" s="52" t="s">
        <v>247</v>
      </c>
      <c r="AD2859" s="52" t="s">
        <v>1</v>
      </c>
      <c r="AE2859" s="52" t="s">
        <v>385</v>
      </c>
      <c r="AF2859" s="155" t="s">
        <v>247</v>
      </c>
      <c r="AG2859" s="155" t="s">
        <v>247</v>
      </c>
    </row>
    <row r="2860" spans="25:33">
      <c r="Y2860" s="47">
        <v>7275</v>
      </c>
      <c r="Z2860" s="52" t="s">
        <v>407</v>
      </c>
      <c r="AA2860" s="52" t="s">
        <v>247</v>
      </c>
      <c r="AB2860" s="52" t="s">
        <v>247</v>
      </c>
      <c r="AC2860" s="52" t="s">
        <v>247</v>
      </c>
      <c r="AD2860" s="52" t="s">
        <v>1</v>
      </c>
      <c r="AE2860" s="52" t="s">
        <v>385</v>
      </c>
      <c r="AF2860" s="155" t="s">
        <v>247</v>
      </c>
      <c r="AG2860" s="155" t="s">
        <v>247</v>
      </c>
    </row>
    <row r="2861" spans="25:33">
      <c r="Y2861" s="47">
        <v>7276</v>
      </c>
      <c r="Z2861" s="52" t="s">
        <v>407</v>
      </c>
      <c r="AA2861" s="52" t="s">
        <v>247</v>
      </c>
      <c r="AB2861" s="52" t="s">
        <v>247</v>
      </c>
      <c r="AC2861" s="52" t="s">
        <v>247</v>
      </c>
      <c r="AD2861" s="52" t="s">
        <v>1</v>
      </c>
      <c r="AE2861" s="52" t="s">
        <v>385</v>
      </c>
      <c r="AF2861" s="155" t="s">
        <v>247</v>
      </c>
      <c r="AG2861" s="155" t="s">
        <v>247</v>
      </c>
    </row>
    <row r="2862" spans="25:33">
      <c r="Y2862" s="47">
        <v>7277</v>
      </c>
      <c r="Z2862" s="52" t="s">
        <v>407</v>
      </c>
      <c r="AA2862" s="52" t="s">
        <v>247</v>
      </c>
      <c r="AB2862" s="52" t="s">
        <v>247</v>
      </c>
      <c r="AC2862" s="52" t="s">
        <v>247</v>
      </c>
      <c r="AD2862" s="52" t="s">
        <v>1</v>
      </c>
      <c r="AE2862" s="52" t="s">
        <v>385</v>
      </c>
      <c r="AF2862" s="155" t="s">
        <v>247</v>
      </c>
      <c r="AG2862" s="155" t="s">
        <v>247</v>
      </c>
    </row>
    <row r="2863" spans="25:33">
      <c r="Y2863" s="47">
        <v>7278</v>
      </c>
      <c r="Z2863" s="52" t="s">
        <v>407</v>
      </c>
      <c r="AA2863" s="52" t="s">
        <v>247</v>
      </c>
      <c r="AB2863" s="52" t="s">
        <v>247</v>
      </c>
      <c r="AC2863" s="52" t="s">
        <v>247</v>
      </c>
      <c r="AD2863" s="52" t="s">
        <v>1</v>
      </c>
      <c r="AE2863" s="52" t="s">
        <v>385</v>
      </c>
      <c r="AF2863" s="155" t="s">
        <v>247</v>
      </c>
      <c r="AG2863" s="155" t="s">
        <v>247</v>
      </c>
    </row>
    <row r="2864" spans="25:33">
      <c r="Y2864" s="47">
        <v>7279</v>
      </c>
      <c r="Z2864" s="52" t="s">
        <v>407</v>
      </c>
      <c r="AA2864" s="52" t="s">
        <v>247</v>
      </c>
      <c r="AB2864" s="52" t="s">
        <v>247</v>
      </c>
      <c r="AC2864" s="52" t="s">
        <v>247</v>
      </c>
      <c r="AD2864" s="52" t="s">
        <v>1</v>
      </c>
      <c r="AE2864" s="52" t="s">
        <v>385</v>
      </c>
      <c r="AF2864" s="155" t="s">
        <v>247</v>
      </c>
      <c r="AG2864" s="155" t="s">
        <v>247</v>
      </c>
    </row>
    <row r="2865" spans="25:33">
      <c r="Y2865" s="47">
        <v>7280</v>
      </c>
      <c r="Z2865" s="52" t="s">
        <v>407</v>
      </c>
      <c r="AA2865" s="52" t="s">
        <v>247</v>
      </c>
      <c r="AB2865" s="52" t="s">
        <v>247</v>
      </c>
      <c r="AC2865" s="52" t="s">
        <v>247</v>
      </c>
      <c r="AD2865" s="52" t="s">
        <v>1</v>
      </c>
      <c r="AE2865" s="52" t="s">
        <v>385</v>
      </c>
      <c r="AF2865" s="155" t="s">
        <v>247</v>
      </c>
      <c r="AG2865" s="155" t="s">
        <v>247</v>
      </c>
    </row>
    <row r="2866" spans="25:33">
      <c r="Y2866" s="47">
        <v>7281</v>
      </c>
      <c r="Z2866" s="52" t="s">
        <v>407</v>
      </c>
      <c r="AA2866" s="52" t="s">
        <v>247</v>
      </c>
      <c r="AB2866" s="52" t="s">
        <v>247</v>
      </c>
      <c r="AC2866" s="52" t="s">
        <v>247</v>
      </c>
      <c r="AD2866" s="52" t="s">
        <v>1</v>
      </c>
      <c r="AE2866" s="52" t="s">
        <v>385</v>
      </c>
      <c r="AF2866" s="155" t="s">
        <v>247</v>
      </c>
      <c r="AG2866" s="155" t="s">
        <v>247</v>
      </c>
    </row>
    <row r="2867" spans="25:33">
      <c r="Y2867" s="47">
        <v>7282</v>
      </c>
      <c r="Z2867" s="52" t="s">
        <v>407</v>
      </c>
      <c r="AA2867" s="52" t="s">
        <v>247</v>
      </c>
      <c r="AB2867" s="52" t="s">
        <v>247</v>
      </c>
      <c r="AC2867" s="52" t="s">
        <v>247</v>
      </c>
      <c r="AD2867" s="52" t="s">
        <v>1</v>
      </c>
      <c r="AE2867" s="52" t="s">
        <v>385</v>
      </c>
      <c r="AF2867" s="155" t="s">
        <v>247</v>
      </c>
      <c r="AG2867" s="155" t="s">
        <v>247</v>
      </c>
    </row>
    <row r="2868" spans="25:33">
      <c r="Y2868" s="47">
        <v>7283</v>
      </c>
      <c r="Z2868" s="52" t="s">
        <v>407</v>
      </c>
      <c r="AA2868" s="52" t="s">
        <v>247</v>
      </c>
      <c r="AB2868" s="52" t="s">
        <v>247</v>
      </c>
      <c r="AC2868" s="52" t="s">
        <v>247</v>
      </c>
      <c r="AD2868" s="52" t="s">
        <v>1</v>
      </c>
      <c r="AE2868" s="52" t="s">
        <v>385</v>
      </c>
      <c r="AF2868" s="155" t="s">
        <v>247</v>
      </c>
      <c r="AG2868" s="155" t="s">
        <v>247</v>
      </c>
    </row>
    <row r="2869" spans="25:33">
      <c r="Y2869" s="47">
        <v>7284</v>
      </c>
      <c r="Z2869" s="52" t="s">
        <v>407</v>
      </c>
      <c r="AA2869" s="52" t="s">
        <v>247</v>
      </c>
      <c r="AB2869" s="52" t="s">
        <v>247</v>
      </c>
      <c r="AC2869" s="52" t="s">
        <v>247</v>
      </c>
      <c r="AD2869" s="52" t="s">
        <v>1</v>
      </c>
      <c r="AE2869" s="52" t="s">
        <v>385</v>
      </c>
      <c r="AF2869" s="155" t="s">
        <v>247</v>
      </c>
      <c r="AG2869" s="155" t="s">
        <v>247</v>
      </c>
    </row>
    <row r="2870" spans="25:33">
      <c r="Y2870" s="47">
        <v>7285</v>
      </c>
      <c r="Z2870" s="52" t="s">
        <v>407</v>
      </c>
      <c r="AA2870" s="52" t="s">
        <v>247</v>
      </c>
      <c r="AB2870" s="52" t="s">
        <v>247</v>
      </c>
      <c r="AC2870" s="52" t="s">
        <v>247</v>
      </c>
      <c r="AD2870" s="52" t="s">
        <v>1</v>
      </c>
      <c r="AE2870" s="52" t="s">
        <v>385</v>
      </c>
      <c r="AF2870" s="155" t="s">
        <v>247</v>
      </c>
      <c r="AG2870" s="155" t="s">
        <v>247</v>
      </c>
    </row>
    <row r="2871" spans="25:33">
      <c r="Y2871" s="47">
        <v>7286</v>
      </c>
      <c r="Z2871" s="52" t="s">
        <v>407</v>
      </c>
      <c r="AA2871" s="52" t="s">
        <v>247</v>
      </c>
      <c r="AB2871" s="52" t="s">
        <v>247</v>
      </c>
      <c r="AC2871" s="52" t="s">
        <v>247</v>
      </c>
      <c r="AD2871" s="52" t="s">
        <v>1</v>
      </c>
      <c r="AE2871" s="52" t="s">
        <v>385</v>
      </c>
      <c r="AF2871" s="155" t="s">
        <v>247</v>
      </c>
      <c r="AG2871" s="155" t="s">
        <v>247</v>
      </c>
    </row>
    <row r="2872" spans="25:33">
      <c r="Y2872" s="47">
        <v>7287</v>
      </c>
      <c r="Z2872" s="52" t="s">
        <v>407</v>
      </c>
      <c r="AA2872" s="52" t="s">
        <v>247</v>
      </c>
      <c r="AB2872" s="52" t="s">
        <v>247</v>
      </c>
      <c r="AC2872" s="52" t="s">
        <v>247</v>
      </c>
      <c r="AD2872" s="52" t="s">
        <v>1</v>
      </c>
      <c r="AE2872" s="52" t="s">
        <v>385</v>
      </c>
      <c r="AF2872" s="155" t="s">
        <v>247</v>
      </c>
      <c r="AG2872" s="155" t="s">
        <v>247</v>
      </c>
    </row>
    <row r="2873" spans="25:33">
      <c r="Y2873" s="47">
        <v>7288</v>
      </c>
      <c r="Z2873" s="52" t="s">
        <v>407</v>
      </c>
      <c r="AA2873" s="52" t="s">
        <v>247</v>
      </c>
      <c r="AB2873" s="52" t="s">
        <v>247</v>
      </c>
      <c r="AC2873" s="52" t="s">
        <v>247</v>
      </c>
      <c r="AD2873" s="52" t="s">
        <v>1</v>
      </c>
      <c r="AE2873" s="52" t="s">
        <v>385</v>
      </c>
      <c r="AF2873" s="155" t="s">
        <v>247</v>
      </c>
      <c r="AG2873" s="155" t="s">
        <v>247</v>
      </c>
    </row>
    <row r="2874" spans="25:33">
      <c r="Y2874" s="47">
        <v>7289</v>
      </c>
      <c r="Z2874" s="52" t="s">
        <v>407</v>
      </c>
      <c r="AA2874" s="52" t="s">
        <v>247</v>
      </c>
      <c r="AB2874" s="52" t="s">
        <v>247</v>
      </c>
      <c r="AC2874" s="52" t="s">
        <v>247</v>
      </c>
      <c r="AD2874" s="52" t="s">
        <v>1</v>
      </c>
      <c r="AE2874" s="52" t="s">
        <v>385</v>
      </c>
      <c r="AF2874" s="155" t="s">
        <v>247</v>
      </c>
      <c r="AG2874" s="155" t="s">
        <v>247</v>
      </c>
    </row>
    <row r="2875" spans="25:33">
      <c r="Y2875" s="47">
        <v>7290</v>
      </c>
      <c r="Z2875" s="52" t="s">
        <v>407</v>
      </c>
      <c r="AA2875" s="52" t="s">
        <v>247</v>
      </c>
      <c r="AB2875" s="52" t="s">
        <v>247</v>
      </c>
      <c r="AC2875" s="52" t="s">
        <v>247</v>
      </c>
      <c r="AD2875" s="52" t="s">
        <v>1</v>
      </c>
      <c r="AE2875" s="52" t="s">
        <v>385</v>
      </c>
      <c r="AF2875" s="155" t="s">
        <v>247</v>
      </c>
      <c r="AG2875" s="155" t="s">
        <v>247</v>
      </c>
    </row>
    <row r="2876" spans="25:33">
      <c r="Y2876" s="47">
        <v>7291</v>
      </c>
      <c r="Z2876" s="52" t="s">
        <v>407</v>
      </c>
      <c r="AA2876" s="52" t="s">
        <v>247</v>
      </c>
      <c r="AB2876" s="52" t="s">
        <v>247</v>
      </c>
      <c r="AC2876" s="52" t="s">
        <v>247</v>
      </c>
      <c r="AD2876" s="52" t="s">
        <v>1</v>
      </c>
      <c r="AE2876" s="52" t="s">
        <v>385</v>
      </c>
      <c r="AF2876" s="155" t="s">
        <v>247</v>
      </c>
      <c r="AG2876" s="155" t="s">
        <v>247</v>
      </c>
    </row>
    <row r="2877" spans="25:33">
      <c r="Y2877" s="47">
        <v>7292</v>
      </c>
      <c r="Z2877" s="52" t="s">
        <v>407</v>
      </c>
      <c r="AA2877" s="52" t="s">
        <v>247</v>
      </c>
      <c r="AB2877" s="52" t="s">
        <v>247</v>
      </c>
      <c r="AC2877" s="52" t="s">
        <v>247</v>
      </c>
      <c r="AD2877" s="52" t="s">
        <v>1</v>
      </c>
      <c r="AE2877" s="52" t="s">
        <v>385</v>
      </c>
      <c r="AF2877" s="155" t="s">
        <v>247</v>
      </c>
      <c r="AG2877" s="155" t="s">
        <v>247</v>
      </c>
    </row>
    <row r="2878" spans="25:33">
      <c r="Y2878" s="47">
        <v>7293</v>
      </c>
      <c r="Z2878" s="52" t="s">
        <v>407</v>
      </c>
      <c r="AA2878" s="52" t="s">
        <v>247</v>
      </c>
      <c r="AB2878" s="52" t="s">
        <v>247</v>
      </c>
      <c r="AC2878" s="52" t="s">
        <v>247</v>
      </c>
      <c r="AD2878" s="52" t="s">
        <v>1</v>
      </c>
      <c r="AE2878" s="52" t="s">
        <v>385</v>
      </c>
      <c r="AF2878" s="155" t="s">
        <v>247</v>
      </c>
      <c r="AG2878" s="155" t="s">
        <v>247</v>
      </c>
    </row>
    <row r="2879" spans="25:33">
      <c r="Y2879" s="47">
        <v>7294</v>
      </c>
      <c r="Z2879" s="52" t="s">
        <v>407</v>
      </c>
      <c r="AA2879" s="52" t="s">
        <v>247</v>
      </c>
      <c r="AB2879" s="52" t="s">
        <v>247</v>
      </c>
      <c r="AC2879" s="52" t="s">
        <v>247</v>
      </c>
      <c r="AD2879" s="52" t="s">
        <v>1</v>
      </c>
      <c r="AE2879" s="52" t="s">
        <v>385</v>
      </c>
      <c r="AF2879" s="155" t="s">
        <v>247</v>
      </c>
      <c r="AG2879" s="155" t="s">
        <v>247</v>
      </c>
    </row>
    <row r="2880" spans="25:33">
      <c r="Y2880" s="47">
        <v>7295</v>
      </c>
      <c r="Z2880" s="52" t="s">
        <v>407</v>
      </c>
      <c r="AA2880" s="52" t="s">
        <v>247</v>
      </c>
      <c r="AB2880" s="52" t="s">
        <v>247</v>
      </c>
      <c r="AC2880" s="52" t="s">
        <v>247</v>
      </c>
      <c r="AD2880" s="52" t="s">
        <v>1</v>
      </c>
      <c r="AE2880" s="52" t="s">
        <v>385</v>
      </c>
      <c r="AF2880" s="155" t="s">
        <v>247</v>
      </c>
      <c r="AG2880" s="155" t="s">
        <v>247</v>
      </c>
    </row>
    <row r="2881" spans="25:33">
      <c r="Y2881" s="47">
        <v>7296</v>
      </c>
      <c r="Z2881" s="52" t="s">
        <v>407</v>
      </c>
      <c r="AA2881" s="52" t="s">
        <v>247</v>
      </c>
      <c r="AB2881" s="52" t="s">
        <v>247</v>
      </c>
      <c r="AC2881" s="52" t="s">
        <v>247</v>
      </c>
      <c r="AD2881" s="52" t="s">
        <v>1</v>
      </c>
      <c r="AE2881" s="52" t="s">
        <v>385</v>
      </c>
      <c r="AF2881" s="155" t="s">
        <v>247</v>
      </c>
      <c r="AG2881" s="155" t="s">
        <v>247</v>
      </c>
    </row>
    <row r="2882" spans="25:33">
      <c r="Y2882" s="47">
        <v>7297</v>
      </c>
      <c r="Z2882" s="52" t="s">
        <v>407</v>
      </c>
      <c r="AA2882" s="52" t="s">
        <v>247</v>
      </c>
      <c r="AB2882" s="52" t="s">
        <v>247</v>
      </c>
      <c r="AC2882" s="52" t="s">
        <v>247</v>
      </c>
      <c r="AD2882" s="52" t="s">
        <v>1</v>
      </c>
      <c r="AE2882" s="52" t="s">
        <v>385</v>
      </c>
      <c r="AF2882" s="155" t="s">
        <v>247</v>
      </c>
      <c r="AG2882" s="155" t="s">
        <v>247</v>
      </c>
    </row>
    <row r="2883" spans="25:33">
      <c r="Y2883" s="47">
        <v>7298</v>
      </c>
      <c r="Z2883" s="52" t="s">
        <v>407</v>
      </c>
      <c r="AA2883" s="52" t="s">
        <v>247</v>
      </c>
      <c r="AB2883" s="52" t="s">
        <v>247</v>
      </c>
      <c r="AC2883" s="52" t="s">
        <v>247</v>
      </c>
      <c r="AD2883" s="52" t="s">
        <v>1</v>
      </c>
      <c r="AE2883" s="52" t="s">
        <v>385</v>
      </c>
      <c r="AF2883" s="155" t="s">
        <v>247</v>
      </c>
      <c r="AG2883" s="155" t="s">
        <v>247</v>
      </c>
    </row>
    <row r="2884" spans="25:33">
      <c r="Y2884" s="47">
        <v>7299</v>
      </c>
      <c r="Z2884" s="52" t="s">
        <v>407</v>
      </c>
      <c r="AA2884" s="52" t="s">
        <v>247</v>
      </c>
      <c r="AB2884" s="52" t="s">
        <v>247</v>
      </c>
      <c r="AC2884" s="52" t="s">
        <v>247</v>
      </c>
      <c r="AD2884" s="52" t="s">
        <v>1</v>
      </c>
      <c r="AE2884" s="52" t="s">
        <v>385</v>
      </c>
      <c r="AF2884" s="155" t="s">
        <v>247</v>
      </c>
      <c r="AG2884" s="155" t="s">
        <v>247</v>
      </c>
    </row>
    <row r="2885" spans="25:33">
      <c r="Y2885" s="47">
        <v>7300</v>
      </c>
      <c r="Z2885" s="52" t="s">
        <v>407</v>
      </c>
      <c r="AA2885" s="52" t="s">
        <v>247</v>
      </c>
      <c r="AB2885" s="52" t="s">
        <v>247</v>
      </c>
      <c r="AC2885" s="52" t="s">
        <v>247</v>
      </c>
      <c r="AD2885" s="52" t="s">
        <v>1</v>
      </c>
      <c r="AE2885" s="52" t="s">
        <v>385</v>
      </c>
      <c r="AF2885" s="155" t="s">
        <v>247</v>
      </c>
      <c r="AG2885" s="155" t="s">
        <v>247</v>
      </c>
    </row>
    <row r="2886" spans="25:33">
      <c r="Y2886" s="47">
        <v>7301</v>
      </c>
      <c r="Z2886" s="52" t="s">
        <v>407</v>
      </c>
      <c r="AA2886" s="52" t="s">
        <v>247</v>
      </c>
      <c r="AB2886" s="52" t="s">
        <v>247</v>
      </c>
      <c r="AC2886" s="52" t="s">
        <v>247</v>
      </c>
      <c r="AD2886" s="52" t="s">
        <v>1</v>
      </c>
      <c r="AE2886" s="52" t="s">
        <v>385</v>
      </c>
      <c r="AF2886" s="155" t="s">
        <v>247</v>
      </c>
      <c r="AG2886" s="155" t="s">
        <v>247</v>
      </c>
    </row>
    <row r="2887" spans="25:33">
      <c r="Y2887" s="47">
        <v>7302</v>
      </c>
      <c r="Z2887" s="52" t="s">
        <v>407</v>
      </c>
      <c r="AA2887" s="52" t="s">
        <v>247</v>
      </c>
      <c r="AB2887" s="52" t="s">
        <v>247</v>
      </c>
      <c r="AC2887" s="52" t="s">
        <v>247</v>
      </c>
      <c r="AD2887" s="52" t="s">
        <v>1</v>
      </c>
      <c r="AE2887" s="52" t="s">
        <v>385</v>
      </c>
      <c r="AF2887" s="155" t="s">
        <v>247</v>
      </c>
      <c r="AG2887" s="155" t="s">
        <v>247</v>
      </c>
    </row>
    <row r="2888" spans="25:33">
      <c r="Y2888" s="47">
        <v>7303</v>
      </c>
      <c r="Z2888" s="52" t="s">
        <v>407</v>
      </c>
      <c r="AA2888" s="52" t="s">
        <v>247</v>
      </c>
      <c r="AB2888" s="52" t="s">
        <v>247</v>
      </c>
      <c r="AC2888" s="52" t="s">
        <v>247</v>
      </c>
      <c r="AD2888" s="52" t="s">
        <v>1</v>
      </c>
      <c r="AE2888" s="52" t="s">
        <v>385</v>
      </c>
      <c r="AF2888" s="155" t="s">
        <v>247</v>
      </c>
      <c r="AG2888" s="155" t="s">
        <v>247</v>
      </c>
    </row>
    <row r="2889" spans="25:33">
      <c r="Y2889" s="47">
        <v>7304</v>
      </c>
      <c r="Z2889" s="52" t="s">
        <v>407</v>
      </c>
      <c r="AA2889" s="52" t="s">
        <v>247</v>
      </c>
      <c r="AB2889" s="52" t="s">
        <v>247</v>
      </c>
      <c r="AC2889" s="52" t="s">
        <v>247</v>
      </c>
      <c r="AD2889" s="52" t="s">
        <v>1</v>
      </c>
      <c r="AE2889" s="52" t="s">
        <v>385</v>
      </c>
      <c r="AF2889" s="155" t="s">
        <v>247</v>
      </c>
      <c r="AG2889" s="155" t="s">
        <v>247</v>
      </c>
    </row>
    <row r="2890" spans="25:33">
      <c r="Y2890" s="47">
        <v>7305</v>
      </c>
      <c r="Z2890" s="52" t="s">
        <v>407</v>
      </c>
      <c r="AA2890" s="52" t="s">
        <v>247</v>
      </c>
      <c r="AB2890" s="52" t="s">
        <v>247</v>
      </c>
      <c r="AC2890" s="52" t="s">
        <v>247</v>
      </c>
      <c r="AD2890" s="52" t="s">
        <v>1</v>
      </c>
      <c r="AE2890" s="52" t="s">
        <v>385</v>
      </c>
      <c r="AF2890" s="155" t="s">
        <v>247</v>
      </c>
      <c r="AG2890" s="155" t="s">
        <v>247</v>
      </c>
    </row>
    <row r="2891" spans="25:33">
      <c r="Y2891" s="47">
        <v>7306</v>
      </c>
      <c r="Z2891" s="52" t="s">
        <v>407</v>
      </c>
      <c r="AA2891" s="52" t="s">
        <v>247</v>
      </c>
      <c r="AB2891" s="52" t="s">
        <v>247</v>
      </c>
      <c r="AC2891" s="52" t="s">
        <v>247</v>
      </c>
      <c r="AD2891" s="52" t="s">
        <v>1</v>
      </c>
      <c r="AE2891" s="52" t="s">
        <v>385</v>
      </c>
      <c r="AF2891" s="155" t="s">
        <v>247</v>
      </c>
      <c r="AG2891" s="155" t="s">
        <v>247</v>
      </c>
    </row>
    <row r="2892" spans="25:33">
      <c r="Y2892" s="47">
        <v>7307</v>
      </c>
      <c r="Z2892" s="52" t="s">
        <v>407</v>
      </c>
      <c r="AA2892" s="52" t="s">
        <v>247</v>
      </c>
      <c r="AB2892" s="52" t="s">
        <v>247</v>
      </c>
      <c r="AC2892" s="52" t="s">
        <v>247</v>
      </c>
      <c r="AD2892" s="52" t="s">
        <v>1</v>
      </c>
      <c r="AE2892" s="52" t="s">
        <v>385</v>
      </c>
      <c r="AF2892" s="155" t="s">
        <v>247</v>
      </c>
      <c r="AG2892" s="155" t="s">
        <v>247</v>
      </c>
    </row>
    <row r="2893" spans="25:33">
      <c r="Y2893" s="47">
        <v>7308</v>
      </c>
      <c r="Z2893" s="52" t="s">
        <v>407</v>
      </c>
      <c r="AA2893" s="52" t="s">
        <v>247</v>
      </c>
      <c r="AB2893" s="52" t="s">
        <v>247</v>
      </c>
      <c r="AC2893" s="52" t="s">
        <v>247</v>
      </c>
      <c r="AD2893" s="52" t="s">
        <v>1</v>
      </c>
      <c r="AE2893" s="52" t="s">
        <v>385</v>
      </c>
      <c r="AF2893" s="155" t="s">
        <v>247</v>
      </c>
      <c r="AG2893" s="155" t="s">
        <v>247</v>
      </c>
    </row>
    <row r="2894" spans="25:33">
      <c r="Y2894" s="47">
        <v>7309</v>
      </c>
      <c r="Z2894" s="52" t="s">
        <v>407</v>
      </c>
      <c r="AA2894" s="52" t="s">
        <v>247</v>
      </c>
      <c r="AB2894" s="52" t="s">
        <v>247</v>
      </c>
      <c r="AC2894" s="52" t="s">
        <v>247</v>
      </c>
      <c r="AD2894" s="52" t="s">
        <v>1</v>
      </c>
      <c r="AE2894" s="52" t="s">
        <v>385</v>
      </c>
      <c r="AF2894" s="155" t="s">
        <v>247</v>
      </c>
      <c r="AG2894" s="155" t="s">
        <v>247</v>
      </c>
    </row>
    <row r="2895" spans="25:33">
      <c r="Y2895" s="47">
        <v>7310</v>
      </c>
      <c r="Z2895" s="52" t="s">
        <v>407</v>
      </c>
      <c r="AA2895" s="52" t="s">
        <v>247</v>
      </c>
      <c r="AB2895" s="52" t="s">
        <v>247</v>
      </c>
      <c r="AC2895" s="52" t="s">
        <v>247</v>
      </c>
      <c r="AD2895" s="52" t="s">
        <v>1</v>
      </c>
      <c r="AE2895" s="52" t="s">
        <v>385</v>
      </c>
      <c r="AF2895" s="155" t="s">
        <v>247</v>
      </c>
      <c r="AG2895" s="155" t="s">
        <v>247</v>
      </c>
    </row>
    <row r="2896" spans="25:33">
      <c r="Y2896" s="47">
        <v>7311</v>
      </c>
      <c r="Z2896" s="52" t="s">
        <v>407</v>
      </c>
      <c r="AA2896" s="52" t="s">
        <v>247</v>
      </c>
      <c r="AB2896" s="52" t="s">
        <v>247</v>
      </c>
      <c r="AC2896" s="52" t="s">
        <v>247</v>
      </c>
      <c r="AD2896" s="52" t="s">
        <v>1</v>
      </c>
      <c r="AE2896" s="52" t="s">
        <v>385</v>
      </c>
      <c r="AF2896" s="155" t="s">
        <v>247</v>
      </c>
      <c r="AG2896" s="155" t="s">
        <v>247</v>
      </c>
    </row>
    <row r="2897" spans="25:33">
      <c r="Y2897" s="47">
        <v>7312</v>
      </c>
      <c r="Z2897" s="52" t="s">
        <v>407</v>
      </c>
      <c r="AA2897" s="52" t="s">
        <v>247</v>
      </c>
      <c r="AB2897" s="52" t="s">
        <v>247</v>
      </c>
      <c r="AC2897" s="52" t="s">
        <v>247</v>
      </c>
      <c r="AD2897" s="52" t="s">
        <v>1</v>
      </c>
      <c r="AE2897" s="52" t="s">
        <v>385</v>
      </c>
      <c r="AF2897" s="155" t="s">
        <v>247</v>
      </c>
      <c r="AG2897" s="155" t="s">
        <v>247</v>
      </c>
    </row>
    <row r="2898" spans="25:33">
      <c r="Y2898" s="47">
        <v>7313</v>
      </c>
      <c r="Z2898" s="52" t="s">
        <v>407</v>
      </c>
      <c r="AA2898" s="52" t="s">
        <v>247</v>
      </c>
      <c r="AB2898" s="52" t="s">
        <v>247</v>
      </c>
      <c r="AC2898" s="52" t="s">
        <v>247</v>
      </c>
      <c r="AD2898" s="52" t="s">
        <v>1</v>
      </c>
      <c r="AE2898" s="52" t="s">
        <v>385</v>
      </c>
      <c r="AF2898" s="155" t="s">
        <v>247</v>
      </c>
      <c r="AG2898" s="155" t="s">
        <v>247</v>
      </c>
    </row>
    <row r="2899" spans="25:33">
      <c r="Y2899" s="47">
        <v>7314</v>
      </c>
      <c r="Z2899" s="52" t="s">
        <v>407</v>
      </c>
      <c r="AA2899" s="52" t="s">
        <v>247</v>
      </c>
      <c r="AB2899" s="52" t="s">
        <v>247</v>
      </c>
      <c r="AC2899" s="52" t="s">
        <v>247</v>
      </c>
      <c r="AD2899" s="52" t="s">
        <v>1</v>
      </c>
      <c r="AE2899" s="52" t="s">
        <v>385</v>
      </c>
      <c r="AF2899" s="155" t="s">
        <v>247</v>
      </c>
      <c r="AG2899" s="155" t="s">
        <v>247</v>
      </c>
    </row>
    <row r="2900" spans="25:33">
      <c r="Y2900" s="47">
        <v>7315</v>
      </c>
      <c r="Z2900" s="52" t="s">
        <v>407</v>
      </c>
      <c r="AA2900" s="52" t="s">
        <v>247</v>
      </c>
      <c r="AB2900" s="52" t="s">
        <v>247</v>
      </c>
      <c r="AC2900" s="52" t="s">
        <v>247</v>
      </c>
      <c r="AD2900" s="52" t="s">
        <v>1</v>
      </c>
      <c r="AE2900" s="52" t="s">
        <v>385</v>
      </c>
      <c r="AF2900" s="155" t="s">
        <v>247</v>
      </c>
      <c r="AG2900" s="155" t="s">
        <v>247</v>
      </c>
    </row>
    <row r="2901" spans="25:33">
      <c r="Y2901" s="47">
        <v>7316</v>
      </c>
      <c r="Z2901" s="52" t="s">
        <v>407</v>
      </c>
      <c r="AA2901" s="52" t="s">
        <v>247</v>
      </c>
      <c r="AB2901" s="52" t="s">
        <v>247</v>
      </c>
      <c r="AC2901" s="52" t="s">
        <v>247</v>
      </c>
      <c r="AD2901" s="52" t="s">
        <v>1</v>
      </c>
      <c r="AE2901" s="52" t="s">
        <v>385</v>
      </c>
      <c r="AF2901" s="155" t="s">
        <v>247</v>
      </c>
      <c r="AG2901" s="155" t="s">
        <v>247</v>
      </c>
    </row>
    <row r="2902" spans="25:33">
      <c r="Y2902" s="47">
        <v>7317</v>
      </c>
      <c r="Z2902" s="52" t="s">
        <v>407</v>
      </c>
      <c r="AA2902" s="52" t="s">
        <v>247</v>
      </c>
      <c r="AB2902" s="52" t="s">
        <v>247</v>
      </c>
      <c r="AC2902" s="52" t="s">
        <v>247</v>
      </c>
      <c r="AD2902" s="52" t="s">
        <v>1</v>
      </c>
      <c r="AE2902" s="52" t="s">
        <v>385</v>
      </c>
      <c r="AF2902" s="155" t="s">
        <v>247</v>
      </c>
      <c r="AG2902" s="155" t="s">
        <v>247</v>
      </c>
    </row>
    <row r="2903" spans="25:33">
      <c r="Y2903" s="47">
        <v>7318</v>
      </c>
      <c r="Z2903" s="52" t="s">
        <v>407</v>
      </c>
      <c r="AA2903" s="52" t="s">
        <v>247</v>
      </c>
      <c r="AB2903" s="52" t="s">
        <v>247</v>
      </c>
      <c r="AC2903" s="52" t="s">
        <v>247</v>
      </c>
      <c r="AD2903" s="52" t="s">
        <v>1</v>
      </c>
      <c r="AE2903" s="52" t="s">
        <v>385</v>
      </c>
      <c r="AF2903" s="155" t="s">
        <v>247</v>
      </c>
      <c r="AG2903" s="155" t="s">
        <v>247</v>
      </c>
    </row>
    <row r="2904" spans="25:33">
      <c r="Y2904" s="47">
        <v>7319</v>
      </c>
      <c r="Z2904" s="52" t="s">
        <v>407</v>
      </c>
      <c r="AA2904" s="52" t="s">
        <v>247</v>
      </c>
      <c r="AB2904" s="52" t="s">
        <v>247</v>
      </c>
      <c r="AC2904" s="52" t="s">
        <v>247</v>
      </c>
      <c r="AD2904" s="52" t="s">
        <v>1</v>
      </c>
      <c r="AE2904" s="52" t="s">
        <v>385</v>
      </c>
      <c r="AF2904" s="155" t="s">
        <v>247</v>
      </c>
      <c r="AG2904" s="155" t="s">
        <v>247</v>
      </c>
    </row>
    <row r="2905" spans="25:33">
      <c r="Y2905" s="47">
        <v>7320</v>
      </c>
      <c r="Z2905" s="52" t="s">
        <v>407</v>
      </c>
      <c r="AA2905" s="52" t="s">
        <v>247</v>
      </c>
      <c r="AB2905" s="52" t="s">
        <v>247</v>
      </c>
      <c r="AC2905" s="52" t="s">
        <v>247</v>
      </c>
      <c r="AD2905" s="52" t="s">
        <v>1</v>
      </c>
      <c r="AE2905" s="52" t="s">
        <v>385</v>
      </c>
      <c r="AF2905" s="155" t="s">
        <v>247</v>
      </c>
      <c r="AG2905" s="155" t="s">
        <v>247</v>
      </c>
    </row>
    <row r="2906" spans="25:33">
      <c r="Y2906" s="47">
        <v>7321</v>
      </c>
      <c r="Z2906" s="52" t="s">
        <v>407</v>
      </c>
      <c r="AA2906" s="52" t="s">
        <v>247</v>
      </c>
      <c r="AB2906" s="52" t="s">
        <v>247</v>
      </c>
      <c r="AC2906" s="52" t="s">
        <v>247</v>
      </c>
      <c r="AD2906" s="52" t="s">
        <v>1</v>
      </c>
      <c r="AE2906" s="52" t="s">
        <v>385</v>
      </c>
      <c r="AF2906" s="155" t="s">
        <v>247</v>
      </c>
      <c r="AG2906" s="155" t="s">
        <v>247</v>
      </c>
    </row>
    <row r="2907" spans="25:33">
      <c r="Y2907" s="47">
        <v>7322</v>
      </c>
      <c r="Z2907" s="52" t="s">
        <v>407</v>
      </c>
      <c r="AA2907" s="52" t="s">
        <v>247</v>
      </c>
      <c r="AB2907" s="52" t="s">
        <v>247</v>
      </c>
      <c r="AC2907" s="52" t="s">
        <v>247</v>
      </c>
      <c r="AD2907" s="52" t="s">
        <v>1</v>
      </c>
      <c r="AE2907" s="52" t="s">
        <v>385</v>
      </c>
      <c r="AF2907" s="155" t="s">
        <v>247</v>
      </c>
      <c r="AG2907" s="155" t="s">
        <v>247</v>
      </c>
    </row>
    <row r="2908" spans="25:33">
      <c r="Y2908" s="47">
        <v>7323</v>
      </c>
      <c r="Z2908" s="52" t="s">
        <v>407</v>
      </c>
      <c r="AA2908" s="52" t="s">
        <v>247</v>
      </c>
      <c r="AB2908" s="52" t="s">
        <v>247</v>
      </c>
      <c r="AC2908" s="52" t="s">
        <v>247</v>
      </c>
      <c r="AD2908" s="52" t="s">
        <v>1</v>
      </c>
      <c r="AE2908" s="52" t="s">
        <v>385</v>
      </c>
      <c r="AF2908" s="155" t="s">
        <v>247</v>
      </c>
      <c r="AG2908" s="155" t="s">
        <v>247</v>
      </c>
    </row>
    <row r="2909" spans="25:33">
      <c r="Y2909" s="47">
        <v>7324</v>
      </c>
      <c r="Z2909" s="52" t="s">
        <v>407</v>
      </c>
      <c r="AA2909" s="52" t="s">
        <v>247</v>
      </c>
      <c r="AB2909" s="52" t="s">
        <v>247</v>
      </c>
      <c r="AC2909" s="52" t="s">
        <v>247</v>
      </c>
      <c r="AD2909" s="52" t="s">
        <v>1</v>
      </c>
      <c r="AE2909" s="52" t="s">
        <v>385</v>
      </c>
      <c r="AF2909" s="155" t="s">
        <v>247</v>
      </c>
      <c r="AG2909" s="155" t="s">
        <v>247</v>
      </c>
    </row>
    <row r="2910" spans="25:33">
      <c r="Y2910" s="47">
        <v>7325</v>
      </c>
      <c r="Z2910" s="52" t="s">
        <v>407</v>
      </c>
      <c r="AA2910" s="52" t="s">
        <v>247</v>
      </c>
      <c r="AB2910" s="52" t="s">
        <v>247</v>
      </c>
      <c r="AC2910" s="52" t="s">
        <v>247</v>
      </c>
      <c r="AD2910" s="52" t="s">
        <v>1</v>
      </c>
      <c r="AE2910" s="52" t="s">
        <v>385</v>
      </c>
      <c r="AF2910" s="155" t="s">
        <v>247</v>
      </c>
      <c r="AG2910" s="155" t="s">
        <v>247</v>
      </c>
    </row>
    <row r="2911" spans="25:33">
      <c r="Y2911" s="47">
        <v>7326</v>
      </c>
      <c r="Z2911" s="52" t="s">
        <v>407</v>
      </c>
      <c r="AA2911" s="52" t="s">
        <v>247</v>
      </c>
      <c r="AB2911" s="52" t="s">
        <v>247</v>
      </c>
      <c r="AC2911" s="52" t="s">
        <v>247</v>
      </c>
      <c r="AD2911" s="52" t="s">
        <v>1</v>
      </c>
      <c r="AE2911" s="52" t="s">
        <v>385</v>
      </c>
      <c r="AF2911" s="155" t="s">
        <v>247</v>
      </c>
      <c r="AG2911" s="155" t="s">
        <v>247</v>
      </c>
    </row>
    <row r="2912" spans="25:33">
      <c r="Y2912" s="47">
        <v>7327</v>
      </c>
      <c r="Z2912" s="52" t="s">
        <v>407</v>
      </c>
      <c r="AA2912" s="52" t="s">
        <v>247</v>
      </c>
      <c r="AB2912" s="52" t="s">
        <v>247</v>
      </c>
      <c r="AC2912" s="52" t="s">
        <v>247</v>
      </c>
      <c r="AD2912" s="52" t="s">
        <v>1</v>
      </c>
      <c r="AE2912" s="52" t="s">
        <v>385</v>
      </c>
      <c r="AF2912" s="155" t="s">
        <v>247</v>
      </c>
      <c r="AG2912" s="155" t="s">
        <v>247</v>
      </c>
    </row>
    <row r="2913" spans="25:33">
      <c r="Y2913" s="47">
        <v>7328</v>
      </c>
      <c r="Z2913" s="52" t="s">
        <v>407</v>
      </c>
      <c r="AA2913" s="52" t="s">
        <v>247</v>
      </c>
      <c r="AB2913" s="52" t="s">
        <v>247</v>
      </c>
      <c r="AC2913" s="52" t="s">
        <v>247</v>
      </c>
      <c r="AD2913" s="52" t="s">
        <v>1</v>
      </c>
      <c r="AE2913" s="52" t="s">
        <v>385</v>
      </c>
      <c r="AF2913" s="155" t="s">
        <v>247</v>
      </c>
      <c r="AG2913" s="155" t="s">
        <v>247</v>
      </c>
    </row>
    <row r="2914" spans="25:33">
      <c r="Y2914" s="47">
        <v>7329</v>
      </c>
      <c r="Z2914" s="52" t="s">
        <v>407</v>
      </c>
      <c r="AA2914" s="52" t="s">
        <v>247</v>
      </c>
      <c r="AB2914" s="52" t="s">
        <v>247</v>
      </c>
      <c r="AC2914" s="52" t="s">
        <v>247</v>
      </c>
      <c r="AD2914" s="52" t="s">
        <v>1</v>
      </c>
      <c r="AE2914" s="52" t="s">
        <v>385</v>
      </c>
      <c r="AF2914" s="155" t="s">
        <v>247</v>
      </c>
      <c r="AG2914" s="155" t="s">
        <v>247</v>
      </c>
    </row>
    <row r="2915" spans="25:33">
      <c r="Y2915" s="47">
        <v>7330</v>
      </c>
      <c r="Z2915" s="52" t="s">
        <v>407</v>
      </c>
      <c r="AA2915" s="52" t="s">
        <v>247</v>
      </c>
      <c r="AB2915" s="52" t="s">
        <v>247</v>
      </c>
      <c r="AC2915" s="52" t="s">
        <v>247</v>
      </c>
      <c r="AD2915" s="52" t="s">
        <v>1</v>
      </c>
      <c r="AE2915" s="52" t="s">
        <v>385</v>
      </c>
      <c r="AF2915" s="155" t="s">
        <v>247</v>
      </c>
      <c r="AG2915" s="155" t="s">
        <v>247</v>
      </c>
    </row>
    <row r="2916" spans="25:33">
      <c r="Y2916" s="47">
        <v>7331</v>
      </c>
      <c r="Z2916" s="52" t="s">
        <v>407</v>
      </c>
      <c r="AA2916" s="52" t="s">
        <v>247</v>
      </c>
      <c r="AB2916" s="52" t="s">
        <v>247</v>
      </c>
      <c r="AC2916" s="52" t="s">
        <v>247</v>
      </c>
      <c r="AD2916" s="52" t="s">
        <v>1</v>
      </c>
      <c r="AE2916" s="52" t="s">
        <v>385</v>
      </c>
      <c r="AF2916" s="155" t="s">
        <v>247</v>
      </c>
      <c r="AG2916" s="155" t="s">
        <v>247</v>
      </c>
    </row>
    <row r="2917" spans="25:33">
      <c r="Y2917" s="47">
        <v>7332</v>
      </c>
      <c r="Z2917" s="52" t="s">
        <v>407</v>
      </c>
      <c r="AA2917" s="52" t="s">
        <v>247</v>
      </c>
      <c r="AB2917" s="52" t="s">
        <v>247</v>
      </c>
      <c r="AC2917" s="52" t="s">
        <v>247</v>
      </c>
      <c r="AD2917" s="52" t="s">
        <v>1</v>
      </c>
      <c r="AE2917" s="52" t="s">
        <v>385</v>
      </c>
      <c r="AF2917" s="155" t="s">
        <v>247</v>
      </c>
      <c r="AG2917" s="155" t="s">
        <v>247</v>
      </c>
    </row>
    <row r="2918" spans="25:33">
      <c r="Y2918" s="47">
        <v>7333</v>
      </c>
      <c r="Z2918" s="52" t="s">
        <v>407</v>
      </c>
      <c r="AA2918" s="52" t="s">
        <v>247</v>
      </c>
      <c r="AB2918" s="52" t="s">
        <v>247</v>
      </c>
      <c r="AC2918" s="52" t="s">
        <v>247</v>
      </c>
      <c r="AD2918" s="52" t="s">
        <v>1</v>
      </c>
      <c r="AE2918" s="52" t="s">
        <v>385</v>
      </c>
      <c r="AF2918" s="155" t="s">
        <v>247</v>
      </c>
      <c r="AG2918" s="155" t="s">
        <v>247</v>
      </c>
    </row>
    <row r="2919" spans="25:33">
      <c r="Y2919" s="47">
        <v>7334</v>
      </c>
      <c r="Z2919" s="52" t="s">
        <v>407</v>
      </c>
      <c r="AA2919" s="52" t="s">
        <v>247</v>
      </c>
      <c r="AB2919" s="52" t="s">
        <v>247</v>
      </c>
      <c r="AC2919" s="52" t="s">
        <v>247</v>
      </c>
      <c r="AD2919" s="52" t="s">
        <v>1</v>
      </c>
      <c r="AE2919" s="52" t="s">
        <v>385</v>
      </c>
      <c r="AF2919" s="155" t="s">
        <v>247</v>
      </c>
      <c r="AG2919" s="155" t="s">
        <v>247</v>
      </c>
    </row>
    <row r="2920" spans="25:33">
      <c r="Y2920" s="47">
        <v>7335</v>
      </c>
      <c r="Z2920" s="52" t="s">
        <v>407</v>
      </c>
      <c r="AA2920" s="52" t="s">
        <v>247</v>
      </c>
      <c r="AB2920" s="52" t="s">
        <v>247</v>
      </c>
      <c r="AC2920" s="52" t="s">
        <v>247</v>
      </c>
      <c r="AD2920" s="52" t="s">
        <v>1</v>
      </c>
      <c r="AE2920" s="52" t="s">
        <v>385</v>
      </c>
      <c r="AF2920" s="155" t="s">
        <v>247</v>
      </c>
      <c r="AG2920" s="155" t="s">
        <v>247</v>
      </c>
    </row>
    <row r="2921" spans="25:33">
      <c r="Y2921" s="47">
        <v>7336</v>
      </c>
      <c r="Z2921" s="52" t="s">
        <v>407</v>
      </c>
      <c r="AA2921" s="52" t="s">
        <v>247</v>
      </c>
      <c r="AB2921" s="52" t="s">
        <v>247</v>
      </c>
      <c r="AC2921" s="52" t="s">
        <v>247</v>
      </c>
      <c r="AD2921" s="52" t="s">
        <v>1</v>
      </c>
      <c r="AE2921" s="52" t="s">
        <v>385</v>
      </c>
      <c r="AF2921" s="155" t="s">
        <v>247</v>
      </c>
      <c r="AG2921" s="155" t="s">
        <v>247</v>
      </c>
    </row>
    <row r="2922" spans="25:33">
      <c r="Y2922" s="47">
        <v>7337</v>
      </c>
      <c r="Z2922" s="52" t="s">
        <v>407</v>
      </c>
      <c r="AA2922" s="52" t="s">
        <v>247</v>
      </c>
      <c r="AB2922" s="52" t="s">
        <v>247</v>
      </c>
      <c r="AC2922" s="52" t="s">
        <v>247</v>
      </c>
      <c r="AD2922" s="52" t="s">
        <v>1</v>
      </c>
      <c r="AE2922" s="52" t="s">
        <v>385</v>
      </c>
      <c r="AF2922" s="155" t="s">
        <v>247</v>
      </c>
      <c r="AG2922" s="155" t="s">
        <v>247</v>
      </c>
    </row>
    <row r="2923" spans="25:33">
      <c r="Y2923" s="47">
        <v>7338</v>
      </c>
      <c r="Z2923" s="52" t="s">
        <v>407</v>
      </c>
      <c r="AA2923" s="52" t="s">
        <v>247</v>
      </c>
      <c r="AB2923" s="52" t="s">
        <v>247</v>
      </c>
      <c r="AC2923" s="52" t="s">
        <v>247</v>
      </c>
      <c r="AD2923" s="52" t="s">
        <v>1</v>
      </c>
      <c r="AE2923" s="52" t="s">
        <v>385</v>
      </c>
      <c r="AF2923" s="155" t="s">
        <v>247</v>
      </c>
      <c r="AG2923" s="155" t="s">
        <v>247</v>
      </c>
    </row>
    <row r="2924" spans="25:33">
      <c r="Y2924" s="47">
        <v>7339</v>
      </c>
      <c r="Z2924" s="52" t="s">
        <v>407</v>
      </c>
      <c r="AA2924" s="52" t="s">
        <v>247</v>
      </c>
      <c r="AB2924" s="52" t="s">
        <v>247</v>
      </c>
      <c r="AC2924" s="52" t="s">
        <v>247</v>
      </c>
      <c r="AD2924" s="52" t="s">
        <v>1</v>
      </c>
      <c r="AE2924" s="52" t="s">
        <v>385</v>
      </c>
      <c r="AF2924" s="155" t="s">
        <v>247</v>
      </c>
      <c r="AG2924" s="155" t="s">
        <v>247</v>
      </c>
    </row>
    <row r="2925" spans="25:33">
      <c r="Y2925" s="47">
        <v>7340</v>
      </c>
      <c r="Z2925" s="52" t="s">
        <v>407</v>
      </c>
      <c r="AA2925" s="52" t="s">
        <v>247</v>
      </c>
      <c r="AB2925" s="52" t="s">
        <v>247</v>
      </c>
      <c r="AC2925" s="52" t="s">
        <v>247</v>
      </c>
      <c r="AD2925" s="52" t="s">
        <v>1</v>
      </c>
      <c r="AE2925" s="52" t="s">
        <v>385</v>
      </c>
      <c r="AF2925" s="155" t="s">
        <v>247</v>
      </c>
      <c r="AG2925" s="155" t="s">
        <v>247</v>
      </c>
    </row>
    <row r="2926" spans="25:33">
      <c r="Y2926" s="47">
        <v>7341</v>
      </c>
      <c r="Z2926" s="52" t="s">
        <v>407</v>
      </c>
      <c r="AA2926" s="52" t="s">
        <v>247</v>
      </c>
      <c r="AB2926" s="52" t="s">
        <v>247</v>
      </c>
      <c r="AC2926" s="52" t="s">
        <v>247</v>
      </c>
      <c r="AD2926" s="52" t="s">
        <v>1</v>
      </c>
      <c r="AE2926" s="52" t="s">
        <v>385</v>
      </c>
      <c r="AF2926" s="155" t="s">
        <v>247</v>
      </c>
      <c r="AG2926" s="155" t="s">
        <v>247</v>
      </c>
    </row>
    <row r="2927" spans="25:33">
      <c r="Y2927" s="47">
        <v>7342</v>
      </c>
      <c r="Z2927" s="52" t="s">
        <v>407</v>
      </c>
      <c r="AA2927" s="52" t="s">
        <v>247</v>
      </c>
      <c r="AB2927" s="52" t="s">
        <v>247</v>
      </c>
      <c r="AC2927" s="52" t="s">
        <v>247</v>
      </c>
      <c r="AD2927" s="52" t="s">
        <v>1</v>
      </c>
      <c r="AE2927" s="52" t="s">
        <v>385</v>
      </c>
      <c r="AF2927" s="155" t="s">
        <v>247</v>
      </c>
      <c r="AG2927" s="155" t="s">
        <v>247</v>
      </c>
    </row>
    <row r="2928" spans="25:33">
      <c r="Y2928" s="47">
        <v>7343</v>
      </c>
      <c r="Z2928" s="52" t="s">
        <v>407</v>
      </c>
      <c r="AA2928" s="52" t="s">
        <v>247</v>
      </c>
      <c r="AB2928" s="52" t="s">
        <v>247</v>
      </c>
      <c r="AC2928" s="52" t="s">
        <v>247</v>
      </c>
      <c r="AD2928" s="52" t="s">
        <v>1</v>
      </c>
      <c r="AE2928" s="52" t="s">
        <v>385</v>
      </c>
      <c r="AF2928" s="155" t="s">
        <v>247</v>
      </c>
      <c r="AG2928" s="155" t="s">
        <v>247</v>
      </c>
    </row>
    <row r="2929" spans="25:33">
      <c r="Y2929" s="47">
        <v>7344</v>
      </c>
      <c r="Z2929" s="52" t="s">
        <v>407</v>
      </c>
      <c r="AA2929" s="52" t="s">
        <v>247</v>
      </c>
      <c r="AB2929" s="52" t="s">
        <v>247</v>
      </c>
      <c r="AC2929" s="52" t="s">
        <v>247</v>
      </c>
      <c r="AD2929" s="52" t="s">
        <v>1</v>
      </c>
      <c r="AE2929" s="52" t="s">
        <v>385</v>
      </c>
      <c r="AF2929" s="155" t="s">
        <v>247</v>
      </c>
      <c r="AG2929" s="155" t="s">
        <v>247</v>
      </c>
    </row>
    <row r="2930" spans="25:33">
      <c r="Y2930" s="47">
        <v>7345</v>
      </c>
      <c r="Z2930" s="52" t="s">
        <v>407</v>
      </c>
      <c r="AA2930" s="52" t="s">
        <v>247</v>
      </c>
      <c r="AB2930" s="52" t="s">
        <v>247</v>
      </c>
      <c r="AC2930" s="52" t="s">
        <v>247</v>
      </c>
      <c r="AD2930" s="52" t="s">
        <v>1</v>
      </c>
      <c r="AE2930" s="52" t="s">
        <v>385</v>
      </c>
      <c r="AF2930" s="155" t="s">
        <v>247</v>
      </c>
      <c r="AG2930" s="155" t="s">
        <v>247</v>
      </c>
    </row>
    <row r="2931" spans="25:33">
      <c r="Y2931" s="47">
        <v>7346</v>
      </c>
      <c r="Z2931" s="52" t="s">
        <v>407</v>
      </c>
      <c r="AA2931" s="52" t="s">
        <v>247</v>
      </c>
      <c r="AB2931" s="52" t="s">
        <v>247</v>
      </c>
      <c r="AC2931" s="52" t="s">
        <v>247</v>
      </c>
      <c r="AD2931" s="52" t="s">
        <v>1</v>
      </c>
      <c r="AE2931" s="52" t="s">
        <v>385</v>
      </c>
      <c r="AF2931" s="155" t="s">
        <v>247</v>
      </c>
      <c r="AG2931" s="155" t="s">
        <v>247</v>
      </c>
    </row>
    <row r="2932" spans="25:33">
      <c r="Y2932" s="47">
        <v>7347</v>
      </c>
      <c r="Z2932" s="52" t="s">
        <v>407</v>
      </c>
      <c r="AA2932" s="52" t="s">
        <v>247</v>
      </c>
      <c r="AB2932" s="52" t="s">
        <v>247</v>
      </c>
      <c r="AC2932" s="52" t="s">
        <v>247</v>
      </c>
      <c r="AD2932" s="52" t="s">
        <v>1</v>
      </c>
      <c r="AE2932" s="52" t="s">
        <v>385</v>
      </c>
      <c r="AF2932" s="155" t="s">
        <v>247</v>
      </c>
      <c r="AG2932" s="155" t="s">
        <v>247</v>
      </c>
    </row>
    <row r="2933" spans="25:33">
      <c r="Y2933" s="47">
        <v>7348</v>
      </c>
      <c r="Z2933" s="52" t="s">
        <v>407</v>
      </c>
      <c r="AA2933" s="52" t="s">
        <v>247</v>
      </c>
      <c r="AB2933" s="52" t="s">
        <v>247</v>
      </c>
      <c r="AC2933" s="52" t="s">
        <v>247</v>
      </c>
      <c r="AD2933" s="52" t="s">
        <v>1</v>
      </c>
      <c r="AE2933" s="52" t="s">
        <v>385</v>
      </c>
      <c r="AF2933" s="155" t="s">
        <v>247</v>
      </c>
      <c r="AG2933" s="155" t="s">
        <v>247</v>
      </c>
    </row>
    <row r="2934" spans="25:33">
      <c r="Y2934" s="47">
        <v>7349</v>
      </c>
      <c r="Z2934" s="52" t="s">
        <v>407</v>
      </c>
      <c r="AA2934" s="52" t="s">
        <v>247</v>
      </c>
      <c r="AB2934" s="52" t="s">
        <v>247</v>
      </c>
      <c r="AC2934" s="52" t="s">
        <v>247</v>
      </c>
      <c r="AD2934" s="52" t="s">
        <v>1</v>
      </c>
      <c r="AE2934" s="52" t="s">
        <v>385</v>
      </c>
      <c r="AF2934" s="155" t="s">
        <v>247</v>
      </c>
      <c r="AG2934" s="155" t="s">
        <v>247</v>
      </c>
    </row>
    <row r="2935" spans="25:33">
      <c r="Y2935" s="47">
        <v>7350</v>
      </c>
      <c r="Z2935" s="52" t="s">
        <v>407</v>
      </c>
      <c r="AA2935" s="52" t="s">
        <v>247</v>
      </c>
      <c r="AB2935" s="52" t="s">
        <v>247</v>
      </c>
      <c r="AC2935" s="52" t="s">
        <v>247</v>
      </c>
      <c r="AD2935" s="52" t="s">
        <v>1</v>
      </c>
      <c r="AE2935" s="52" t="s">
        <v>385</v>
      </c>
      <c r="AF2935" s="155" t="s">
        <v>247</v>
      </c>
      <c r="AG2935" s="155" t="s">
        <v>247</v>
      </c>
    </row>
    <row r="2936" spans="25:33">
      <c r="Y2936" s="47">
        <v>7351</v>
      </c>
      <c r="Z2936" s="52" t="s">
        <v>407</v>
      </c>
      <c r="AA2936" s="52" t="s">
        <v>247</v>
      </c>
      <c r="AB2936" s="52" t="s">
        <v>247</v>
      </c>
      <c r="AC2936" s="52" t="s">
        <v>247</v>
      </c>
      <c r="AD2936" s="52" t="s">
        <v>1</v>
      </c>
      <c r="AE2936" s="52" t="s">
        <v>385</v>
      </c>
      <c r="AF2936" s="155" t="s">
        <v>247</v>
      </c>
      <c r="AG2936" s="155" t="s">
        <v>247</v>
      </c>
    </row>
    <row r="2937" spans="25:33">
      <c r="Y2937" s="47">
        <v>7352</v>
      </c>
      <c r="Z2937" s="52" t="s">
        <v>407</v>
      </c>
      <c r="AA2937" s="52" t="s">
        <v>247</v>
      </c>
      <c r="AB2937" s="52" t="s">
        <v>247</v>
      </c>
      <c r="AC2937" s="52" t="s">
        <v>247</v>
      </c>
      <c r="AD2937" s="52" t="s">
        <v>1</v>
      </c>
      <c r="AE2937" s="52" t="s">
        <v>385</v>
      </c>
      <c r="AF2937" s="155" t="s">
        <v>247</v>
      </c>
      <c r="AG2937" s="155" t="s">
        <v>247</v>
      </c>
    </row>
    <row r="2938" spans="25:33">
      <c r="Y2938" s="47">
        <v>7353</v>
      </c>
      <c r="Z2938" s="52" t="s">
        <v>407</v>
      </c>
      <c r="AA2938" s="52" t="s">
        <v>247</v>
      </c>
      <c r="AB2938" s="52" t="s">
        <v>247</v>
      </c>
      <c r="AC2938" s="52" t="s">
        <v>247</v>
      </c>
      <c r="AD2938" s="52" t="s">
        <v>1</v>
      </c>
      <c r="AE2938" s="52" t="s">
        <v>385</v>
      </c>
      <c r="AF2938" s="155" t="s">
        <v>247</v>
      </c>
      <c r="AG2938" s="155" t="s">
        <v>247</v>
      </c>
    </row>
    <row r="2939" spans="25:33">
      <c r="Y2939" s="47">
        <v>7354</v>
      </c>
      <c r="Z2939" s="52" t="s">
        <v>407</v>
      </c>
      <c r="AA2939" s="52" t="s">
        <v>247</v>
      </c>
      <c r="AB2939" s="52" t="s">
        <v>247</v>
      </c>
      <c r="AC2939" s="52" t="s">
        <v>247</v>
      </c>
      <c r="AD2939" s="52" t="s">
        <v>1</v>
      </c>
      <c r="AE2939" s="52" t="s">
        <v>385</v>
      </c>
      <c r="AF2939" s="155" t="s">
        <v>247</v>
      </c>
      <c r="AG2939" s="155" t="s">
        <v>247</v>
      </c>
    </row>
    <row r="2940" spans="25:33">
      <c r="Y2940" s="47">
        <v>7355</v>
      </c>
      <c r="Z2940" s="52" t="s">
        <v>407</v>
      </c>
      <c r="AA2940" s="52" t="s">
        <v>247</v>
      </c>
      <c r="AB2940" s="52" t="s">
        <v>247</v>
      </c>
      <c r="AC2940" s="52" t="s">
        <v>247</v>
      </c>
      <c r="AD2940" s="52" t="s">
        <v>1</v>
      </c>
      <c r="AE2940" s="52" t="s">
        <v>385</v>
      </c>
      <c r="AF2940" s="155" t="s">
        <v>247</v>
      </c>
      <c r="AG2940" s="155" t="s">
        <v>247</v>
      </c>
    </row>
    <row r="2941" spans="25:33">
      <c r="Y2941" s="47">
        <v>7356</v>
      </c>
      <c r="Z2941" s="52" t="s">
        <v>407</v>
      </c>
      <c r="AA2941" s="52" t="s">
        <v>247</v>
      </c>
      <c r="AB2941" s="52" t="s">
        <v>247</v>
      </c>
      <c r="AC2941" s="52" t="s">
        <v>247</v>
      </c>
      <c r="AD2941" s="52" t="s">
        <v>1</v>
      </c>
      <c r="AE2941" s="52" t="s">
        <v>385</v>
      </c>
      <c r="AF2941" s="155" t="s">
        <v>247</v>
      </c>
      <c r="AG2941" s="155" t="s">
        <v>247</v>
      </c>
    </row>
    <row r="2942" spans="25:33">
      <c r="Y2942" s="47">
        <v>7357</v>
      </c>
      <c r="Z2942" s="52" t="s">
        <v>407</v>
      </c>
      <c r="AA2942" s="52" t="s">
        <v>247</v>
      </c>
      <c r="AB2942" s="52" t="s">
        <v>247</v>
      </c>
      <c r="AC2942" s="52" t="s">
        <v>247</v>
      </c>
      <c r="AD2942" s="52" t="s">
        <v>1</v>
      </c>
      <c r="AE2942" s="52" t="s">
        <v>385</v>
      </c>
      <c r="AF2942" s="155" t="s">
        <v>247</v>
      </c>
      <c r="AG2942" s="155" t="s">
        <v>247</v>
      </c>
    </row>
    <row r="2943" spans="25:33">
      <c r="Y2943" s="47">
        <v>7358</v>
      </c>
      <c r="Z2943" s="52" t="s">
        <v>407</v>
      </c>
      <c r="AA2943" s="52" t="s">
        <v>247</v>
      </c>
      <c r="AB2943" s="52" t="s">
        <v>247</v>
      </c>
      <c r="AC2943" s="52" t="s">
        <v>247</v>
      </c>
      <c r="AD2943" s="52" t="s">
        <v>1</v>
      </c>
      <c r="AE2943" s="52" t="s">
        <v>385</v>
      </c>
      <c r="AF2943" s="155" t="s">
        <v>247</v>
      </c>
      <c r="AG2943" s="155" t="s">
        <v>247</v>
      </c>
    </row>
    <row r="2944" spans="25:33">
      <c r="Y2944" s="47">
        <v>7359</v>
      </c>
      <c r="Z2944" s="52" t="s">
        <v>407</v>
      </c>
      <c r="AA2944" s="52" t="s">
        <v>247</v>
      </c>
      <c r="AB2944" s="52" t="s">
        <v>247</v>
      </c>
      <c r="AC2944" s="52" t="s">
        <v>247</v>
      </c>
      <c r="AD2944" s="52" t="s">
        <v>1</v>
      </c>
      <c r="AE2944" s="52" t="s">
        <v>385</v>
      </c>
      <c r="AF2944" s="155" t="s">
        <v>247</v>
      </c>
      <c r="AG2944" s="155" t="s">
        <v>247</v>
      </c>
    </row>
    <row r="2945" spans="25:33">
      <c r="Y2945" s="47">
        <v>7360</v>
      </c>
      <c r="Z2945" s="52" t="s">
        <v>407</v>
      </c>
      <c r="AA2945" s="52" t="s">
        <v>247</v>
      </c>
      <c r="AB2945" s="52" t="s">
        <v>247</v>
      </c>
      <c r="AC2945" s="52" t="s">
        <v>247</v>
      </c>
      <c r="AD2945" s="52" t="s">
        <v>1</v>
      </c>
      <c r="AE2945" s="52" t="s">
        <v>385</v>
      </c>
      <c r="AF2945" s="155" t="s">
        <v>247</v>
      </c>
      <c r="AG2945" s="155" t="s">
        <v>247</v>
      </c>
    </row>
    <row r="2946" spans="25:33">
      <c r="Y2946" s="47">
        <v>7361</v>
      </c>
      <c r="Z2946" s="52" t="s">
        <v>407</v>
      </c>
      <c r="AA2946" s="52" t="s">
        <v>247</v>
      </c>
      <c r="AB2946" s="52" t="s">
        <v>247</v>
      </c>
      <c r="AC2946" s="52" t="s">
        <v>247</v>
      </c>
      <c r="AD2946" s="52" t="s">
        <v>1</v>
      </c>
      <c r="AE2946" s="52" t="s">
        <v>385</v>
      </c>
      <c r="AF2946" s="155" t="s">
        <v>247</v>
      </c>
      <c r="AG2946" s="155" t="s">
        <v>247</v>
      </c>
    </row>
    <row r="2947" spans="25:33">
      <c r="Y2947" s="47">
        <v>7362</v>
      </c>
      <c r="Z2947" s="52" t="s">
        <v>407</v>
      </c>
      <c r="AA2947" s="52" t="s">
        <v>247</v>
      </c>
      <c r="AB2947" s="52" t="s">
        <v>247</v>
      </c>
      <c r="AC2947" s="52" t="s">
        <v>247</v>
      </c>
      <c r="AD2947" s="52" t="s">
        <v>1</v>
      </c>
      <c r="AE2947" s="52" t="s">
        <v>385</v>
      </c>
      <c r="AF2947" s="155" t="s">
        <v>247</v>
      </c>
      <c r="AG2947" s="155" t="s">
        <v>247</v>
      </c>
    </row>
    <row r="2948" spans="25:33">
      <c r="Y2948" s="47">
        <v>7363</v>
      </c>
      <c r="Z2948" s="52" t="s">
        <v>407</v>
      </c>
      <c r="AA2948" s="52" t="s">
        <v>247</v>
      </c>
      <c r="AB2948" s="52" t="s">
        <v>247</v>
      </c>
      <c r="AC2948" s="52" t="s">
        <v>247</v>
      </c>
      <c r="AD2948" s="52" t="s">
        <v>1</v>
      </c>
      <c r="AE2948" s="52" t="s">
        <v>385</v>
      </c>
      <c r="AF2948" s="155" t="s">
        <v>247</v>
      </c>
      <c r="AG2948" s="155" t="s">
        <v>247</v>
      </c>
    </row>
    <row r="2949" spans="25:33">
      <c r="Y2949" s="47">
        <v>7364</v>
      </c>
      <c r="Z2949" s="52" t="s">
        <v>407</v>
      </c>
      <c r="AA2949" s="52" t="s">
        <v>247</v>
      </c>
      <c r="AB2949" s="52" t="s">
        <v>247</v>
      </c>
      <c r="AC2949" s="52" t="s">
        <v>247</v>
      </c>
      <c r="AD2949" s="52" t="s">
        <v>1</v>
      </c>
      <c r="AE2949" s="52" t="s">
        <v>385</v>
      </c>
      <c r="AF2949" s="155" t="s">
        <v>247</v>
      </c>
      <c r="AG2949" s="155" t="s">
        <v>247</v>
      </c>
    </row>
    <row r="2950" spans="25:33">
      <c r="Y2950" s="47">
        <v>7365</v>
      </c>
      <c r="Z2950" s="52" t="s">
        <v>407</v>
      </c>
      <c r="AA2950" s="52" t="s">
        <v>247</v>
      </c>
      <c r="AB2950" s="52" t="s">
        <v>247</v>
      </c>
      <c r="AC2950" s="52" t="s">
        <v>247</v>
      </c>
      <c r="AD2950" s="52" t="s">
        <v>1</v>
      </c>
      <c r="AE2950" s="52" t="s">
        <v>385</v>
      </c>
      <c r="AF2950" s="155" t="s">
        <v>247</v>
      </c>
      <c r="AG2950" s="155" t="s">
        <v>247</v>
      </c>
    </row>
    <row r="2951" spans="25:33">
      <c r="Y2951" s="47">
        <v>7366</v>
      </c>
      <c r="Z2951" s="52" t="s">
        <v>407</v>
      </c>
      <c r="AA2951" s="52" t="s">
        <v>247</v>
      </c>
      <c r="AB2951" s="52" t="s">
        <v>247</v>
      </c>
      <c r="AC2951" s="52" t="s">
        <v>247</v>
      </c>
      <c r="AD2951" s="52" t="s">
        <v>1</v>
      </c>
      <c r="AE2951" s="52" t="s">
        <v>385</v>
      </c>
      <c r="AF2951" s="155" t="s">
        <v>247</v>
      </c>
      <c r="AG2951" s="155" t="s">
        <v>247</v>
      </c>
    </row>
    <row r="2952" spans="25:33">
      <c r="Y2952" s="47">
        <v>7367</v>
      </c>
      <c r="Z2952" s="52" t="s">
        <v>407</v>
      </c>
      <c r="AA2952" s="52" t="s">
        <v>247</v>
      </c>
      <c r="AB2952" s="52" t="s">
        <v>247</v>
      </c>
      <c r="AC2952" s="52" t="s">
        <v>247</v>
      </c>
      <c r="AD2952" s="52" t="s">
        <v>1</v>
      </c>
      <c r="AE2952" s="52" t="s">
        <v>385</v>
      </c>
      <c r="AF2952" s="155" t="s">
        <v>247</v>
      </c>
      <c r="AG2952" s="155" t="s">
        <v>247</v>
      </c>
    </row>
    <row r="2953" spans="25:33">
      <c r="Y2953" s="47">
        <v>7368</v>
      </c>
      <c r="Z2953" s="52" t="s">
        <v>407</v>
      </c>
      <c r="AA2953" s="52" t="s">
        <v>247</v>
      </c>
      <c r="AB2953" s="52" t="s">
        <v>247</v>
      </c>
      <c r="AC2953" s="52" t="s">
        <v>247</v>
      </c>
      <c r="AD2953" s="52" t="s">
        <v>1</v>
      </c>
      <c r="AE2953" s="52" t="s">
        <v>385</v>
      </c>
      <c r="AF2953" s="155" t="s">
        <v>247</v>
      </c>
      <c r="AG2953" s="155" t="s">
        <v>247</v>
      </c>
    </row>
    <row r="2954" spans="25:33">
      <c r="Y2954" s="47">
        <v>7369</v>
      </c>
      <c r="Z2954" s="52" t="s">
        <v>407</v>
      </c>
      <c r="AA2954" s="52" t="s">
        <v>247</v>
      </c>
      <c r="AB2954" s="52" t="s">
        <v>247</v>
      </c>
      <c r="AC2954" s="52" t="s">
        <v>247</v>
      </c>
      <c r="AD2954" s="52" t="s">
        <v>1</v>
      </c>
      <c r="AE2954" s="52" t="s">
        <v>385</v>
      </c>
      <c r="AF2954" s="155" t="s">
        <v>247</v>
      </c>
      <c r="AG2954" s="155" t="s">
        <v>247</v>
      </c>
    </row>
    <row r="2955" spans="25:33">
      <c r="Y2955" s="47">
        <v>7370</v>
      </c>
      <c r="Z2955" s="52" t="s">
        <v>407</v>
      </c>
      <c r="AA2955" s="52" t="s">
        <v>247</v>
      </c>
      <c r="AB2955" s="52" t="s">
        <v>247</v>
      </c>
      <c r="AC2955" s="52" t="s">
        <v>247</v>
      </c>
      <c r="AD2955" s="52" t="s">
        <v>1</v>
      </c>
      <c r="AE2955" s="52" t="s">
        <v>385</v>
      </c>
      <c r="AF2955" s="155" t="s">
        <v>247</v>
      </c>
      <c r="AG2955" s="155" t="s">
        <v>247</v>
      </c>
    </row>
    <row r="2956" spans="25:33">
      <c r="Y2956" s="47">
        <v>7371</v>
      </c>
      <c r="Z2956" s="52" t="s">
        <v>407</v>
      </c>
      <c r="AA2956" s="52" t="s">
        <v>247</v>
      </c>
      <c r="AB2956" s="52" t="s">
        <v>247</v>
      </c>
      <c r="AC2956" s="52" t="s">
        <v>247</v>
      </c>
      <c r="AD2956" s="52" t="s">
        <v>1</v>
      </c>
      <c r="AE2956" s="52" t="s">
        <v>385</v>
      </c>
      <c r="AF2956" s="155" t="s">
        <v>247</v>
      </c>
      <c r="AG2956" s="155" t="s">
        <v>247</v>
      </c>
    </row>
    <row r="2957" spans="25:33">
      <c r="Y2957" s="47">
        <v>7372</v>
      </c>
      <c r="Z2957" s="52" t="s">
        <v>407</v>
      </c>
      <c r="AA2957" s="52" t="s">
        <v>247</v>
      </c>
      <c r="AB2957" s="52" t="s">
        <v>247</v>
      </c>
      <c r="AC2957" s="52" t="s">
        <v>247</v>
      </c>
      <c r="AD2957" s="52" t="s">
        <v>1</v>
      </c>
      <c r="AE2957" s="52" t="s">
        <v>385</v>
      </c>
      <c r="AF2957" s="155" t="s">
        <v>247</v>
      </c>
      <c r="AG2957" s="155" t="s">
        <v>247</v>
      </c>
    </row>
    <row r="2958" spans="25:33">
      <c r="Y2958" s="47">
        <v>7373</v>
      </c>
      <c r="Z2958" s="52" t="s">
        <v>407</v>
      </c>
      <c r="AA2958" s="52" t="s">
        <v>247</v>
      </c>
      <c r="AB2958" s="52" t="s">
        <v>247</v>
      </c>
      <c r="AC2958" s="52" t="s">
        <v>247</v>
      </c>
      <c r="AD2958" s="52" t="s">
        <v>1</v>
      </c>
      <c r="AE2958" s="52" t="s">
        <v>385</v>
      </c>
      <c r="AF2958" s="155" t="s">
        <v>247</v>
      </c>
      <c r="AG2958" s="155" t="s">
        <v>247</v>
      </c>
    </row>
    <row r="2959" spans="25:33">
      <c r="Y2959" s="47">
        <v>7374</v>
      </c>
      <c r="Z2959" s="52" t="s">
        <v>407</v>
      </c>
      <c r="AA2959" s="52" t="s">
        <v>247</v>
      </c>
      <c r="AB2959" s="52" t="s">
        <v>247</v>
      </c>
      <c r="AC2959" s="52" t="s">
        <v>247</v>
      </c>
      <c r="AD2959" s="52" t="s">
        <v>1</v>
      </c>
      <c r="AE2959" s="52" t="s">
        <v>385</v>
      </c>
      <c r="AF2959" s="155" t="s">
        <v>247</v>
      </c>
      <c r="AG2959" s="155" t="s">
        <v>247</v>
      </c>
    </row>
    <row r="2960" spans="25:33">
      <c r="Y2960" s="47">
        <v>7375</v>
      </c>
      <c r="Z2960" s="52" t="s">
        <v>407</v>
      </c>
      <c r="AA2960" s="52" t="s">
        <v>247</v>
      </c>
      <c r="AB2960" s="52" t="s">
        <v>247</v>
      </c>
      <c r="AC2960" s="52" t="s">
        <v>247</v>
      </c>
      <c r="AD2960" s="52" t="s">
        <v>1</v>
      </c>
      <c r="AE2960" s="52" t="s">
        <v>385</v>
      </c>
      <c r="AF2960" s="155" t="s">
        <v>247</v>
      </c>
      <c r="AG2960" s="155" t="s">
        <v>247</v>
      </c>
    </row>
    <row r="2961" spans="25:33">
      <c r="Y2961" s="47">
        <v>7376</v>
      </c>
      <c r="Z2961" s="52" t="s">
        <v>407</v>
      </c>
      <c r="AA2961" s="52" t="s">
        <v>247</v>
      </c>
      <c r="AB2961" s="52" t="s">
        <v>247</v>
      </c>
      <c r="AC2961" s="52" t="s">
        <v>247</v>
      </c>
      <c r="AD2961" s="52" t="s">
        <v>1</v>
      </c>
      <c r="AE2961" s="52" t="s">
        <v>385</v>
      </c>
      <c r="AF2961" s="155" t="s">
        <v>247</v>
      </c>
      <c r="AG2961" s="155" t="s">
        <v>247</v>
      </c>
    </row>
    <row r="2962" spans="25:33">
      <c r="Y2962" s="47">
        <v>7377</v>
      </c>
      <c r="Z2962" s="52" t="s">
        <v>407</v>
      </c>
      <c r="AA2962" s="52" t="s">
        <v>247</v>
      </c>
      <c r="AB2962" s="52" t="s">
        <v>247</v>
      </c>
      <c r="AC2962" s="52" t="s">
        <v>247</v>
      </c>
      <c r="AD2962" s="52" t="s">
        <v>1</v>
      </c>
      <c r="AE2962" s="52" t="s">
        <v>385</v>
      </c>
      <c r="AF2962" s="155" t="s">
        <v>247</v>
      </c>
      <c r="AG2962" s="155" t="s">
        <v>247</v>
      </c>
    </row>
    <row r="2963" spans="25:33">
      <c r="Y2963" s="47">
        <v>7378</v>
      </c>
      <c r="Z2963" s="52" t="s">
        <v>407</v>
      </c>
      <c r="AA2963" s="52" t="s">
        <v>247</v>
      </c>
      <c r="AB2963" s="52" t="s">
        <v>247</v>
      </c>
      <c r="AC2963" s="52" t="s">
        <v>247</v>
      </c>
      <c r="AD2963" s="52" t="s">
        <v>1</v>
      </c>
      <c r="AE2963" s="52" t="s">
        <v>385</v>
      </c>
      <c r="AF2963" s="155" t="s">
        <v>247</v>
      </c>
      <c r="AG2963" s="155" t="s">
        <v>247</v>
      </c>
    </row>
    <row r="2964" spans="25:33">
      <c r="Y2964" s="47">
        <v>7379</v>
      </c>
      <c r="Z2964" s="52" t="s">
        <v>407</v>
      </c>
      <c r="AA2964" s="52" t="s">
        <v>247</v>
      </c>
      <c r="AB2964" s="52" t="s">
        <v>247</v>
      </c>
      <c r="AC2964" s="52" t="s">
        <v>247</v>
      </c>
      <c r="AD2964" s="52" t="s">
        <v>1</v>
      </c>
      <c r="AE2964" s="52" t="s">
        <v>385</v>
      </c>
      <c r="AF2964" s="155" t="s">
        <v>247</v>
      </c>
      <c r="AG2964" s="155" t="s">
        <v>247</v>
      </c>
    </row>
    <row r="2965" spans="25:33">
      <c r="Y2965" s="47">
        <v>7380</v>
      </c>
      <c r="Z2965" s="52" t="s">
        <v>407</v>
      </c>
      <c r="AA2965" s="52" t="s">
        <v>247</v>
      </c>
      <c r="AB2965" s="52" t="s">
        <v>247</v>
      </c>
      <c r="AC2965" s="52" t="s">
        <v>247</v>
      </c>
      <c r="AD2965" s="52" t="s">
        <v>1</v>
      </c>
      <c r="AE2965" s="52" t="s">
        <v>385</v>
      </c>
      <c r="AF2965" s="155" t="s">
        <v>247</v>
      </c>
      <c r="AG2965" s="155" t="s">
        <v>247</v>
      </c>
    </row>
    <row r="2966" spans="25:33">
      <c r="Y2966" s="47">
        <v>7381</v>
      </c>
      <c r="Z2966" s="52" t="s">
        <v>407</v>
      </c>
      <c r="AA2966" s="52" t="s">
        <v>247</v>
      </c>
      <c r="AB2966" s="52" t="s">
        <v>247</v>
      </c>
      <c r="AC2966" s="52" t="s">
        <v>247</v>
      </c>
      <c r="AD2966" s="52" t="s">
        <v>1</v>
      </c>
      <c r="AE2966" s="52" t="s">
        <v>385</v>
      </c>
      <c r="AF2966" s="155" t="s">
        <v>247</v>
      </c>
      <c r="AG2966" s="155" t="s">
        <v>247</v>
      </c>
    </row>
    <row r="2967" spans="25:33">
      <c r="Y2967" s="47">
        <v>7382</v>
      </c>
      <c r="Z2967" s="52" t="s">
        <v>407</v>
      </c>
      <c r="AA2967" s="52" t="s">
        <v>247</v>
      </c>
      <c r="AB2967" s="52" t="s">
        <v>247</v>
      </c>
      <c r="AC2967" s="52" t="s">
        <v>247</v>
      </c>
      <c r="AD2967" s="52" t="s">
        <v>1</v>
      </c>
      <c r="AE2967" s="52" t="s">
        <v>385</v>
      </c>
      <c r="AF2967" s="155" t="s">
        <v>247</v>
      </c>
      <c r="AG2967" s="155" t="s">
        <v>247</v>
      </c>
    </row>
    <row r="2968" spans="25:33">
      <c r="Y2968" s="47">
        <v>7383</v>
      </c>
      <c r="Z2968" s="52" t="s">
        <v>407</v>
      </c>
      <c r="AA2968" s="52" t="s">
        <v>247</v>
      </c>
      <c r="AB2968" s="52" t="s">
        <v>247</v>
      </c>
      <c r="AC2968" s="52" t="s">
        <v>247</v>
      </c>
      <c r="AD2968" s="52" t="s">
        <v>1</v>
      </c>
      <c r="AE2968" s="52" t="s">
        <v>385</v>
      </c>
      <c r="AF2968" s="155" t="s">
        <v>247</v>
      </c>
      <c r="AG2968" s="155" t="s">
        <v>247</v>
      </c>
    </row>
    <row r="2969" spans="25:33">
      <c r="Y2969" s="47">
        <v>7384</v>
      </c>
      <c r="Z2969" s="52" t="s">
        <v>407</v>
      </c>
      <c r="AA2969" s="52" t="s">
        <v>247</v>
      </c>
      <c r="AB2969" s="52" t="s">
        <v>247</v>
      </c>
      <c r="AC2969" s="52" t="s">
        <v>247</v>
      </c>
      <c r="AD2969" s="52" t="s">
        <v>1</v>
      </c>
      <c r="AE2969" s="52" t="s">
        <v>385</v>
      </c>
      <c r="AF2969" s="155" t="s">
        <v>247</v>
      </c>
      <c r="AG2969" s="155" t="s">
        <v>247</v>
      </c>
    </row>
    <row r="2970" spans="25:33">
      <c r="Y2970" s="47">
        <v>7385</v>
      </c>
      <c r="Z2970" s="52" t="s">
        <v>407</v>
      </c>
      <c r="AA2970" s="52" t="s">
        <v>247</v>
      </c>
      <c r="AB2970" s="52" t="s">
        <v>247</v>
      </c>
      <c r="AC2970" s="52" t="s">
        <v>247</v>
      </c>
      <c r="AD2970" s="52" t="s">
        <v>1</v>
      </c>
      <c r="AE2970" s="52" t="s">
        <v>385</v>
      </c>
      <c r="AF2970" s="155" t="s">
        <v>247</v>
      </c>
      <c r="AG2970" s="155" t="s">
        <v>247</v>
      </c>
    </row>
    <row r="2971" spans="25:33">
      <c r="Y2971" s="47">
        <v>7386</v>
      </c>
      <c r="Z2971" s="52" t="s">
        <v>407</v>
      </c>
      <c r="AA2971" s="52" t="s">
        <v>247</v>
      </c>
      <c r="AB2971" s="52" t="s">
        <v>247</v>
      </c>
      <c r="AC2971" s="52" t="s">
        <v>247</v>
      </c>
      <c r="AD2971" s="52" t="s">
        <v>1</v>
      </c>
      <c r="AE2971" s="52" t="s">
        <v>385</v>
      </c>
      <c r="AF2971" s="155" t="s">
        <v>247</v>
      </c>
      <c r="AG2971" s="155" t="s">
        <v>247</v>
      </c>
    </row>
    <row r="2972" spans="25:33">
      <c r="Y2972" s="47">
        <v>7387</v>
      </c>
      <c r="Z2972" s="52" t="s">
        <v>407</v>
      </c>
      <c r="AA2972" s="52" t="s">
        <v>247</v>
      </c>
      <c r="AB2972" s="52" t="s">
        <v>247</v>
      </c>
      <c r="AC2972" s="52" t="s">
        <v>247</v>
      </c>
      <c r="AD2972" s="52" t="s">
        <v>1</v>
      </c>
      <c r="AE2972" s="52" t="s">
        <v>385</v>
      </c>
      <c r="AF2972" s="155" t="s">
        <v>247</v>
      </c>
      <c r="AG2972" s="155" t="s">
        <v>247</v>
      </c>
    </row>
    <row r="2973" spans="25:33">
      <c r="Y2973" s="47">
        <v>7388</v>
      </c>
      <c r="Z2973" s="52" t="s">
        <v>407</v>
      </c>
      <c r="AA2973" s="52" t="s">
        <v>247</v>
      </c>
      <c r="AB2973" s="52" t="s">
        <v>247</v>
      </c>
      <c r="AC2973" s="52" t="s">
        <v>247</v>
      </c>
      <c r="AD2973" s="52" t="s">
        <v>1</v>
      </c>
      <c r="AE2973" s="52" t="s">
        <v>385</v>
      </c>
      <c r="AF2973" s="155" t="s">
        <v>247</v>
      </c>
      <c r="AG2973" s="155" t="s">
        <v>247</v>
      </c>
    </row>
    <row r="2974" spans="25:33">
      <c r="Y2974" s="47">
        <v>7389</v>
      </c>
      <c r="Z2974" s="52" t="s">
        <v>407</v>
      </c>
      <c r="AA2974" s="52" t="s">
        <v>247</v>
      </c>
      <c r="AB2974" s="52" t="s">
        <v>247</v>
      </c>
      <c r="AC2974" s="52" t="s">
        <v>247</v>
      </c>
      <c r="AD2974" s="52" t="s">
        <v>1</v>
      </c>
      <c r="AE2974" s="52" t="s">
        <v>385</v>
      </c>
      <c r="AF2974" s="155" t="s">
        <v>247</v>
      </c>
      <c r="AG2974" s="155" t="s">
        <v>247</v>
      </c>
    </row>
    <row r="2975" spans="25:33">
      <c r="Y2975" s="47">
        <v>7390</v>
      </c>
      <c r="Z2975" s="52" t="s">
        <v>407</v>
      </c>
      <c r="AA2975" s="52" t="s">
        <v>247</v>
      </c>
      <c r="AB2975" s="52" t="s">
        <v>247</v>
      </c>
      <c r="AC2975" s="52" t="s">
        <v>247</v>
      </c>
      <c r="AD2975" s="52" t="s">
        <v>1</v>
      </c>
      <c r="AE2975" s="52" t="s">
        <v>385</v>
      </c>
      <c r="AF2975" s="155" t="s">
        <v>247</v>
      </c>
      <c r="AG2975" s="155" t="s">
        <v>247</v>
      </c>
    </row>
    <row r="2976" spans="25:33">
      <c r="Y2976" s="47">
        <v>7391</v>
      </c>
      <c r="Z2976" s="52" t="s">
        <v>407</v>
      </c>
      <c r="AA2976" s="52" t="s">
        <v>247</v>
      </c>
      <c r="AB2976" s="52" t="s">
        <v>247</v>
      </c>
      <c r="AC2976" s="52" t="s">
        <v>247</v>
      </c>
      <c r="AD2976" s="52" t="s">
        <v>1</v>
      </c>
      <c r="AE2976" s="52" t="s">
        <v>385</v>
      </c>
      <c r="AF2976" s="155" t="s">
        <v>247</v>
      </c>
      <c r="AG2976" s="155" t="s">
        <v>247</v>
      </c>
    </row>
    <row r="2977" spans="25:33">
      <c r="Y2977" s="47">
        <v>7392</v>
      </c>
      <c r="Z2977" s="52" t="s">
        <v>407</v>
      </c>
      <c r="AA2977" s="52" t="s">
        <v>247</v>
      </c>
      <c r="AB2977" s="52" t="s">
        <v>247</v>
      </c>
      <c r="AC2977" s="52" t="s">
        <v>247</v>
      </c>
      <c r="AD2977" s="52" t="s">
        <v>1</v>
      </c>
      <c r="AE2977" s="52" t="s">
        <v>385</v>
      </c>
      <c r="AF2977" s="155" t="s">
        <v>247</v>
      </c>
      <c r="AG2977" s="155" t="s">
        <v>247</v>
      </c>
    </row>
    <row r="2978" spans="25:33">
      <c r="Y2978" s="47">
        <v>7393</v>
      </c>
      <c r="Z2978" s="52" t="s">
        <v>407</v>
      </c>
      <c r="AA2978" s="52" t="s">
        <v>247</v>
      </c>
      <c r="AB2978" s="52" t="s">
        <v>247</v>
      </c>
      <c r="AC2978" s="52" t="s">
        <v>247</v>
      </c>
      <c r="AD2978" s="52" t="s">
        <v>1</v>
      </c>
      <c r="AE2978" s="52" t="s">
        <v>385</v>
      </c>
      <c r="AF2978" s="155" t="s">
        <v>247</v>
      </c>
      <c r="AG2978" s="155" t="s">
        <v>247</v>
      </c>
    </row>
    <row r="2979" spans="25:33">
      <c r="Y2979" s="47">
        <v>7394</v>
      </c>
      <c r="Z2979" s="52" t="s">
        <v>407</v>
      </c>
      <c r="AA2979" s="52" t="s">
        <v>247</v>
      </c>
      <c r="AB2979" s="52" t="s">
        <v>247</v>
      </c>
      <c r="AC2979" s="52" t="s">
        <v>247</v>
      </c>
      <c r="AD2979" s="52" t="s">
        <v>1</v>
      </c>
      <c r="AE2979" s="52" t="s">
        <v>385</v>
      </c>
      <c r="AF2979" s="155" t="s">
        <v>247</v>
      </c>
      <c r="AG2979" s="155" t="s">
        <v>247</v>
      </c>
    </row>
    <row r="2980" spans="25:33">
      <c r="Y2980" s="47">
        <v>7395</v>
      </c>
      <c r="Z2980" s="52" t="s">
        <v>407</v>
      </c>
      <c r="AA2980" s="52" t="s">
        <v>247</v>
      </c>
      <c r="AB2980" s="52" t="s">
        <v>247</v>
      </c>
      <c r="AC2980" s="52" t="s">
        <v>247</v>
      </c>
      <c r="AD2980" s="52" t="s">
        <v>1</v>
      </c>
      <c r="AE2980" s="52" t="s">
        <v>385</v>
      </c>
      <c r="AF2980" s="155" t="s">
        <v>247</v>
      </c>
      <c r="AG2980" s="155" t="s">
        <v>247</v>
      </c>
    </row>
    <row r="2981" spans="25:33">
      <c r="Y2981" s="47">
        <v>7396</v>
      </c>
      <c r="Z2981" s="52" t="s">
        <v>407</v>
      </c>
      <c r="AA2981" s="52" t="s">
        <v>247</v>
      </c>
      <c r="AB2981" s="52" t="s">
        <v>247</v>
      </c>
      <c r="AC2981" s="52" t="s">
        <v>247</v>
      </c>
      <c r="AD2981" s="52" t="s">
        <v>1</v>
      </c>
      <c r="AE2981" s="52" t="s">
        <v>385</v>
      </c>
      <c r="AF2981" s="155" t="s">
        <v>247</v>
      </c>
      <c r="AG2981" s="155" t="s">
        <v>247</v>
      </c>
    </row>
    <row r="2982" spans="25:33">
      <c r="Y2982" s="47">
        <v>7397</v>
      </c>
      <c r="Z2982" s="52" t="s">
        <v>407</v>
      </c>
      <c r="AA2982" s="52" t="s">
        <v>247</v>
      </c>
      <c r="AB2982" s="52" t="s">
        <v>247</v>
      </c>
      <c r="AC2982" s="52" t="s">
        <v>247</v>
      </c>
      <c r="AD2982" s="52" t="s">
        <v>1</v>
      </c>
      <c r="AE2982" s="52" t="s">
        <v>385</v>
      </c>
      <c r="AF2982" s="155" t="s">
        <v>247</v>
      </c>
      <c r="AG2982" s="155" t="s">
        <v>247</v>
      </c>
    </row>
    <row r="2983" spans="25:33">
      <c r="Y2983" s="47">
        <v>7398</v>
      </c>
      <c r="Z2983" s="52" t="s">
        <v>407</v>
      </c>
      <c r="AA2983" s="52" t="s">
        <v>247</v>
      </c>
      <c r="AB2983" s="52" t="s">
        <v>247</v>
      </c>
      <c r="AC2983" s="52" t="s">
        <v>247</v>
      </c>
      <c r="AD2983" s="52" t="s">
        <v>1</v>
      </c>
      <c r="AE2983" s="52" t="s">
        <v>385</v>
      </c>
      <c r="AF2983" s="155" t="s">
        <v>247</v>
      </c>
      <c r="AG2983" s="155" t="s">
        <v>247</v>
      </c>
    </row>
    <row r="2984" spans="25:33">
      <c r="Y2984" s="47">
        <v>7399</v>
      </c>
      <c r="Z2984" s="52" t="s">
        <v>407</v>
      </c>
      <c r="AA2984" s="52" t="s">
        <v>247</v>
      </c>
      <c r="AB2984" s="52" t="s">
        <v>247</v>
      </c>
      <c r="AC2984" s="52" t="s">
        <v>247</v>
      </c>
      <c r="AD2984" s="52" t="s">
        <v>1</v>
      </c>
      <c r="AE2984" s="52" t="s">
        <v>385</v>
      </c>
      <c r="AF2984" s="155" t="s">
        <v>247</v>
      </c>
      <c r="AG2984" s="155" t="s">
        <v>247</v>
      </c>
    </row>
    <row r="2985" spans="25:33">
      <c r="Y2985" s="47">
        <v>7400</v>
      </c>
      <c r="Z2985" s="52" t="s">
        <v>407</v>
      </c>
      <c r="AA2985" s="52" t="s">
        <v>247</v>
      </c>
      <c r="AB2985" s="52" t="s">
        <v>247</v>
      </c>
      <c r="AC2985" s="52" t="s">
        <v>247</v>
      </c>
      <c r="AD2985" s="52" t="s">
        <v>1</v>
      </c>
      <c r="AE2985" s="52" t="s">
        <v>385</v>
      </c>
      <c r="AF2985" s="155" t="s">
        <v>247</v>
      </c>
      <c r="AG2985" s="155" t="s">
        <v>247</v>
      </c>
    </row>
    <row r="2986" spans="25:33">
      <c r="Y2986" s="47">
        <v>7401</v>
      </c>
      <c r="Z2986" s="52" t="s">
        <v>407</v>
      </c>
      <c r="AA2986" s="52" t="s">
        <v>247</v>
      </c>
      <c r="AB2986" s="52" t="s">
        <v>247</v>
      </c>
      <c r="AC2986" s="52" t="s">
        <v>247</v>
      </c>
      <c r="AD2986" s="52" t="s">
        <v>1</v>
      </c>
      <c r="AE2986" s="52" t="s">
        <v>385</v>
      </c>
      <c r="AF2986" s="155" t="s">
        <v>247</v>
      </c>
      <c r="AG2986" s="155" t="s">
        <v>247</v>
      </c>
    </row>
    <row r="2987" spans="25:33">
      <c r="Y2987" s="47">
        <v>7402</v>
      </c>
      <c r="Z2987" s="52" t="s">
        <v>407</v>
      </c>
      <c r="AA2987" s="52" t="s">
        <v>247</v>
      </c>
      <c r="AB2987" s="52" t="s">
        <v>247</v>
      </c>
      <c r="AC2987" s="52" t="s">
        <v>247</v>
      </c>
      <c r="AD2987" s="52" t="s">
        <v>1</v>
      </c>
      <c r="AE2987" s="52" t="s">
        <v>385</v>
      </c>
      <c r="AF2987" s="155" t="s">
        <v>247</v>
      </c>
      <c r="AG2987" s="155" t="s">
        <v>247</v>
      </c>
    </row>
    <row r="2988" spans="25:33">
      <c r="Y2988" s="47">
        <v>7403</v>
      </c>
      <c r="Z2988" s="52" t="s">
        <v>407</v>
      </c>
      <c r="AA2988" s="52" t="s">
        <v>247</v>
      </c>
      <c r="AB2988" s="52" t="s">
        <v>247</v>
      </c>
      <c r="AC2988" s="52" t="s">
        <v>247</v>
      </c>
      <c r="AD2988" s="52" t="s">
        <v>1</v>
      </c>
      <c r="AE2988" s="52" t="s">
        <v>385</v>
      </c>
      <c r="AF2988" s="155" t="s">
        <v>247</v>
      </c>
      <c r="AG2988" s="155" t="s">
        <v>247</v>
      </c>
    </row>
    <row r="2989" spans="25:33">
      <c r="Y2989" s="47">
        <v>7404</v>
      </c>
      <c r="Z2989" s="52" t="s">
        <v>407</v>
      </c>
      <c r="AA2989" s="52" t="s">
        <v>247</v>
      </c>
      <c r="AB2989" s="52" t="s">
        <v>247</v>
      </c>
      <c r="AC2989" s="52" t="s">
        <v>247</v>
      </c>
      <c r="AD2989" s="52" t="s">
        <v>1</v>
      </c>
      <c r="AE2989" s="52" t="s">
        <v>385</v>
      </c>
      <c r="AF2989" s="155" t="s">
        <v>247</v>
      </c>
      <c r="AG2989" s="155" t="s">
        <v>247</v>
      </c>
    </row>
    <row r="2990" spans="25:33">
      <c r="Y2990" s="47">
        <v>7405</v>
      </c>
      <c r="Z2990" s="52" t="s">
        <v>407</v>
      </c>
      <c r="AA2990" s="52" t="s">
        <v>247</v>
      </c>
      <c r="AB2990" s="52" t="s">
        <v>247</v>
      </c>
      <c r="AC2990" s="52" t="s">
        <v>247</v>
      </c>
      <c r="AD2990" s="52" t="s">
        <v>1</v>
      </c>
      <c r="AE2990" s="52" t="s">
        <v>385</v>
      </c>
      <c r="AF2990" s="155" t="s">
        <v>247</v>
      </c>
      <c r="AG2990" s="155" t="s">
        <v>247</v>
      </c>
    </row>
    <row r="2991" spans="25:33">
      <c r="Y2991" s="47">
        <v>7406</v>
      </c>
      <c r="Z2991" s="52" t="s">
        <v>407</v>
      </c>
      <c r="AA2991" s="52" t="s">
        <v>247</v>
      </c>
      <c r="AB2991" s="52" t="s">
        <v>247</v>
      </c>
      <c r="AC2991" s="52" t="s">
        <v>247</v>
      </c>
      <c r="AD2991" s="52" t="s">
        <v>1</v>
      </c>
      <c r="AE2991" s="52" t="s">
        <v>385</v>
      </c>
      <c r="AF2991" s="155" t="s">
        <v>247</v>
      </c>
      <c r="AG2991" s="155" t="s">
        <v>247</v>
      </c>
    </row>
    <row r="2992" spans="25:33">
      <c r="Y2992" s="47">
        <v>7407</v>
      </c>
      <c r="Z2992" s="52" t="s">
        <v>407</v>
      </c>
      <c r="AA2992" s="52" t="s">
        <v>247</v>
      </c>
      <c r="AB2992" s="52" t="s">
        <v>247</v>
      </c>
      <c r="AC2992" s="52" t="s">
        <v>247</v>
      </c>
      <c r="AD2992" s="52" t="s">
        <v>1</v>
      </c>
      <c r="AE2992" s="52" t="s">
        <v>385</v>
      </c>
      <c r="AF2992" s="155" t="s">
        <v>247</v>
      </c>
      <c r="AG2992" s="155" t="s">
        <v>247</v>
      </c>
    </row>
    <row r="2993" spans="25:33">
      <c r="Y2993" s="47">
        <v>7408</v>
      </c>
      <c r="Z2993" s="52" t="s">
        <v>407</v>
      </c>
      <c r="AA2993" s="52" t="s">
        <v>247</v>
      </c>
      <c r="AB2993" s="52" t="s">
        <v>247</v>
      </c>
      <c r="AC2993" s="52" t="s">
        <v>247</v>
      </c>
      <c r="AD2993" s="52" t="s">
        <v>1</v>
      </c>
      <c r="AE2993" s="52" t="s">
        <v>385</v>
      </c>
      <c r="AF2993" s="155" t="s">
        <v>247</v>
      </c>
      <c r="AG2993" s="155" t="s">
        <v>247</v>
      </c>
    </row>
    <row r="2994" spans="25:33">
      <c r="Y2994" s="47">
        <v>7409</v>
      </c>
      <c r="Z2994" s="52" t="s">
        <v>407</v>
      </c>
      <c r="AA2994" s="52" t="s">
        <v>247</v>
      </c>
      <c r="AB2994" s="52" t="s">
        <v>247</v>
      </c>
      <c r="AC2994" s="52" t="s">
        <v>247</v>
      </c>
      <c r="AD2994" s="52" t="s">
        <v>1</v>
      </c>
      <c r="AE2994" s="52" t="s">
        <v>385</v>
      </c>
      <c r="AF2994" s="155" t="s">
        <v>247</v>
      </c>
      <c r="AG2994" s="155" t="s">
        <v>247</v>
      </c>
    </row>
    <row r="2995" spans="25:33">
      <c r="Y2995" s="47">
        <v>7410</v>
      </c>
      <c r="Z2995" s="52" t="s">
        <v>407</v>
      </c>
      <c r="AA2995" s="52" t="s">
        <v>247</v>
      </c>
      <c r="AB2995" s="52" t="s">
        <v>247</v>
      </c>
      <c r="AC2995" s="52" t="s">
        <v>247</v>
      </c>
      <c r="AD2995" s="52" t="s">
        <v>1</v>
      </c>
      <c r="AE2995" s="52" t="s">
        <v>385</v>
      </c>
      <c r="AF2995" s="155" t="s">
        <v>247</v>
      </c>
      <c r="AG2995" s="155" t="s">
        <v>247</v>
      </c>
    </row>
    <row r="2996" spans="25:33">
      <c r="Y2996" s="47">
        <v>7411</v>
      </c>
      <c r="Z2996" s="52" t="s">
        <v>407</v>
      </c>
      <c r="AA2996" s="52" t="s">
        <v>247</v>
      </c>
      <c r="AB2996" s="52" t="s">
        <v>247</v>
      </c>
      <c r="AC2996" s="52" t="s">
        <v>247</v>
      </c>
      <c r="AD2996" s="52" t="s">
        <v>1</v>
      </c>
      <c r="AE2996" s="52" t="s">
        <v>385</v>
      </c>
      <c r="AF2996" s="155" t="s">
        <v>247</v>
      </c>
      <c r="AG2996" s="155" t="s">
        <v>247</v>
      </c>
    </row>
    <row r="2997" spans="25:33">
      <c r="Y2997" s="47">
        <v>7412</v>
      </c>
      <c r="Z2997" s="52" t="s">
        <v>407</v>
      </c>
      <c r="AA2997" s="52" t="s">
        <v>247</v>
      </c>
      <c r="AB2997" s="52" t="s">
        <v>247</v>
      </c>
      <c r="AC2997" s="52" t="s">
        <v>247</v>
      </c>
      <c r="AD2997" s="52" t="s">
        <v>1</v>
      </c>
      <c r="AE2997" s="52" t="s">
        <v>385</v>
      </c>
      <c r="AF2997" s="155" t="s">
        <v>247</v>
      </c>
      <c r="AG2997" s="155" t="s">
        <v>247</v>
      </c>
    </row>
    <row r="2998" spans="25:33">
      <c r="Y2998" s="47">
        <v>7413</v>
      </c>
      <c r="Z2998" s="52" t="s">
        <v>407</v>
      </c>
      <c r="AA2998" s="52" t="s">
        <v>247</v>
      </c>
      <c r="AB2998" s="52" t="s">
        <v>247</v>
      </c>
      <c r="AC2998" s="52" t="s">
        <v>247</v>
      </c>
      <c r="AD2998" s="52" t="s">
        <v>1</v>
      </c>
      <c r="AE2998" s="52" t="s">
        <v>385</v>
      </c>
      <c r="AF2998" s="155" t="s">
        <v>247</v>
      </c>
      <c r="AG2998" s="155" t="s">
        <v>247</v>
      </c>
    </row>
    <row r="2999" spans="25:33">
      <c r="Y2999" s="47">
        <v>7414</v>
      </c>
      <c r="Z2999" s="52" t="s">
        <v>407</v>
      </c>
      <c r="AA2999" s="52" t="s">
        <v>247</v>
      </c>
      <c r="AB2999" s="52" t="s">
        <v>247</v>
      </c>
      <c r="AC2999" s="52" t="s">
        <v>247</v>
      </c>
      <c r="AD2999" s="52" t="s">
        <v>1</v>
      </c>
      <c r="AE2999" s="52" t="s">
        <v>385</v>
      </c>
      <c r="AF2999" s="155" t="s">
        <v>247</v>
      </c>
      <c r="AG2999" s="155" t="s">
        <v>247</v>
      </c>
    </row>
    <row r="3000" spans="25:33">
      <c r="Y3000" s="47">
        <v>7415</v>
      </c>
      <c r="Z3000" s="52" t="s">
        <v>407</v>
      </c>
      <c r="AA3000" s="52" t="s">
        <v>247</v>
      </c>
      <c r="AB3000" s="52" t="s">
        <v>247</v>
      </c>
      <c r="AC3000" s="52" t="s">
        <v>247</v>
      </c>
      <c r="AD3000" s="52" t="s">
        <v>1</v>
      </c>
      <c r="AE3000" s="52" t="s">
        <v>385</v>
      </c>
      <c r="AF3000" s="155" t="s">
        <v>247</v>
      </c>
      <c r="AG3000" s="155" t="s">
        <v>247</v>
      </c>
    </row>
    <row r="3001" spans="25:33">
      <c r="Y3001" s="47">
        <v>7416</v>
      </c>
      <c r="Z3001" s="52" t="s">
        <v>407</v>
      </c>
      <c r="AA3001" s="52" t="s">
        <v>247</v>
      </c>
      <c r="AB3001" s="52" t="s">
        <v>247</v>
      </c>
      <c r="AC3001" s="52" t="s">
        <v>247</v>
      </c>
      <c r="AD3001" s="52" t="s">
        <v>1</v>
      </c>
      <c r="AE3001" s="52" t="s">
        <v>385</v>
      </c>
      <c r="AF3001" s="155" t="s">
        <v>247</v>
      </c>
      <c r="AG3001" s="155" t="s">
        <v>247</v>
      </c>
    </row>
    <row r="3002" spans="25:33">
      <c r="Y3002" s="47">
        <v>7417</v>
      </c>
      <c r="Z3002" s="52" t="s">
        <v>407</v>
      </c>
      <c r="AA3002" s="52" t="s">
        <v>247</v>
      </c>
      <c r="AB3002" s="52" t="s">
        <v>247</v>
      </c>
      <c r="AC3002" s="52" t="s">
        <v>247</v>
      </c>
      <c r="AD3002" s="52" t="s">
        <v>1</v>
      </c>
      <c r="AE3002" s="52" t="s">
        <v>385</v>
      </c>
      <c r="AF3002" s="155" t="s">
        <v>247</v>
      </c>
      <c r="AG3002" s="155" t="s">
        <v>247</v>
      </c>
    </row>
    <row r="3003" spans="25:33">
      <c r="Y3003" s="47">
        <v>7418</v>
      </c>
      <c r="Z3003" s="52" t="s">
        <v>407</v>
      </c>
      <c r="AA3003" s="52" t="s">
        <v>247</v>
      </c>
      <c r="AB3003" s="52" t="s">
        <v>247</v>
      </c>
      <c r="AC3003" s="52" t="s">
        <v>247</v>
      </c>
      <c r="AD3003" s="52" t="s">
        <v>1</v>
      </c>
      <c r="AE3003" s="52" t="s">
        <v>385</v>
      </c>
      <c r="AF3003" s="155" t="s">
        <v>247</v>
      </c>
      <c r="AG3003" s="155" t="s">
        <v>247</v>
      </c>
    </row>
    <row r="3004" spans="25:33">
      <c r="Y3004" s="47">
        <v>7419</v>
      </c>
      <c r="Z3004" s="52" t="s">
        <v>407</v>
      </c>
      <c r="AA3004" s="52" t="s">
        <v>247</v>
      </c>
      <c r="AB3004" s="52" t="s">
        <v>247</v>
      </c>
      <c r="AC3004" s="52" t="s">
        <v>247</v>
      </c>
      <c r="AD3004" s="52" t="s">
        <v>1</v>
      </c>
      <c r="AE3004" s="52" t="s">
        <v>385</v>
      </c>
      <c r="AF3004" s="155" t="s">
        <v>247</v>
      </c>
      <c r="AG3004" s="155" t="s">
        <v>247</v>
      </c>
    </row>
    <row r="3005" spans="25:33">
      <c r="Y3005" s="47">
        <v>7420</v>
      </c>
      <c r="Z3005" s="52" t="s">
        <v>407</v>
      </c>
      <c r="AA3005" s="52" t="s">
        <v>247</v>
      </c>
      <c r="AB3005" s="52" t="s">
        <v>247</v>
      </c>
      <c r="AC3005" s="52" t="s">
        <v>247</v>
      </c>
      <c r="AD3005" s="52" t="s">
        <v>1</v>
      </c>
      <c r="AE3005" s="52" t="s">
        <v>385</v>
      </c>
      <c r="AF3005" s="155" t="s">
        <v>247</v>
      </c>
      <c r="AG3005" s="155" t="s">
        <v>247</v>
      </c>
    </row>
    <row r="3006" spans="25:33">
      <c r="Y3006" s="47">
        <v>7421</v>
      </c>
      <c r="Z3006" s="52" t="s">
        <v>407</v>
      </c>
      <c r="AA3006" s="52" t="s">
        <v>247</v>
      </c>
      <c r="AB3006" s="52" t="s">
        <v>247</v>
      </c>
      <c r="AC3006" s="52" t="s">
        <v>247</v>
      </c>
      <c r="AD3006" s="52" t="s">
        <v>1</v>
      </c>
      <c r="AE3006" s="52" t="s">
        <v>385</v>
      </c>
      <c r="AF3006" s="155" t="s">
        <v>247</v>
      </c>
      <c r="AG3006" s="155" t="s">
        <v>247</v>
      </c>
    </row>
    <row r="3007" spans="25:33">
      <c r="Y3007" s="47">
        <v>7422</v>
      </c>
      <c r="Z3007" s="52" t="s">
        <v>407</v>
      </c>
      <c r="AA3007" s="52" t="s">
        <v>247</v>
      </c>
      <c r="AB3007" s="52" t="s">
        <v>247</v>
      </c>
      <c r="AC3007" s="52" t="s">
        <v>247</v>
      </c>
      <c r="AD3007" s="52" t="s">
        <v>1</v>
      </c>
      <c r="AE3007" s="52" t="s">
        <v>385</v>
      </c>
      <c r="AF3007" s="155" t="s">
        <v>247</v>
      </c>
      <c r="AG3007" s="155" t="s">
        <v>247</v>
      </c>
    </row>
    <row r="3008" spans="25:33">
      <c r="Y3008" s="47">
        <v>7423</v>
      </c>
      <c r="Z3008" s="52" t="s">
        <v>407</v>
      </c>
      <c r="AA3008" s="52" t="s">
        <v>247</v>
      </c>
      <c r="AB3008" s="52" t="s">
        <v>247</v>
      </c>
      <c r="AC3008" s="52" t="s">
        <v>247</v>
      </c>
      <c r="AD3008" s="52" t="s">
        <v>1</v>
      </c>
      <c r="AE3008" s="52" t="s">
        <v>385</v>
      </c>
      <c r="AF3008" s="155" t="s">
        <v>247</v>
      </c>
      <c r="AG3008" s="155" t="s">
        <v>247</v>
      </c>
    </row>
    <row r="3009" spans="25:33">
      <c r="Y3009" s="47">
        <v>7424</v>
      </c>
      <c r="Z3009" s="52" t="s">
        <v>407</v>
      </c>
      <c r="AA3009" s="52" t="s">
        <v>247</v>
      </c>
      <c r="AB3009" s="52" t="s">
        <v>247</v>
      </c>
      <c r="AC3009" s="52" t="s">
        <v>247</v>
      </c>
      <c r="AD3009" s="52" t="s">
        <v>1</v>
      </c>
      <c r="AE3009" s="52" t="s">
        <v>385</v>
      </c>
      <c r="AF3009" s="155" t="s">
        <v>247</v>
      </c>
      <c r="AG3009" s="155" t="s">
        <v>247</v>
      </c>
    </row>
    <row r="3010" spans="25:33">
      <c r="Y3010" s="47">
        <v>7425</v>
      </c>
      <c r="Z3010" s="52" t="s">
        <v>407</v>
      </c>
      <c r="AA3010" s="52" t="s">
        <v>247</v>
      </c>
      <c r="AB3010" s="52" t="s">
        <v>247</v>
      </c>
      <c r="AC3010" s="52" t="s">
        <v>247</v>
      </c>
      <c r="AD3010" s="52" t="s">
        <v>1</v>
      </c>
      <c r="AE3010" s="52" t="s">
        <v>385</v>
      </c>
      <c r="AF3010" s="155" t="s">
        <v>247</v>
      </c>
      <c r="AG3010" s="155" t="s">
        <v>247</v>
      </c>
    </row>
    <row r="3011" spans="25:33">
      <c r="Y3011" s="47">
        <v>7426</v>
      </c>
      <c r="Z3011" s="52" t="s">
        <v>407</v>
      </c>
      <c r="AA3011" s="52" t="s">
        <v>247</v>
      </c>
      <c r="AB3011" s="52" t="s">
        <v>247</v>
      </c>
      <c r="AC3011" s="52" t="s">
        <v>247</v>
      </c>
      <c r="AD3011" s="52" t="s">
        <v>1</v>
      </c>
      <c r="AE3011" s="52" t="s">
        <v>385</v>
      </c>
      <c r="AF3011" s="155" t="s">
        <v>247</v>
      </c>
      <c r="AG3011" s="155" t="s">
        <v>247</v>
      </c>
    </row>
    <row r="3012" spans="25:33">
      <c r="Y3012" s="47">
        <v>7427</v>
      </c>
      <c r="Z3012" s="52" t="s">
        <v>407</v>
      </c>
      <c r="AA3012" s="52" t="s">
        <v>247</v>
      </c>
      <c r="AB3012" s="52" t="s">
        <v>247</v>
      </c>
      <c r="AC3012" s="52" t="s">
        <v>247</v>
      </c>
      <c r="AD3012" s="52" t="s">
        <v>1</v>
      </c>
      <c r="AE3012" s="52" t="s">
        <v>385</v>
      </c>
      <c r="AF3012" s="155" t="s">
        <v>247</v>
      </c>
      <c r="AG3012" s="155" t="s">
        <v>247</v>
      </c>
    </row>
    <row r="3013" spans="25:33">
      <c r="Y3013" s="47">
        <v>7428</v>
      </c>
      <c r="Z3013" s="52" t="s">
        <v>407</v>
      </c>
      <c r="AA3013" s="52" t="s">
        <v>247</v>
      </c>
      <c r="AB3013" s="52" t="s">
        <v>247</v>
      </c>
      <c r="AC3013" s="52" t="s">
        <v>247</v>
      </c>
      <c r="AD3013" s="52" t="s">
        <v>1</v>
      </c>
      <c r="AE3013" s="52" t="s">
        <v>385</v>
      </c>
      <c r="AF3013" s="155" t="s">
        <v>247</v>
      </c>
      <c r="AG3013" s="155" t="s">
        <v>247</v>
      </c>
    </row>
    <row r="3014" spans="25:33">
      <c r="Y3014" s="47">
        <v>7429</v>
      </c>
      <c r="Z3014" s="52" t="s">
        <v>407</v>
      </c>
      <c r="AA3014" s="52" t="s">
        <v>247</v>
      </c>
      <c r="AB3014" s="52" t="s">
        <v>247</v>
      </c>
      <c r="AC3014" s="52" t="s">
        <v>247</v>
      </c>
      <c r="AD3014" s="52" t="s">
        <v>1</v>
      </c>
      <c r="AE3014" s="52" t="s">
        <v>385</v>
      </c>
      <c r="AF3014" s="155" t="s">
        <v>247</v>
      </c>
      <c r="AG3014" s="155" t="s">
        <v>247</v>
      </c>
    </row>
    <row r="3015" spans="25:33">
      <c r="Y3015" s="47">
        <v>7430</v>
      </c>
      <c r="Z3015" s="52" t="s">
        <v>407</v>
      </c>
      <c r="AA3015" s="52" t="s">
        <v>247</v>
      </c>
      <c r="AB3015" s="52" t="s">
        <v>247</v>
      </c>
      <c r="AC3015" s="52" t="s">
        <v>247</v>
      </c>
      <c r="AD3015" s="52" t="s">
        <v>1</v>
      </c>
      <c r="AE3015" s="52" t="s">
        <v>385</v>
      </c>
      <c r="AF3015" s="155" t="s">
        <v>247</v>
      </c>
      <c r="AG3015" s="155" t="s">
        <v>247</v>
      </c>
    </row>
    <row r="3016" spans="25:33">
      <c r="Y3016" s="47">
        <v>7431</v>
      </c>
      <c r="Z3016" s="52" t="s">
        <v>407</v>
      </c>
      <c r="AA3016" s="52" t="s">
        <v>247</v>
      </c>
      <c r="AB3016" s="52" t="s">
        <v>247</v>
      </c>
      <c r="AC3016" s="52" t="s">
        <v>247</v>
      </c>
      <c r="AD3016" s="52" t="s">
        <v>1</v>
      </c>
      <c r="AE3016" s="52" t="s">
        <v>385</v>
      </c>
      <c r="AF3016" s="155" t="s">
        <v>247</v>
      </c>
      <c r="AG3016" s="155" t="s">
        <v>247</v>
      </c>
    </row>
    <row r="3017" spans="25:33">
      <c r="Y3017" s="47">
        <v>7432</v>
      </c>
      <c r="Z3017" s="52" t="s">
        <v>407</v>
      </c>
      <c r="AA3017" s="52" t="s">
        <v>247</v>
      </c>
      <c r="AB3017" s="52" t="s">
        <v>247</v>
      </c>
      <c r="AC3017" s="52" t="s">
        <v>247</v>
      </c>
      <c r="AD3017" s="52" t="s">
        <v>1</v>
      </c>
      <c r="AE3017" s="52" t="s">
        <v>385</v>
      </c>
      <c r="AF3017" s="155" t="s">
        <v>247</v>
      </c>
      <c r="AG3017" s="155" t="s">
        <v>247</v>
      </c>
    </row>
    <row r="3018" spans="25:33">
      <c r="Y3018" s="47">
        <v>7433</v>
      </c>
      <c r="Z3018" s="52" t="s">
        <v>407</v>
      </c>
      <c r="AA3018" s="52" t="s">
        <v>247</v>
      </c>
      <c r="AB3018" s="52" t="s">
        <v>247</v>
      </c>
      <c r="AC3018" s="52" t="s">
        <v>247</v>
      </c>
      <c r="AD3018" s="52" t="s">
        <v>1</v>
      </c>
      <c r="AE3018" s="52" t="s">
        <v>385</v>
      </c>
      <c r="AF3018" s="155" t="s">
        <v>247</v>
      </c>
      <c r="AG3018" s="155" t="s">
        <v>247</v>
      </c>
    </row>
    <row r="3019" spans="25:33">
      <c r="Y3019" s="47">
        <v>7434</v>
      </c>
      <c r="Z3019" s="52" t="s">
        <v>407</v>
      </c>
      <c r="AA3019" s="52" t="s">
        <v>247</v>
      </c>
      <c r="AB3019" s="52" t="s">
        <v>247</v>
      </c>
      <c r="AC3019" s="52" t="s">
        <v>247</v>
      </c>
      <c r="AD3019" s="52" t="s">
        <v>1</v>
      </c>
      <c r="AE3019" s="52" t="s">
        <v>385</v>
      </c>
      <c r="AF3019" s="155" t="s">
        <v>247</v>
      </c>
      <c r="AG3019" s="155" t="s">
        <v>247</v>
      </c>
    </row>
    <row r="3020" spans="25:33">
      <c r="Y3020" s="47">
        <v>7435</v>
      </c>
      <c r="Z3020" s="52" t="s">
        <v>407</v>
      </c>
      <c r="AA3020" s="52" t="s">
        <v>247</v>
      </c>
      <c r="AB3020" s="52" t="s">
        <v>247</v>
      </c>
      <c r="AC3020" s="52" t="s">
        <v>247</v>
      </c>
      <c r="AD3020" s="52" t="s">
        <v>1</v>
      </c>
      <c r="AE3020" s="52" t="s">
        <v>385</v>
      </c>
      <c r="AF3020" s="155" t="s">
        <v>247</v>
      </c>
      <c r="AG3020" s="155" t="s">
        <v>247</v>
      </c>
    </row>
    <row r="3021" spans="25:33">
      <c r="Y3021" s="47">
        <v>7436</v>
      </c>
      <c r="Z3021" s="52" t="s">
        <v>407</v>
      </c>
      <c r="AA3021" s="52" t="s">
        <v>247</v>
      </c>
      <c r="AB3021" s="52" t="s">
        <v>247</v>
      </c>
      <c r="AC3021" s="52" t="s">
        <v>247</v>
      </c>
      <c r="AD3021" s="52" t="s">
        <v>1</v>
      </c>
      <c r="AE3021" s="52" t="s">
        <v>385</v>
      </c>
      <c r="AF3021" s="155" t="s">
        <v>247</v>
      </c>
      <c r="AG3021" s="155" t="s">
        <v>247</v>
      </c>
    </row>
    <row r="3022" spans="25:33">
      <c r="Y3022" s="47">
        <v>7437</v>
      </c>
      <c r="Z3022" s="52" t="s">
        <v>407</v>
      </c>
      <c r="AA3022" s="52" t="s">
        <v>247</v>
      </c>
      <c r="AB3022" s="52" t="s">
        <v>247</v>
      </c>
      <c r="AC3022" s="52" t="s">
        <v>247</v>
      </c>
      <c r="AD3022" s="52" t="s">
        <v>1</v>
      </c>
      <c r="AE3022" s="52" t="s">
        <v>385</v>
      </c>
      <c r="AF3022" s="155" t="s">
        <v>247</v>
      </c>
      <c r="AG3022" s="155" t="s">
        <v>247</v>
      </c>
    </row>
    <row r="3023" spans="25:33">
      <c r="Y3023" s="47">
        <v>7438</v>
      </c>
      <c r="Z3023" s="52" t="s">
        <v>407</v>
      </c>
      <c r="AA3023" s="52" t="s">
        <v>247</v>
      </c>
      <c r="AB3023" s="52" t="s">
        <v>247</v>
      </c>
      <c r="AC3023" s="52" t="s">
        <v>247</v>
      </c>
      <c r="AD3023" s="52" t="s">
        <v>1</v>
      </c>
      <c r="AE3023" s="52" t="s">
        <v>385</v>
      </c>
      <c r="AF3023" s="155" t="s">
        <v>247</v>
      </c>
      <c r="AG3023" s="155" t="s">
        <v>247</v>
      </c>
    </row>
    <row r="3024" spans="25:33">
      <c r="Y3024" s="47">
        <v>7439</v>
      </c>
      <c r="Z3024" s="52" t="s">
        <v>407</v>
      </c>
      <c r="AA3024" s="52" t="s">
        <v>247</v>
      </c>
      <c r="AB3024" s="52" t="s">
        <v>247</v>
      </c>
      <c r="AC3024" s="52" t="s">
        <v>247</v>
      </c>
      <c r="AD3024" s="52" t="s">
        <v>1</v>
      </c>
      <c r="AE3024" s="52" t="s">
        <v>385</v>
      </c>
      <c r="AF3024" s="155" t="s">
        <v>247</v>
      </c>
      <c r="AG3024" s="155" t="s">
        <v>247</v>
      </c>
    </row>
    <row r="3025" spans="25:33">
      <c r="Y3025" s="47">
        <v>7440</v>
      </c>
      <c r="Z3025" s="52" t="s">
        <v>407</v>
      </c>
      <c r="AA3025" s="52" t="s">
        <v>247</v>
      </c>
      <c r="AB3025" s="52" t="s">
        <v>247</v>
      </c>
      <c r="AC3025" s="52" t="s">
        <v>247</v>
      </c>
      <c r="AD3025" s="52" t="s">
        <v>1</v>
      </c>
      <c r="AE3025" s="52" t="s">
        <v>385</v>
      </c>
      <c r="AF3025" s="155" t="s">
        <v>247</v>
      </c>
      <c r="AG3025" s="155" t="s">
        <v>247</v>
      </c>
    </row>
    <row r="3026" spans="25:33">
      <c r="Y3026" s="47">
        <v>7441</v>
      </c>
      <c r="Z3026" s="52" t="s">
        <v>407</v>
      </c>
      <c r="AA3026" s="52" t="s">
        <v>247</v>
      </c>
      <c r="AB3026" s="52" t="s">
        <v>247</v>
      </c>
      <c r="AC3026" s="52" t="s">
        <v>247</v>
      </c>
      <c r="AD3026" s="52" t="s">
        <v>1</v>
      </c>
      <c r="AE3026" s="52" t="s">
        <v>385</v>
      </c>
      <c r="AF3026" s="155" t="s">
        <v>247</v>
      </c>
      <c r="AG3026" s="155" t="s">
        <v>247</v>
      </c>
    </row>
    <row r="3027" spans="25:33">
      <c r="Y3027" s="47">
        <v>7442</v>
      </c>
      <c r="Z3027" s="52" t="s">
        <v>407</v>
      </c>
      <c r="AA3027" s="52" t="s">
        <v>247</v>
      </c>
      <c r="AB3027" s="52" t="s">
        <v>247</v>
      </c>
      <c r="AC3027" s="52" t="s">
        <v>247</v>
      </c>
      <c r="AD3027" s="52" t="s">
        <v>1</v>
      </c>
      <c r="AE3027" s="52" t="s">
        <v>385</v>
      </c>
      <c r="AF3027" s="155" t="s">
        <v>247</v>
      </c>
      <c r="AG3027" s="155" t="s">
        <v>247</v>
      </c>
    </row>
    <row r="3028" spans="25:33">
      <c r="Y3028" s="47">
        <v>7443</v>
      </c>
      <c r="Z3028" s="52" t="s">
        <v>407</v>
      </c>
      <c r="AA3028" s="52" t="s">
        <v>247</v>
      </c>
      <c r="AB3028" s="52" t="s">
        <v>247</v>
      </c>
      <c r="AC3028" s="52" t="s">
        <v>247</v>
      </c>
      <c r="AD3028" s="52" t="s">
        <v>1</v>
      </c>
      <c r="AE3028" s="52" t="s">
        <v>385</v>
      </c>
      <c r="AF3028" s="155" t="s">
        <v>247</v>
      </c>
      <c r="AG3028" s="155" t="s">
        <v>247</v>
      </c>
    </row>
    <row r="3029" spans="25:33">
      <c r="Y3029" s="47">
        <v>7444</v>
      </c>
      <c r="Z3029" s="52" t="s">
        <v>407</v>
      </c>
      <c r="AA3029" s="52" t="s">
        <v>247</v>
      </c>
      <c r="AB3029" s="52" t="s">
        <v>247</v>
      </c>
      <c r="AC3029" s="52" t="s">
        <v>247</v>
      </c>
      <c r="AD3029" s="52" t="s">
        <v>1</v>
      </c>
      <c r="AE3029" s="52" t="s">
        <v>385</v>
      </c>
      <c r="AF3029" s="155" t="s">
        <v>247</v>
      </c>
      <c r="AG3029" s="155" t="s">
        <v>247</v>
      </c>
    </row>
    <row r="3030" spans="25:33">
      <c r="Y3030" s="47">
        <v>7445</v>
      </c>
      <c r="Z3030" s="52" t="s">
        <v>407</v>
      </c>
      <c r="AA3030" s="52" t="s">
        <v>247</v>
      </c>
      <c r="AB3030" s="52" t="s">
        <v>247</v>
      </c>
      <c r="AC3030" s="52" t="s">
        <v>247</v>
      </c>
      <c r="AD3030" s="52" t="s">
        <v>1</v>
      </c>
      <c r="AE3030" s="52" t="s">
        <v>385</v>
      </c>
      <c r="AF3030" s="155" t="s">
        <v>247</v>
      </c>
      <c r="AG3030" s="155" t="s">
        <v>247</v>
      </c>
    </row>
    <row r="3031" spans="25:33">
      <c r="Y3031" s="47">
        <v>7446</v>
      </c>
      <c r="Z3031" s="52" t="s">
        <v>407</v>
      </c>
      <c r="AA3031" s="52" t="s">
        <v>247</v>
      </c>
      <c r="AB3031" s="52" t="s">
        <v>247</v>
      </c>
      <c r="AC3031" s="52" t="s">
        <v>247</v>
      </c>
      <c r="AD3031" s="52" t="s">
        <v>1</v>
      </c>
      <c r="AE3031" s="52" t="s">
        <v>385</v>
      </c>
      <c r="AF3031" s="155" t="s">
        <v>247</v>
      </c>
      <c r="AG3031" s="155" t="s">
        <v>247</v>
      </c>
    </row>
    <row r="3032" spans="25:33">
      <c r="Y3032" s="47">
        <v>7447</v>
      </c>
      <c r="Z3032" s="52" t="s">
        <v>407</v>
      </c>
      <c r="AA3032" s="52" t="s">
        <v>247</v>
      </c>
      <c r="AB3032" s="52" t="s">
        <v>247</v>
      </c>
      <c r="AC3032" s="52" t="s">
        <v>247</v>
      </c>
      <c r="AD3032" s="52" t="s">
        <v>1</v>
      </c>
      <c r="AE3032" s="52" t="s">
        <v>385</v>
      </c>
      <c r="AF3032" s="155" t="s">
        <v>247</v>
      </c>
      <c r="AG3032" s="155" t="s">
        <v>247</v>
      </c>
    </row>
    <row r="3033" spans="25:33">
      <c r="Y3033" s="47">
        <v>7448</v>
      </c>
      <c r="Z3033" s="52" t="s">
        <v>407</v>
      </c>
      <c r="AA3033" s="52" t="s">
        <v>247</v>
      </c>
      <c r="AB3033" s="52" t="s">
        <v>247</v>
      </c>
      <c r="AC3033" s="52" t="s">
        <v>247</v>
      </c>
      <c r="AD3033" s="52" t="s">
        <v>1</v>
      </c>
      <c r="AE3033" s="52" t="s">
        <v>385</v>
      </c>
      <c r="AF3033" s="155" t="s">
        <v>247</v>
      </c>
      <c r="AG3033" s="155" t="s">
        <v>247</v>
      </c>
    </row>
    <row r="3034" spans="25:33">
      <c r="Y3034" s="47">
        <v>7449</v>
      </c>
      <c r="Z3034" s="52" t="s">
        <v>407</v>
      </c>
      <c r="AA3034" s="52" t="s">
        <v>247</v>
      </c>
      <c r="AB3034" s="52" t="s">
        <v>247</v>
      </c>
      <c r="AC3034" s="52" t="s">
        <v>247</v>
      </c>
      <c r="AD3034" s="52" t="s">
        <v>1</v>
      </c>
      <c r="AE3034" s="52" t="s">
        <v>385</v>
      </c>
      <c r="AF3034" s="155" t="s">
        <v>247</v>
      </c>
      <c r="AG3034" s="155" t="s">
        <v>247</v>
      </c>
    </row>
    <row r="3035" spans="25:33">
      <c r="Y3035" s="47">
        <v>7450</v>
      </c>
      <c r="Z3035" s="52" t="s">
        <v>407</v>
      </c>
      <c r="AA3035" s="52" t="s">
        <v>247</v>
      </c>
      <c r="AB3035" s="52" t="s">
        <v>247</v>
      </c>
      <c r="AC3035" s="52" t="s">
        <v>247</v>
      </c>
      <c r="AD3035" s="52" t="s">
        <v>1</v>
      </c>
      <c r="AE3035" s="52" t="s">
        <v>385</v>
      </c>
      <c r="AF3035" s="155" t="s">
        <v>247</v>
      </c>
      <c r="AG3035" s="155" t="s">
        <v>247</v>
      </c>
    </row>
    <row r="3036" spans="25:33">
      <c r="Y3036" s="47">
        <v>7451</v>
      </c>
      <c r="Z3036" s="52" t="s">
        <v>407</v>
      </c>
      <c r="AA3036" s="52" t="s">
        <v>247</v>
      </c>
      <c r="AB3036" s="52" t="s">
        <v>247</v>
      </c>
      <c r="AC3036" s="52" t="s">
        <v>247</v>
      </c>
      <c r="AD3036" s="52" t="s">
        <v>1</v>
      </c>
      <c r="AE3036" s="52" t="s">
        <v>385</v>
      </c>
      <c r="AF3036" s="155" t="s">
        <v>247</v>
      </c>
      <c r="AG3036" s="155" t="s">
        <v>247</v>
      </c>
    </row>
    <row r="3037" spans="25:33">
      <c r="Y3037" s="47">
        <v>7452</v>
      </c>
      <c r="Z3037" s="52" t="s">
        <v>407</v>
      </c>
      <c r="AA3037" s="52" t="s">
        <v>247</v>
      </c>
      <c r="AB3037" s="52" t="s">
        <v>247</v>
      </c>
      <c r="AC3037" s="52" t="s">
        <v>247</v>
      </c>
      <c r="AD3037" s="52" t="s">
        <v>1</v>
      </c>
      <c r="AE3037" s="52" t="s">
        <v>385</v>
      </c>
      <c r="AF3037" s="155" t="s">
        <v>247</v>
      </c>
      <c r="AG3037" s="155" t="s">
        <v>247</v>
      </c>
    </row>
    <row r="3038" spans="25:33">
      <c r="Y3038" s="47">
        <v>7453</v>
      </c>
      <c r="Z3038" s="52" t="s">
        <v>407</v>
      </c>
      <c r="AA3038" s="52" t="s">
        <v>247</v>
      </c>
      <c r="AB3038" s="52" t="s">
        <v>247</v>
      </c>
      <c r="AC3038" s="52" t="s">
        <v>247</v>
      </c>
      <c r="AD3038" s="52" t="s">
        <v>1</v>
      </c>
      <c r="AE3038" s="52" t="s">
        <v>385</v>
      </c>
      <c r="AF3038" s="155" t="s">
        <v>247</v>
      </c>
      <c r="AG3038" s="155" t="s">
        <v>247</v>
      </c>
    </row>
    <row r="3039" spans="25:33">
      <c r="Y3039" s="47">
        <v>7454</v>
      </c>
      <c r="Z3039" s="52" t="s">
        <v>407</v>
      </c>
      <c r="AA3039" s="52" t="s">
        <v>247</v>
      </c>
      <c r="AB3039" s="52" t="s">
        <v>247</v>
      </c>
      <c r="AC3039" s="52" t="s">
        <v>247</v>
      </c>
      <c r="AD3039" s="52" t="s">
        <v>1</v>
      </c>
      <c r="AE3039" s="52" t="s">
        <v>385</v>
      </c>
      <c r="AF3039" s="155" t="s">
        <v>247</v>
      </c>
      <c r="AG3039" s="155" t="s">
        <v>247</v>
      </c>
    </row>
    <row r="3040" spans="25:33">
      <c r="Y3040" s="47">
        <v>7455</v>
      </c>
      <c r="Z3040" s="52" t="s">
        <v>407</v>
      </c>
      <c r="AA3040" s="52" t="s">
        <v>247</v>
      </c>
      <c r="AB3040" s="52" t="s">
        <v>247</v>
      </c>
      <c r="AC3040" s="52" t="s">
        <v>247</v>
      </c>
      <c r="AD3040" s="52" t="s">
        <v>1</v>
      </c>
      <c r="AE3040" s="52" t="s">
        <v>385</v>
      </c>
      <c r="AF3040" s="155" t="s">
        <v>247</v>
      </c>
      <c r="AG3040" s="155" t="s">
        <v>247</v>
      </c>
    </row>
    <row r="3041" spans="25:33">
      <c r="Y3041" s="47">
        <v>7456</v>
      </c>
      <c r="Z3041" s="52" t="s">
        <v>407</v>
      </c>
      <c r="AA3041" s="52" t="s">
        <v>247</v>
      </c>
      <c r="AB3041" s="52" t="s">
        <v>247</v>
      </c>
      <c r="AC3041" s="52" t="s">
        <v>247</v>
      </c>
      <c r="AD3041" s="52" t="s">
        <v>1</v>
      </c>
      <c r="AE3041" s="52" t="s">
        <v>385</v>
      </c>
      <c r="AF3041" s="155" t="s">
        <v>247</v>
      </c>
      <c r="AG3041" s="155" t="s">
        <v>247</v>
      </c>
    </row>
    <row r="3042" spans="25:33">
      <c r="Y3042" s="47">
        <v>7457</v>
      </c>
      <c r="Z3042" s="52" t="s">
        <v>407</v>
      </c>
      <c r="AA3042" s="52" t="s">
        <v>247</v>
      </c>
      <c r="AB3042" s="52" t="s">
        <v>247</v>
      </c>
      <c r="AC3042" s="52" t="s">
        <v>247</v>
      </c>
      <c r="AD3042" s="52" t="s">
        <v>1</v>
      </c>
      <c r="AE3042" s="52" t="s">
        <v>385</v>
      </c>
      <c r="AF3042" s="155" t="s">
        <v>247</v>
      </c>
      <c r="AG3042" s="155" t="s">
        <v>247</v>
      </c>
    </row>
    <row r="3043" spans="25:33">
      <c r="Y3043" s="47">
        <v>7458</v>
      </c>
      <c r="Z3043" s="52" t="s">
        <v>407</v>
      </c>
      <c r="AA3043" s="52" t="s">
        <v>247</v>
      </c>
      <c r="AB3043" s="52" t="s">
        <v>247</v>
      </c>
      <c r="AC3043" s="52" t="s">
        <v>247</v>
      </c>
      <c r="AD3043" s="52" t="s">
        <v>1</v>
      </c>
      <c r="AE3043" s="52" t="s">
        <v>385</v>
      </c>
      <c r="AF3043" s="155" t="s">
        <v>247</v>
      </c>
      <c r="AG3043" s="155" t="s">
        <v>247</v>
      </c>
    </row>
    <row r="3044" spans="25:33">
      <c r="Y3044" s="47">
        <v>7459</v>
      </c>
      <c r="Z3044" s="52" t="s">
        <v>407</v>
      </c>
      <c r="AA3044" s="52" t="s">
        <v>247</v>
      </c>
      <c r="AB3044" s="52" t="s">
        <v>247</v>
      </c>
      <c r="AC3044" s="52" t="s">
        <v>247</v>
      </c>
      <c r="AD3044" s="52" t="s">
        <v>1</v>
      </c>
      <c r="AE3044" s="52" t="s">
        <v>385</v>
      </c>
      <c r="AF3044" s="155" t="s">
        <v>247</v>
      </c>
      <c r="AG3044" s="155" t="s">
        <v>247</v>
      </c>
    </row>
    <row r="3045" spans="25:33">
      <c r="Y3045" s="47">
        <v>7460</v>
      </c>
      <c r="Z3045" s="52" t="s">
        <v>407</v>
      </c>
      <c r="AA3045" s="52" t="s">
        <v>247</v>
      </c>
      <c r="AB3045" s="52" t="s">
        <v>247</v>
      </c>
      <c r="AC3045" s="52" t="s">
        <v>247</v>
      </c>
      <c r="AD3045" s="52" t="s">
        <v>1</v>
      </c>
      <c r="AE3045" s="52" t="s">
        <v>385</v>
      </c>
      <c r="AF3045" s="155" t="s">
        <v>247</v>
      </c>
      <c r="AG3045" s="155" t="s">
        <v>247</v>
      </c>
    </row>
    <row r="3046" spans="25:33">
      <c r="Y3046" s="47">
        <v>7461</v>
      </c>
      <c r="Z3046" s="52" t="s">
        <v>407</v>
      </c>
      <c r="AA3046" s="52" t="s">
        <v>247</v>
      </c>
      <c r="AB3046" s="52" t="s">
        <v>247</v>
      </c>
      <c r="AC3046" s="52" t="s">
        <v>247</v>
      </c>
      <c r="AD3046" s="52" t="s">
        <v>1</v>
      </c>
      <c r="AE3046" s="52" t="s">
        <v>385</v>
      </c>
      <c r="AF3046" s="155" t="s">
        <v>247</v>
      </c>
      <c r="AG3046" s="155" t="s">
        <v>247</v>
      </c>
    </row>
    <row r="3047" spans="25:33">
      <c r="Y3047" s="47">
        <v>7462</v>
      </c>
      <c r="Z3047" s="52" t="s">
        <v>407</v>
      </c>
      <c r="AA3047" s="52" t="s">
        <v>247</v>
      </c>
      <c r="AB3047" s="52" t="s">
        <v>247</v>
      </c>
      <c r="AC3047" s="52" t="s">
        <v>247</v>
      </c>
      <c r="AD3047" s="52" t="s">
        <v>1</v>
      </c>
      <c r="AE3047" s="52" t="s">
        <v>385</v>
      </c>
      <c r="AF3047" s="155" t="s">
        <v>247</v>
      </c>
      <c r="AG3047" s="155" t="s">
        <v>247</v>
      </c>
    </row>
    <row r="3048" spans="25:33">
      <c r="Y3048" s="47">
        <v>7463</v>
      </c>
      <c r="Z3048" s="52" t="s">
        <v>407</v>
      </c>
      <c r="AA3048" s="52" t="s">
        <v>247</v>
      </c>
      <c r="AB3048" s="52" t="s">
        <v>247</v>
      </c>
      <c r="AC3048" s="52" t="s">
        <v>247</v>
      </c>
      <c r="AD3048" s="52" t="s">
        <v>1</v>
      </c>
      <c r="AE3048" s="52" t="s">
        <v>385</v>
      </c>
      <c r="AF3048" s="155" t="s">
        <v>247</v>
      </c>
      <c r="AG3048" s="155" t="s">
        <v>247</v>
      </c>
    </row>
    <row r="3049" spans="25:33">
      <c r="Y3049" s="47">
        <v>7464</v>
      </c>
      <c r="Z3049" s="52" t="s">
        <v>407</v>
      </c>
      <c r="AA3049" s="52" t="s">
        <v>247</v>
      </c>
      <c r="AB3049" s="52" t="s">
        <v>247</v>
      </c>
      <c r="AC3049" s="52" t="s">
        <v>247</v>
      </c>
      <c r="AD3049" s="52" t="s">
        <v>1</v>
      </c>
      <c r="AE3049" s="52" t="s">
        <v>385</v>
      </c>
      <c r="AF3049" s="155" t="s">
        <v>247</v>
      </c>
      <c r="AG3049" s="155" t="s">
        <v>247</v>
      </c>
    </row>
    <row r="3050" spans="25:33">
      <c r="Y3050" s="47">
        <v>7465</v>
      </c>
      <c r="Z3050" s="52" t="s">
        <v>407</v>
      </c>
      <c r="AA3050" s="52" t="s">
        <v>247</v>
      </c>
      <c r="AB3050" s="52" t="s">
        <v>247</v>
      </c>
      <c r="AC3050" s="52" t="s">
        <v>247</v>
      </c>
      <c r="AD3050" s="52" t="s">
        <v>1</v>
      </c>
      <c r="AE3050" s="52" t="s">
        <v>385</v>
      </c>
      <c r="AF3050" s="155" t="s">
        <v>247</v>
      </c>
      <c r="AG3050" s="155" t="s">
        <v>247</v>
      </c>
    </row>
    <row r="3051" spans="25:33">
      <c r="Y3051" s="47">
        <v>7466</v>
      </c>
      <c r="Z3051" s="52" t="s">
        <v>407</v>
      </c>
      <c r="AA3051" s="52" t="s">
        <v>247</v>
      </c>
      <c r="AB3051" s="52" t="s">
        <v>247</v>
      </c>
      <c r="AC3051" s="52" t="s">
        <v>247</v>
      </c>
      <c r="AD3051" s="52" t="s">
        <v>1</v>
      </c>
      <c r="AE3051" s="52" t="s">
        <v>385</v>
      </c>
      <c r="AF3051" s="155" t="s">
        <v>247</v>
      </c>
      <c r="AG3051" s="155" t="s">
        <v>247</v>
      </c>
    </row>
    <row r="3052" spans="25:33">
      <c r="Y3052" s="47">
        <v>7467</v>
      </c>
      <c r="Z3052" s="52" t="s">
        <v>407</v>
      </c>
      <c r="AA3052" s="52" t="s">
        <v>247</v>
      </c>
      <c r="AB3052" s="52" t="s">
        <v>247</v>
      </c>
      <c r="AC3052" s="52" t="s">
        <v>247</v>
      </c>
      <c r="AD3052" s="52" t="s">
        <v>1</v>
      </c>
      <c r="AE3052" s="52" t="s">
        <v>385</v>
      </c>
      <c r="AF3052" s="155" t="s">
        <v>247</v>
      </c>
      <c r="AG3052" s="155" t="s">
        <v>247</v>
      </c>
    </row>
    <row r="3053" spans="25:33">
      <c r="Y3053" s="47">
        <v>7468</v>
      </c>
      <c r="Z3053" s="52" t="s">
        <v>407</v>
      </c>
      <c r="AA3053" s="52" t="s">
        <v>247</v>
      </c>
      <c r="AB3053" s="52" t="s">
        <v>247</v>
      </c>
      <c r="AC3053" s="52" t="s">
        <v>247</v>
      </c>
      <c r="AD3053" s="52" t="s">
        <v>1</v>
      </c>
      <c r="AE3053" s="52" t="s">
        <v>385</v>
      </c>
      <c r="AF3053" s="155" t="s">
        <v>247</v>
      </c>
      <c r="AG3053" s="155" t="s">
        <v>247</v>
      </c>
    </row>
    <row r="3054" spans="25:33">
      <c r="Y3054" s="47">
        <v>7469</v>
      </c>
      <c r="Z3054" s="52" t="s">
        <v>407</v>
      </c>
      <c r="AA3054" s="52" t="s">
        <v>247</v>
      </c>
      <c r="AB3054" s="52" t="s">
        <v>247</v>
      </c>
      <c r="AC3054" s="52" t="s">
        <v>247</v>
      </c>
      <c r="AD3054" s="52" t="s">
        <v>1</v>
      </c>
      <c r="AE3054" s="52" t="s">
        <v>385</v>
      </c>
      <c r="AF3054" s="155" t="s">
        <v>247</v>
      </c>
      <c r="AG3054" s="155" t="s">
        <v>247</v>
      </c>
    </row>
    <row r="3055" spans="25:33">
      <c r="Y3055" s="47">
        <v>7470</v>
      </c>
      <c r="Z3055" s="52" t="s">
        <v>407</v>
      </c>
      <c r="AA3055" s="52" t="s">
        <v>247</v>
      </c>
      <c r="AB3055" s="52" t="s">
        <v>247</v>
      </c>
      <c r="AC3055" s="52" t="s">
        <v>247</v>
      </c>
      <c r="AD3055" s="52" t="s">
        <v>1</v>
      </c>
      <c r="AE3055" s="52" t="s">
        <v>385</v>
      </c>
      <c r="AF3055" s="155" t="s">
        <v>247</v>
      </c>
      <c r="AG3055" s="155" t="s">
        <v>247</v>
      </c>
    </row>
    <row r="3056" spans="25:33">
      <c r="Y3056" s="47">
        <v>3000</v>
      </c>
      <c r="Z3056" s="52" t="s">
        <v>411</v>
      </c>
      <c r="AA3056" s="52" t="s">
        <v>247</v>
      </c>
      <c r="AB3056" s="52" t="s">
        <v>247</v>
      </c>
      <c r="AC3056" s="52">
        <v>4</v>
      </c>
      <c r="AD3056" s="52" t="s">
        <v>1</v>
      </c>
      <c r="AE3056" s="52" t="s">
        <v>373</v>
      </c>
      <c r="AF3056" s="155" t="s">
        <v>559</v>
      </c>
      <c r="AG3056" s="155">
        <v>4</v>
      </c>
    </row>
    <row r="3057" spans="25:33">
      <c r="Y3057" s="47">
        <v>3001</v>
      </c>
      <c r="Z3057" s="52" t="s">
        <v>411</v>
      </c>
      <c r="AA3057" s="52" t="s">
        <v>247</v>
      </c>
      <c r="AB3057" s="52" t="s">
        <v>247</v>
      </c>
      <c r="AC3057" s="52">
        <v>4</v>
      </c>
      <c r="AD3057" s="52" t="s">
        <v>1</v>
      </c>
      <c r="AE3057" s="52" t="s">
        <v>373</v>
      </c>
      <c r="AF3057" s="155" t="s">
        <v>559</v>
      </c>
      <c r="AG3057" s="155">
        <v>4</v>
      </c>
    </row>
    <row r="3058" spans="25:33">
      <c r="Y3058" s="47">
        <v>3002</v>
      </c>
      <c r="Z3058" s="52" t="s">
        <v>411</v>
      </c>
      <c r="AA3058" s="52" t="s">
        <v>247</v>
      </c>
      <c r="AB3058" s="52" t="s">
        <v>247</v>
      </c>
      <c r="AC3058" s="52">
        <v>4</v>
      </c>
      <c r="AD3058" s="52" t="s">
        <v>1</v>
      </c>
      <c r="AE3058" s="52" t="s">
        <v>373</v>
      </c>
      <c r="AF3058" s="155" t="s">
        <v>559</v>
      </c>
      <c r="AG3058" s="155">
        <v>4</v>
      </c>
    </row>
    <row r="3059" spans="25:33">
      <c r="Y3059" s="47">
        <v>3003</v>
      </c>
      <c r="Z3059" s="52" t="s">
        <v>411</v>
      </c>
      <c r="AA3059" s="52" t="s">
        <v>247</v>
      </c>
      <c r="AB3059" s="52" t="s">
        <v>247</v>
      </c>
      <c r="AC3059" s="52">
        <v>4</v>
      </c>
      <c r="AD3059" s="52" t="s">
        <v>1</v>
      </c>
      <c r="AE3059" s="52" t="s">
        <v>373</v>
      </c>
      <c r="AF3059" s="155" t="s">
        <v>559</v>
      </c>
      <c r="AG3059" s="155">
        <v>4</v>
      </c>
    </row>
    <row r="3060" spans="25:33">
      <c r="Y3060" s="47">
        <v>3004</v>
      </c>
      <c r="Z3060" s="52" t="s">
        <v>411</v>
      </c>
      <c r="AA3060" s="52" t="s">
        <v>247</v>
      </c>
      <c r="AB3060" s="52" t="s">
        <v>247</v>
      </c>
      <c r="AC3060" s="52">
        <v>4</v>
      </c>
      <c r="AD3060" s="52" t="s">
        <v>1</v>
      </c>
      <c r="AE3060" s="52" t="s">
        <v>373</v>
      </c>
      <c r="AF3060" s="155" t="s">
        <v>559</v>
      </c>
      <c r="AG3060" s="155">
        <v>4</v>
      </c>
    </row>
    <row r="3061" spans="25:33">
      <c r="Y3061" s="47">
        <v>3005</v>
      </c>
      <c r="Z3061" s="52" t="s">
        <v>411</v>
      </c>
      <c r="AA3061" s="52" t="s">
        <v>247</v>
      </c>
      <c r="AB3061" s="52" t="s">
        <v>247</v>
      </c>
      <c r="AC3061" s="52" t="s">
        <v>247</v>
      </c>
      <c r="AD3061" s="52" t="s">
        <v>1</v>
      </c>
      <c r="AE3061" s="52" t="s">
        <v>373</v>
      </c>
      <c r="AF3061" s="155" t="s">
        <v>247</v>
      </c>
      <c r="AG3061" s="155" t="s">
        <v>247</v>
      </c>
    </row>
    <row r="3062" spans="25:33">
      <c r="Y3062" s="47">
        <v>3006</v>
      </c>
      <c r="Z3062" s="52" t="s">
        <v>411</v>
      </c>
      <c r="AA3062" s="52" t="s">
        <v>247</v>
      </c>
      <c r="AB3062" s="52" t="s">
        <v>247</v>
      </c>
      <c r="AC3062" s="52">
        <v>4</v>
      </c>
      <c r="AD3062" s="52" t="s">
        <v>1</v>
      </c>
      <c r="AE3062" s="52" t="s">
        <v>373</v>
      </c>
      <c r="AF3062" s="155" t="s">
        <v>559</v>
      </c>
      <c r="AG3062" s="155">
        <v>4</v>
      </c>
    </row>
    <row r="3063" spans="25:33">
      <c r="Y3063" s="47">
        <v>3007</v>
      </c>
      <c r="Z3063" s="52" t="s">
        <v>411</v>
      </c>
      <c r="AA3063" s="52" t="s">
        <v>247</v>
      </c>
      <c r="AB3063" s="52" t="s">
        <v>247</v>
      </c>
      <c r="AC3063" s="52" t="s">
        <v>247</v>
      </c>
      <c r="AD3063" s="52" t="s">
        <v>1</v>
      </c>
      <c r="AE3063" s="52" t="s">
        <v>373</v>
      </c>
      <c r="AF3063" s="155" t="s">
        <v>247</v>
      </c>
      <c r="AG3063" s="155" t="s">
        <v>247</v>
      </c>
    </row>
    <row r="3064" spans="25:33">
      <c r="Y3064" s="47">
        <v>3008</v>
      </c>
      <c r="Z3064" s="52" t="s">
        <v>411</v>
      </c>
      <c r="AA3064" s="52" t="s">
        <v>247</v>
      </c>
      <c r="AB3064" s="52" t="s">
        <v>247</v>
      </c>
      <c r="AC3064" s="52">
        <v>4</v>
      </c>
      <c r="AD3064" s="52" t="s">
        <v>1</v>
      </c>
      <c r="AE3064" s="52" t="s">
        <v>373</v>
      </c>
      <c r="AF3064" s="155" t="s">
        <v>559</v>
      </c>
      <c r="AG3064" s="155">
        <v>4</v>
      </c>
    </row>
    <row r="3065" spans="25:33">
      <c r="Y3065" s="47">
        <v>3009</v>
      </c>
      <c r="Z3065" s="52" t="s">
        <v>411</v>
      </c>
      <c r="AA3065" s="52" t="s">
        <v>247</v>
      </c>
      <c r="AB3065" s="52" t="s">
        <v>247</v>
      </c>
      <c r="AC3065" s="52" t="s">
        <v>247</v>
      </c>
      <c r="AD3065" s="52" t="s">
        <v>1</v>
      </c>
      <c r="AE3065" s="52" t="s">
        <v>373</v>
      </c>
      <c r="AF3065" s="155" t="s">
        <v>247</v>
      </c>
      <c r="AG3065" s="155" t="s">
        <v>247</v>
      </c>
    </row>
    <row r="3066" spans="25:33">
      <c r="Y3066" s="47">
        <v>3010</v>
      </c>
      <c r="Z3066" s="52" t="s">
        <v>411</v>
      </c>
      <c r="AA3066" s="52" t="s">
        <v>247</v>
      </c>
      <c r="AB3066" s="52" t="s">
        <v>247</v>
      </c>
      <c r="AC3066" s="52">
        <v>4</v>
      </c>
      <c r="AD3066" s="52" t="s">
        <v>1</v>
      </c>
      <c r="AE3066" s="52" t="s">
        <v>373</v>
      </c>
      <c r="AF3066" s="155" t="s">
        <v>559</v>
      </c>
      <c r="AG3066" s="155">
        <v>4</v>
      </c>
    </row>
    <row r="3067" spans="25:33">
      <c r="Y3067" s="47">
        <v>3011</v>
      </c>
      <c r="Z3067" s="52" t="s">
        <v>411</v>
      </c>
      <c r="AA3067" s="52" t="s">
        <v>247</v>
      </c>
      <c r="AB3067" s="52" t="s">
        <v>247</v>
      </c>
      <c r="AC3067" s="52">
        <v>4</v>
      </c>
      <c r="AD3067" s="52" t="s">
        <v>1</v>
      </c>
      <c r="AE3067" s="52" t="s">
        <v>373</v>
      </c>
      <c r="AF3067" s="155" t="s">
        <v>559</v>
      </c>
      <c r="AG3067" s="155">
        <v>4</v>
      </c>
    </row>
    <row r="3068" spans="25:33">
      <c r="Y3068" s="47">
        <v>3012</v>
      </c>
      <c r="Z3068" s="52" t="s">
        <v>411</v>
      </c>
      <c r="AA3068" s="52" t="s">
        <v>247</v>
      </c>
      <c r="AB3068" s="52" t="s">
        <v>247</v>
      </c>
      <c r="AC3068" s="52">
        <v>4</v>
      </c>
      <c r="AD3068" s="52" t="s">
        <v>1</v>
      </c>
      <c r="AE3068" s="52" t="s">
        <v>373</v>
      </c>
      <c r="AF3068" s="155" t="s">
        <v>559</v>
      </c>
      <c r="AG3068" s="155">
        <v>4</v>
      </c>
    </row>
    <row r="3069" spans="25:33">
      <c r="Y3069" s="47">
        <v>3013</v>
      </c>
      <c r="Z3069" s="52" t="s">
        <v>411</v>
      </c>
      <c r="AA3069" s="52" t="s">
        <v>247</v>
      </c>
      <c r="AB3069" s="52" t="s">
        <v>247</v>
      </c>
      <c r="AC3069" s="52">
        <v>4</v>
      </c>
      <c r="AD3069" s="52" t="s">
        <v>1</v>
      </c>
      <c r="AE3069" s="52" t="s">
        <v>373</v>
      </c>
      <c r="AF3069" s="155" t="s">
        <v>559</v>
      </c>
      <c r="AG3069" s="155">
        <v>4</v>
      </c>
    </row>
    <row r="3070" spans="25:33">
      <c r="Y3070" s="47">
        <v>3014</v>
      </c>
      <c r="Z3070" s="52" t="s">
        <v>411</v>
      </c>
      <c r="AA3070" s="52" t="s">
        <v>247</v>
      </c>
      <c r="AB3070" s="52" t="s">
        <v>247</v>
      </c>
      <c r="AC3070" s="52" t="s">
        <v>247</v>
      </c>
      <c r="AD3070" s="52" t="s">
        <v>1</v>
      </c>
      <c r="AE3070" s="52" t="s">
        <v>373</v>
      </c>
      <c r="AF3070" s="155" t="s">
        <v>247</v>
      </c>
      <c r="AG3070" s="155" t="s">
        <v>247</v>
      </c>
    </row>
    <row r="3071" spans="25:33">
      <c r="Y3071" s="47">
        <v>3015</v>
      </c>
      <c r="Z3071" s="52" t="s">
        <v>411</v>
      </c>
      <c r="AA3071" s="52" t="s">
        <v>247</v>
      </c>
      <c r="AB3071" s="52" t="s">
        <v>247</v>
      </c>
      <c r="AC3071" s="52">
        <v>4</v>
      </c>
      <c r="AD3071" s="52" t="s">
        <v>1</v>
      </c>
      <c r="AE3071" s="52" t="s">
        <v>373</v>
      </c>
      <c r="AF3071" s="155" t="s">
        <v>559</v>
      </c>
      <c r="AG3071" s="155">
        <v>4</v>
      </c>
    </row>
    <row r="3072" spans="25:33">
      <c r="Y3072" s="47">
        <v>3016</v>
      </c>
      <c r="Z3072" s="52" t="s">
        <v>411</v>
      </c>
      <c r="AA3072" s="52" t="s">
        <v>247</v>
      </c>
      <c r="AB3072" s="52" t="s">
        <v>247</v>
      </c>
      <c r="AC3072" s="52">
        <v>4</v>
      </c>
      <c r="AD3072" s="52" t="s">
        <v>1</v>
      </c>
      <c r="AE3072" s="52" t="s">
        <v>373</v>
      </c>
      <c r="AF3072" s="155" t="s">
        <v>559</v>
      </c>
      <c r="AG3072" s="155">
        <v>4</v>
      </c>
    </row>
    <row r="3073" spans="25:33">
      <c r="Y3073" s="47">
        <v>3017</v>
      </c>
      <c r="Z3073" s="52" t="s">
        <v>411</v>
      </c>
      <c r="AA3073" s="52" t="s">
        <v>247</v>
      </c>
      <c r="AB3073" s="52" t="s">
        <v>247</v>
      </c>
      <c r="AC3073" s="52" t="s">
        <v>247</v>
      </c>
      <c r="AD3073" s="52" t="s">
        <v>1</v>
      </c>
      <c r="AE3073" s="52" t="s">
        <v>373</v>
      </c>
      <c r="AF3073" s="155" t="s">
        <v>247</v>
      </c>
      <c r="AG3073" s="155" t="s">
        <v>247</v>
      </c>
    </row>
    <row r="3074" spans="25:33">
      <c r="Y3074" s="47">
        <v>3018</v>
      </c>
      <c r="Z3074" s="52" t="s">
        <v>411</v>
      </c>
      <c r="AA3074" s="52" t="s">
        <v>247</v>
      </c>
      <c r="AB3074" s="52" t="s">
        <v>247</v>
      </c>
      <c r="AC3074" s="52">
        <v>4</v>
      </c>
      <c r="AD3074" s="52" t="s">
        <v>1</v>
      </c>
      <c r="AE3074" s="52" t="s">
        <v>373</v>
      </c>
      <c r="AF3074" s="155" t="s">
        <v>559</v>
      </c>
      <c r="AG3074" s="155">
        <v>4</v>
      </c>
    </row>
    <row r="3075" spans="25:33">
      <c r="Y3075" s="47">
        <v>3019</v>
      </c>
      <c r="Z3075" s="52" t="s">
        <v>411</v>
      </c>
      <c r="AA3075" s="52" t="s">
        <v>247</v>
      </c>
      <c r="AB3075" s="52" t="s">
        <v>247</v>
      </c>
      <c r="AC3075" s="52">
        <v>4</v>
      </c>
      <c r="AD3075" s="52" t="s">
        <v>1</v>
      </c>
      <c r="AE3075" s="52" t="s">
        <v>373</v>
      </c>
      <c r="AF3075" s="155" t="s">
        <v>559</v>
      </c>
      <c r="AG3075" s="155">
        <v>4</v>
      </c>
    </row>
    <row r="3076" spans="25:33">
      <c r="Y3076" s="47">
        <v>3020</v>
      </c>
      <c r="Z3076" s="52" t="s">
        <v>411</v>
      </c>
      <c r="AA3076" s="52" t="s">
        <v>247</v>
      </c>
      <c r="AB3076" s="52" t="s">
        <v>247</v>
      </c>
      <c r="AC3076" s="52">
        <v>4</v>
      </c>
      <c r="AD3076" s="52" t="s">
        <v>1</v>
      </c>
      <c r="AE3076" s="52" t="s">
        <v>373</v>
      </c>
      <c r="AF3076" s="155" t="s">
        <v>559</v>
      </c>
      <c r="AG3076" s="155">
        <v>4</v>
      </c>
    </row>
    <row r="3077" spans="25:33">
      <c r="Y3077" s="47">
        <v>3021</v>
      </c>
      <c r="Z3077" s="52" t="s">
        <v>411</v>
      </c>
      <c r="AA3077" s="52" t="s">
        <v>247</v>
      </c>
      <c r="AB3077" s="52" t="s">
        <v>247</v>
      </c>
      <c r="AC3077" s="52">
        <v>4</v>
      </c>
      <c r="AD3077" s="52" t="s">
        <v>1</v>
      </c>
      <c r="AE3077" s="52" t="s">
        <v>373</v>
      </c>
      <c r="AF3077" s="155" t="s">
        <v>559</v>
      </c>
      <c r="AG3077" s="155">
        <v>4</v>
      </c>
    </row>
    <row r="3078" spans="25:33">
      <c r="Y3078" s="47">
        <v>3022</v>
      </c>
      <c r="Z3078" s="52" t="s">
        <v>411</v>
      </c>
      <c r="AA3078" s="52" t="s">
        <v>247</v>
      </c>
      <c r="AB3078" s="52" t="s">
        <v>247</v>
      </c>
      <c r="AC3078" s="52">
        <v>4</v>
      </c>
      <c r="AD3078" s="52" t="s">
        <v>1</v>
      </c>
      <c r="AE3078" s="52" t="s">
        <v>373</v>
      </c>
      <c r="AF3078" s="155" t="s">
        <v>559</v>
      </c>
      <c r="AG3078" s="155">
        <v>4</v>
      </c>
    </row>
    <row r="3079" spans="25:33">
      <c r="Y3079" s="47">
        <v>3023</v>
      </c>
      <c r="Z3079" s="52" t="s">
        <v>411</v>
      </c>
      <c r="AA3079" s="52" t="s">
        <v>247</v>
      </c>
      <c r="AB3079" s="52" t="s">
        <v>247</v>
      </c>
      <c r="AC3079" s="52">
        <v>4</v>
      </c>
      <c r="AD3079" s="52" t="s">
        <v>1</v>
      </c>
      <c r="AE3079" s="52" t="s">
        <v>373</v>
      </c>
      <c r="AF3079" s="155" t="s">
        <v>559</v>
      </c>
      <c r="AG3079" s="155">
        <v>4</v>
      </c>
    </row>
    <row r="3080" spans="25:33">
      <c r="Y3080" s="47">
        <v>3024</v>
      </c>
      <c r="Z3080" s="52" t="s">
        <v>411</v>
      </c>
      <c r="AA3080" s="52" t="s">
        <v>247</v>
      </c>
      <c r="AB3080" s="52" t="s">
        <v>247</v>
      </c>
      <c r="AC3080" s="52">
        <v>4</v>
      </c>
      <c r="AD3080" s="52" t="s">
        <v>1</v>
      </c>
      <c r="AE3080" s="52" t="s">
        <v>373</v>
      </c>
      <c r="AF3080" s="155" t="s">
        <v>559</v>
      </c>
      <c r="AG3080" s="155">
        <v>4</v>
      </c>
    </row>
    <row r="3081" spans="25:33">
      <c r="Y3081" s="47">
        <v>3025</v>
      </c>
      <c r="Z3081" s="52" t="s">
        <v>411</v>
      </c>
      <c r="AA3081" s="52" t="s">
        <v>247</v>
      </c>
      <c r="AB3081" s="52" t="s">
        <v>247</v>
      </c>
      <c r="AC3081" s="52">
        <v>4</v>
      </c>
      <c r="AD3081" s="52" t="s">
        <v>1</v>
      </c>
      <c r="AE3081" s="52" t="s">
        <v>373</v>
      </c>
      <c r="AF3081" s="155" t="s">
        <v>559</v>
      </c>
      <c r="AG3081" s="155">
        <v>4</v>
      </c>
    </row>
    <row r="3082" spans="25:33">
      <c r="Y3082" s="47">
        <v>3026</v>
      </c>
      <c r="Z3082" s="52" t="s">
        <v>411</v>
      </c>
      <c r="AA3082" s="52" t="s">
        <v>247</v>
      </c>
      <c r="AB3082" s="52" t="s">
        <v>247</v>
      </c>
      <c r="AC3082" s="52">
        <v>4</v>
      </c>
      <c r="AD3082" s="52" t="s">
        <v>1</v>
      </c>
      <c r="AE3082" s="52" t="s">
        <v>373</v>
      </c>
      <c r="AF3082" s="155" t="s">
        <v>559</v>
      </c>
      <c r="AG3082" s="155">
        <v>4</v>
      </c>
    </row>
    <row r="3083" spans="25:33">
      <c r="Y3083" s="47">
        <v>3027</v>
      </c>
      <c r="Z3083" s="52" t="s">
        <v>411</v>
      </c>
      <c r="AA3083" s="52" t="s">
        <v>247</v>
      </c>
      <c r="AB3083" s="52" t="s">
        <v>247</v>
      </c>
      <c r="AC3083" s="52">
        <v>4</v>
      </c>
      <c r="AD3083" s="52" t="s">
        <v>1</v>
      </c>
      <c r="AE3083" s="52" t="s">
        <v>373</v>
      </c>
      <c r="AF3083" s="155" t="s">
        <v>559</v>
      </c>
      <c r="AG3083" s="155">
        <v>4</v>
      </c>
    </row>
    <row r="3084" spans="25:33">
      <c r="Y3084" s="47">
        <v>3028</v>
      </c>
      <c r="Z3084" s="52" t="s">
        <v>411</v>
      </c>
      <c r="AA3084" s="52" t="s">
        <v>247</v>
      </c>
      <c r="AB3084" s="52" t="s">
        <v>247</v>
      </c>
      <c r="AC3084" s="52">
        <v>4</v>
      </c>
      <c r="AD3084" s="52" t="s">
        <v>1</v>
      </c>
      <c r="AE3084" s="52" t="s">
        <v>373</v>
      </c>
      <c r="AF3084" s="155" t="s">
        <v>559</v>
      </c>
      <c r="AG3084" s="155">
        <v>4</v>
      </c>
    </row>
    <row r="3085" spans="25:33">
      <c r="Y3085" s="47">
        <v>3029</v>
      </c>
      <c r="Z3085" s="52" t="s">
        <v>411</v>
      </c>
      <c r="AA3085" s="52" t="s">
        <v>247</v>
      </c>
      <c r="AB3085" s="52" t="s">
        <v>247</v>
      </c>
      <c r="AC3085" s="52">
        <v>4</v>
      </c>
      <c r="AD3085" s="52" t="s">
        <v>1</v>
      </c>
      <c r="AE3085" s="52" t="s">
        <v>373</v>
      </c>
      <c r="AF3085" s="155" t="s">
        <v>559</v>
      </c>
      <c r="AG3085" s="155">
        <v>4</v>
      </c>
    </row>
    <row r="3086" spans="25:33">
      <c r="Y3086" s="47">
        <v>3030</v>
      </c>
      <c r="Z3086" s="52" t="s">
        <v>411</v>
      </c>
      <c r="AA3086" s="52" t="s">
        <v>247</v>
      </c>
      <c r="AB3086" s="52" t="s">
        <v>247</v>
      </c>
      <c r="AC3086" s="52">
        <v>4</v>
      </c>
      <c r="AD3086" s="52" t="s">
        <v>1</v>
      </c>
      <c r="AE3086" s="52" t="s">
        <v>373</v>
      </c>
      <c r="AF3086" s="155" t="s">
        <v>559</v>
      </c>
      <c r="AG3086" s="155">
        <v>4</v>
      </c>
    </row>
    <row r="3087" spans="25:33">
      <c r="Y3087" s="47">
        <v>3031</v>
      </c>
      <c r="Z3087" s="52" t="s">
        <v>411</v>
      </c>
      <c r="AA3087" s="52" t="s">
        <v>247</v>
      </c>
      <c r="AB3087" s="52" t="s">
        <v>247</v>
      </c>
      <c r="AC3087" s="52">
        <v>4</v>
      </c>
      <c r="AD3087" s="52" t="s">
        <v>1</v>
      </c>
      <c r="AE3087" s="52" t="s">
        <v>373</v>
      </c>
      <c r="AF3087" s="155" t="s">
        <v>559</v>
      </c>
      <c r="AG3087" s="155">
        <v>4</v>
      </c>
    </row>
    <row r="3088" spans="25:33">
      <c r="Y3088" s="47">
        <v>3032</v>
      </c>
      <c r="Z3088" s="52" t="s">
        <v>411</v>
      </c>
      <c r="AA3088" s="52" t="s">
        <v>247</v>
      </c>
      <c r="AB3088" s="52" t="s">
        <v>247</v>
      </c>
      <c r="AC3088" s="52">
        <v>4</v>
      </c>
      <c r="AD3088" s="52" t="s">
        <v>1</v>
      </c>
      <c r="AE3088" s="52" t="s">
        <v>373</v>
      </c>
      <c r="AF3088" s="155" t="s">
        <v>559</v>
      </c>
      <c r="AG3088" s="155">
        <v>4</v>
      </c>
    </row>
    <row r="3089" spans="25:33">
      <c r="Y3089" s="47">
        <v>3033</v>
      </c>
      <c r="Z3089" s="52" t="s">
        <v>411</v>
      </c>
      <c r="AA3089" s="52" t="s">
        <v>247</v>
      </c>
      <c r="AB3089" s="52" t="s">
        <v>247</v>
      </c>
      <c r="AC3089" s="52">
        <v>4</v>
      </c>
      <c r="AD3089" s="52" t="s">
        <v>1</v>
      </c>
      <c r="AE3089" s="52" t="s">
        <v>373</v>
      </c>
      <c r="AF3089" s="155" t="s">
        <v>559</v>
      </c>
      <c r="AG3089" s="155">
        <v>4</v>
      </c>
    </row>
    <row r="3090" spans="25:33">
      <c r="Y3090" s="47">
        <v>3034</v>
      </c>
      <c r="Z3090" s="52" t="s">
        <v>411</v>
      </c>
      <c r="AA3090" s="52" t="s">
        <v>247</v>
      </c>
      <c r="AB3090" s="52" t="s">
        <v>247</v>
      </c>
      <c r="AC3090" s="52">
        <v>4</v>
      </c>
      <c r="AD3090" s="52" t="s">
        <v>1</v>
      </c>
      <c r="AE3090" s="52" t="s">
        <v>373</v>
      </c>
      <c r="AF3090" s="155" t="s">
        <v>559</v>
      </c>
      <c r="AG3090" s="155">
        <v>4</v>
      </c>
    </row>
    <row r="3091" spans="25:33">
      <c r="Y3091" s="47">
        <v>3035</v>
      </c>
      <c r="Z3091" s="52" t="s">
        <v>411</v>
      </c>
      <c r="AA3091" s="52" t="s">
        <v>247</v>
      </c>
      <c r="AB3091" s="52" t="s">
        <v>247</v>
      </c>
      <c r="AC3091" s="52" t="s">
        <v>247</v>
      </c>
      <c r="AD3091" s="52" t="s">
        <v>1</v>
      </c>
      <c r="AE3091" s="52" t="s">
        <v>373</v>
      </c>
      <c r="AF3091" s="155" t="s">
        <v>247</v>
      </c>
      <c r="AG3091" s="155" t="s">
        <v>247</v>
      </c>
    </row>
    <row r="3092" spans="25:33">
      <c r="Y3092" s="47">
        <v>3036</v>
      </c>
      <c r="Z3092" s="52" t="s">
        <v>411</v>
      </c>
      <c r="AA3092" s="52" t="s">
        <v>247</v>
      </c>
      <c r="AB3092" s="52" t="s">
        <v>247</v>
      </c>
      <c r="AC3092" s="52">
        <v>4</v>
      </c>
      <c r="AD3092" s="52" t="s">
        <v>1</v>
      </c>
      <c r="AE3092" s="52" t="s">
        <v>373</v>
      </c>
      <c r="AF3092" s="155" t="s">
        <v>559</v>
      </c>
      <c r="AG3092" s="155">
        <v>4</v>
      </c>
    </row>
    <row r="3093" spans="25:33">
      <c r="Y3093" s="47">
        <v>3037</v>
      </c>
      <c r="Z3093" s="52" t="s">
        <v>411</v>
      </c>
      <c r="AA3093" s="52" t="s">
        <v>247</v>
      </c>
      <c r="AB3093" s="52" t="s">
        <v>247</v>
      </c>
      <c r="AC3093" s="52">
        <v>4</v>
      </c>
      <c r="AD3093" s="52" t="s">
        <v>1</v>
      </c>
      <c r="AE3093" s="52" t="s">
        <v>373</v>
      </c>
      <c r="AF3093" s="155" t="s">
        <v>559</v>
      </c>
      <c r="AG3093" s="155">
        <v>4</v>
      </c>
    </row>
    <row r="3094" spans="25:33">
      <c r="Y3094" s="47">
        <v>3038</v>
      </c>
      <c r="Z3094" s="52" t="s">
        <v>411</v>
      </c>
      <c r="AA3094" s="52" t="s">
        <v>247</v>
      </c>
      <c r="AB3094" s="52" t="s">
        <v>247</v>
      </c>
      <c r="AC3094" s="52">
        <v>4</v>
      </c>
      <c r="AD3094" s="52" t="s">
        <v>1</v>
      </c>
      <c r="AE3094" s="52" t="s">
        <v>373</v>
      </c>
      <c r="AF3094" s="155" t="s">
        <v>559</v>
      </c>
      <c r="AG3094" s="155">
        <v>4</v>
      </c>
    </row>
    <row r="3095" spans="25:33">
      <c r="Y3095" s="47">
        <v>3039</v>
      </c>
      <c r="Z3095" s="52" t="s">
        <v>411</v>
      </c>
      <c r="AA3095" s="52" t="s">
        <v>247</v>
      </c>
      <c r="AB3095" s="52" t="s">
        <v>247</v>
      </c>
      <c r="AC3095" s="52">
        <v>4</v>
      </c>
      <c r="AD3095" s="52" t="s">
        <v>1</v>
      </c>
      <c r="AE3095" s="52" t="s">
        <v>373</v>
      </c>
      <c r="AF3095" s="155" t="s">
        <v>559</v>
      </c>
      <c r="AG3095" s="155">
        <v>4</v>
      </c>
    </row>
    <row r="3096" spans="25:33">
      <c r="Y3096" s="47">
        <v>3040</v>
      </c>
      <c r="Z3096" s="52" t="s">
        <v>411</v>
      </c>
      <c r="AA3096" s="52" t="s">
        <v>247</v>
      </c>
      <c r="AB3096" s="52" t="s">
        <v>247</v>
      </c>
      <c r="AC3096" s="52">
        <v>4</v>
      </c>
      <c r="AD3096" s="52" t="s">
        <v>1</v>
      </c>
      <c r="AE3096" s="52" t="s">
        <v>373</v>
      </c>
      <c r="AF3096" s="155" t="s">
        <v>559</v>
      </c>
      <c r="AG3096" s="155">
        <v>4</v>
      </c>
    </row>
    <row r="3097" spans="25:33">
      <c r="Y3097" s="47">
        <v>3041</v>
      </c>
      <c r="Z3097" s="52" t="s">
        <v>411</v>
      </c>
      <c r="AA3097" s="52" t="s">
        <v>247</v>
      </c>
      <c r="AB3097" s="52" t="s">
        <v>247</v>
      </c>
      <c r="AC3097" s="52">
        <v>4</v>
      </c>
      <c r="AD3097" s="52" t="s">
        <v>1</v>
      </c>
      <c r="AE3097" s="52" t="s">
        <v>373</v>
      </c>
      <c r="AF3097" s="155" t="s">
        <v>559</v>
      </c>
      <c r="AG3097" s="155">
        <v>4</v>
      </c>
    </row>
    <row r="3098" spans="25:33">
      <c r="Y3098" s="47">
        <v>3042</v>
      </c>
      <c r="Z3098" s="52" t="s">
        <v>411</v>
      </c>
      <c r="AA3098" s="52" t="s">
        <v>247</v>
      </c>
      <c r="AB3098" s="52" t="s">
        <v>247</v>
      </c>
      <c r="AC3098" s="52">
        <v>4</v>
      </c>
      <c r="AD3098" s="52" t="s">
        <v>1</v>
      </c>
      <c r="AE3098" s="52" t="s">
        <v>373</v>
      </c>
      <c r="AF3098" s="155" t="s">
        <v>559</v>
      </c>
      <c r="AG3098" s="155">
        <v>4</v>
      </c>
    </row>
    <row r="3099" spans="25:33">
      <c r="Y3099" s="47">
        <v>3043</v>
      </c>
      <c r="Z3099" s="52" t="s">
        <v>411</v>
      </c>
      <c r="AA3099" s="52" t="s">
        <v>247</v>
      </c>
      <c r="AB3099" s="52" t="s">
        <v>247</v>
      </c>
      <c r="AC3099" s="52">
        <v>4</v>
      </c>
      <c r="AD3099" s="52" t="s">
        <v>1</v>
      </c>
      <c r="AE3099" s="52" t="s">
        <v>373</v>
      </c>
      <c r="AF3099" s="155" t="s">
        <v>559</v>
      </c>
      <c r="AG3099" s="155">
        <v>4</v>
      </c>
    </row>
    <row r="3100" spans="25:33">
      <c r="Y3100" s="47">
        <v>3044</v>
      </c>
      <c r="Z3100" s="52" t="s">
        <v>411</v>
      </c>
      <c r="AA3100" s="52" t="s">
        <v>247</v>
      </c>
      <c r="AB3100" s="52" t="s">
        <v>247</v>
      </c>
      <c r="AC3100" s="52">
        <v>4</v>
      </c>
      <c r="AD3100" s="52" t="s">
        <v>1</v>
      </c>
      <c r="AE3100" s="52" t="s">
        <v>373</v>
      </c>
      <c r="AF3100" s="155" t="s">
        <v>559</v>
      </c>
      <c r="AG3100" s="155">
        <v>4</v>
      </c>
    </row>
    <row r="3101" spans="25:33">
      <c r="Y3101" s="47">
        <v>3045</v>
      </c>
      <c r="Z3101" s="52" t="s">
        <v>411</v>
      </c>
      <c r="AA3101" s="52" t="s">
        <v>247</v>
      </c>
      <c r="AB3101" s="52" t="s">
        <v>247</v>
      </c>
      <c r="AC3101" s="52">
        <v>4</v>
      </c>
      <c r="AD3101" s="52" t="s">
        <v>1</v>
      </c>
      <c r="AE3101" s="52" t="s">
        <v>373</v>
      </c>
      <c r="AF3101" s="155" t="s">
        <v>559</v>
      </c>
      <c r="AG3101" s="155">
        <v>4</v>
      </c>
    </row>
    <row r="3102" spans="25:33">
      <c r="Y3102" s="47">
        <v>3046</v>
      </c>
      <c r="Z3102" s="52" t="s">
        <v>411</v>
      </c>
      <c r="AA3102" s="52" t="s">
        <v>247</v>
      </c>
      <c r="AB3102" s="52" t="s">
        <v>247</v>
      </c>
      <c r="AC3102" s="52">
        <v>4</v>
      </c>
      <c r="AD3102" s="52" t="s">
        <v>1</v>
      </c>
      <c r="AE3102" s="52" t="s">
        <v>373</v>
      </c>
      <c r="AF3102" s="155" t="s">
        <v>559</v>
      </c>
      <c r="AG3102" s="155">
        <v>4</v>
      </c>
    </row>
    <row r="3103" spans="25:33">
      <c r="Y3103" s="47">
        <v>3047</v>
      </c>
      <c r="Z3103" s="52" t="s">
        <v>411</v>
      </c>
      <c r="AA3103" s="52" t="s">
        <v>247</v>
      </c>
      <c r="AB3103" s="52" t="s">
        <v>247</v>
      </c>
      <c r="AC3103" s="52">
        <v>4</v>
      </c>
      <c r="AD3103" s="52" t="s">
        <v>1</v>
      </c>
      <c r="AE3103" s="52" t="s">
        <v>373</v>
      </c>
      <c r="AF3103" s="155" t="s">
        <v>559</v>
      </c>
      <c r="AG3103" s="155">
        <v>4</v>
      </c>
    </row>
    <row r="3104" spans="25:33">
      <c r="Y3104" s="47">
        <v>3048</v>
      </c>
      <c r="Z3104" s="52" t="s">
        <v>411</v>
      </c>
      <c r="AA3104" s="52" t="s">
        <v>247</v>
      </c>
      <c r="AB3104" s="52" t="s">
        <v>247</v>
      </c>
      <c r="AC3104" s="52">
        <v>4</v>
      </c>
      <c r="AD3104" s="52" t="s">
        <v>1</v>
      </c>
      <c r="AE3104" s="52" t="s">
        <v>373</v>
      </c>
      <c r="AF3104" s="155" t="s">
        <v>559</v>
      </c>
      <c r="AG3104" s="155">
        <v>4</v>
      </c>
    </row>
    <row r="3105" spans="25:33">
      <c r="Y3105" s="47">
        <v>3049</v>
      </c>
      <c r="Z3105" s="52" t="s">
        <v>411</v>
      </c>
      <c r="AA3105" s="52" t="s">
        <v>247</v>
      </c>
      <c r="AB3105" s="52" t="s">
        <v>247</v>
      </c>
      <c r="AC3105" s="52">
        <v>4</v>
      </c>
      <c r="AD3105" s="52" t="s">
        <v>1</v>
      </c>
      <c r="AE3105" s="52" t="s">
        <v>373</v>
      </c>
      <c r="AF3105" s="155" t="s">
        <v>559</v>
      </c>
      <c r="AG3105" s="155">
        <v>4</v>
      </c>
    </row>
    <row r="3106" spans="25:33">
      <c r="Y3106" s="47">
        <v>3050</v>
      </c>
      <c r="Z3106" s="52" t="s">
        <v>411</v>
      </c>
      <c r="AA3106" s="52" t="s">
        <v>247</v>
      </c>
      <c r="AB3106" s="52" t="s">
        <v>247</v>
      </c>
      <c r="AC3106" s="52">
        <v>4</v>
      </c>
      <c r="AD3106" s="52" t="s">
        <v>1</v>
      </c>
      <c r="AE3106" s="52" t="s">
        <v>373</v>
      </c>
      <c r="AF3106" s="155" t="s">
        <v>559</v>
      </c>
      <c r="AG3106" s="155">
        <v>4</v>
      </c>
    </row>
    <row r="3107" spans="25:33">
      <c r="Y3107" s="47">
        <v>3051</v>
      </c>
      <c r="Z3107" s="52" t="s">
        <v>411</v>
      </c>
      <c r="AA3107" s="52" t="s">
        <v>247</v>
      </c>
      <c r="AB3107" s="52" t="s">
        <v>247</v>
      </c>
      <c r="AC3107" s="52">
        <v>4</v>
      </c>
      <c r="AD3107" s="52" t="s">
        <v>1</v>
      </c>
      <c r="AE3107" s="52" t="s">
        <v>373</v>
      </c>
      <c r="AF3107" s="155" t="s">
        <v>559</v>
      </c>
      <c r="AG3107" s="155">
        <v>4</v>
      </c>
    </row>
    <row r="3108" spans="25:33">
      <c r="Y3108" s="47">
        <v>3052</v>
      </c>
      <c r="Z3108" s="52" t="s">
        <v>411</v>
      </c>
      <c r="AA3108" s="52" t="s">
        <v>247</v>
      </c>
      <c r="AB3108" s="52" t="s">
        <v>247</v>
      </c>
      <c r="AC3108" s="52">
        <v>4</v>
      </c>
      <c r="AD3108" s="52" t="s">
        <v>1</v>
      </c>
      <c r="AE3108" s="52" t="s">
        <v>373</v>
      </c>
      <c r="AF3108" s="155" t="s">
        <v>559</v>
      </c>
      <c r="AG3108" s="155">
        <v>4</v>
      </c>
    </row>
    <row r="3109" spans="25:33">
      <c r="Y3109" s="47">
        <v>3053</v>
      </c>
      <c r="Z3109" s="52" t="s">
        <v>411</v>
      </c>
      <c r="AA3109" s="52" t="s">
        <v>247</v>
      </c>
      <c r="AB3109" s="52" t="s">
        <v>247</v>
      </c>
      <c r="AC3109" s="52">
        <v>4</v>
      </c>
      <c r="AD3109" s="52" t="s">
        <v>1</v>
      </c>
      <c r="AE3109" s="52" t="s">
        <v>373</v>
      </c>
      <c r="AF3109" s="155" t="s">
        <v>559</v>
      </c>
      <c r="AG3109" s="155">
        <v>4</v>
      </c>
    </row>
    <row r="3110" spans="25:33">
      <c r="Y3110" s="47">
        <v>3054</v>
      </c>
      <c r="Z3110" s="52" t="s">
        <v>411</v>
      </c>
      <c r="AA3110" s="52" t="s">
        <v>247</v>
      </c>
      <c r="AB3110" s="52" t="s">
        <v>247</v>
      </c>
      <c r="AC3110" s="52">
        <v>4</v>
      </c>
      <c r="AD3110" s="52" t="s">
        <v>1</v>
      </c>
      <c r="AE3110" s="52" t="s">
        <v>373</v>
      </c>
      <c r="AF3110" s="155" t="s">
        <v>559</v>
      </c>
      <c r="AG3110" s="155">
        <v>4</v>
      </c>
    </row>
    <row r="3111" spans="25:33">
      <c r="Y3111" s="47">
        <v>3055</v>
      </c>
      <c r="Z3111" s="52" t="s">
        <v>411</v>
      </c>
      <c r="AA3111" s="52" t="s">
        <v>247</v>
      </c>
      <c r="AB3111" s="52" t="s">
        <v>247</v>
      </c>
      <c r="AC3111" s="52">
        <v>4</v>
      </c>
      <c r="AD3111" s="52" t="s">
        <v>1</v>
      </c>
      <c r="AE3111" s="52" t="s">
        <v>373</v>
      </c>
      <c r="AF3111" s="155" t="s">
        <v>559</v>
      </c>
      <c r="AG3111" s="155">
        <v>4</v>
      </c>
    </row>
    <row r="3112" spans="25:33">
      <c r="Y3112" s="47">
        <v>3056</v>
      </c>
      <c r="Z3112" s="52" t="s">
        <v>411</v>
      </c>
      <c r="AA3112" s="52" t="s">
        <v>247</v>
      </c>
      <c r="AB3112" s="52" t="s">
        <v>247</v>
      </c>
      <c r="AC3112" s="52">
        <v>4</v>
      </c>
      <c r="AD3112" s="52" t="s">
        <v>1</v>
      </c>
      <c r="AE3112" s="52" t="s">
        <v>373</v>
      </c>
      <c r="AF3112" s="155" t="s">
        <v>559</v>
      </c>
      <c r="AG3112" s="155">
        <v>4</v>
      </c>
    </row>
    <row r="3113" spans="25:33">
      <c r="Y3113" s="47">
        <v>3057</v>
      </c>
      <c r="Z3113" s="52" t="s">
        <v>411</v>
      </c>
      <c r="AA3113" s="52" t="s">
        <v>247</v>
      </c>
      <c r="AB3113" s="52" t="s">
        <v>247</v>
      </c>
      <c r="AC3113" s="52">
        <v>4</v>
      </c>
      <c r="AD3113" s="52" t="s">
        <v>1</v>
      </c>
      <c r="AE3113" s="52" t="s">
        <v>373</v>
      </c>
      <c r="AF3113" s="155" t="s">
        <v>559</v>
      </c>
      <c r="AG3113" s="155">
        <v>4</v>
      </c>
    </row>
    <row r="3114" spans="25:33">
      <c r="Y3114" s="47">
        <v>3058</v>
      </c>
      <c r="Z3114" s="52" t="s">
        <v>411</v>
      </c>
      <c r="AA3114" s="52" t="s">
        <v>247</v>
      </c>
      <c r="AB3114" s="52" t="s">
        <v>247</v>
      </c>
      <c r="AC3114" s="52">
        <v>4</v>
      </c>
      <c r="AD3114" s="52" t="s">
        <v>1</v>
      </c>
      <c r="AE3114" s="52" t="s">
        <v>373</v>
      </c>
      <c r="AF3114" s="155" t="s">
        <v>559</v>
      </c>
      <c r="AG3114" s="155">
        <v>4</v>
      </c>
    </row>
    <row r="3115" spans="25:33">
      <c r="Y3115" s="47">
        <v>3059</v>
      </c>
      <c r="Z3115" s="52" t="s">
        <v>411</v>
      </c>
      <c r="AA3115" s="52" t="s">
        <v>247</v>
      </c>
      <c r="AB3115" s="52" t="s">
        <v>247</v>
      </c>
      <c r="AC3115" s="52">
        <v>4</v>
      </c>
      <c r="AD3115" s="52" t="s">
        <v>1</v>
      </c>
      <c r="AE3115" s="52" t="s">
        <v>373</v>
      </c>
      <c r="AF3115" s="155" t="s">
        <v>559</v>
      </c>
      <c r="AG3115" s="155">
        <v>4</v>
      </c>
    </row>
    <row r="3116" spans="25:33">
      <c r="Y3116" s="47">
        <v>3060</v>
      </c>
      <c r="Z3116" s="52" t="s">
        <v>411</v>
      </c>
      <c r="AA3116" s="52" t="s">
        <v>247</v>
      </c>
      <c r="AB3116" s="52" t="s">
        <v>247</v>
      </c>
      <c r="AC3116" s="52">
        <v>4</v>
      </c>
      <c r="AD3116" s="52" t="s">
        <v>1</v>
      </c>
      <c r="AE3116" s="52" t="s">
        <v>373</v>
      </c>
      <c r="AF3116" s="155" t="s">
        <v>559</v>
      </c>
      <c r="AG3116" s="155">
        <v>4</v>
      </c>
    </row>
    <row r="3117" spans="25:33">
      <c r="Y3117" s="47">
        <v>3061</v>
      </c>
      <c r="Z3117" s="52" t="s">
        <v>411</v>
      </c>
      <c r="AA3117" s="52" t="s">
        <v>247</v>
      </c>
      <c r="AB3117" s="52" t="s">
        <v>247</v>
      </c>
      <c r="AC3117" s="52">
        <v>4</v>
      </c>
      <c r="AD3117" s="52" t="s">
        <v>1</v>
      </c>
      <c r="AE3117" s="52" t="s">
        <v>373</v>
      </c>
      <c r="AF3117" s="155" t="s">
        <v>559</v>
      </c>
      <c r="AG3117" s="155">
        <v>4</v>
      </c>
    </row>
    <row r="3118" spans="25:33">
      <c r="Y3118" s="47">
        <v>3062</v>
      </c>
      <c r="Z3118" s="52" t="s">
        <v>411</v>
      </c>
      <c r="AA3118" s="52" t="s">
        <v>247</v>
      </c>
      <c r="AB3118" s="52" t="s">
        <v>247</v>
      </c>
      <c r="AC3118" s="52">
        <v>4</v>
      </c>
      <c r="AD3118" s="52" t="s">
        <v>1</v>
      </c>
      <c r="AE3118" s="52" t="s">
        <v>373</v>
      </c>
      <c r="AF3118" s="155" t="s">
        <v>559</v>
      </c>
      <c r="AG3118" s="155">
        <v>4</v>
      </c>
    </row>
    <row r="3119" spans="25:33">
      <c r="Y3119" s="47">
        <v>3063</v>
      </c>
      <c r="Z3119" s="52" t="s">
        <v>411</v>
      </c>
      <c r="AA3119" s="52" t="s">
        <v>247</v>
      </c>
      <c r="AB3119" s="52" t="s">
        <v>247</v>
      </c>
      <c r="AC3119" s="52">
        <v>4</v>
      </c>
      <c r="AD3119" s="52" t="s">
        <v>1</v>
      </c>
      <c r="AE3119" s="52" t="s">
        <v>373</v>
      </c>
      <c r="AF3119" s="155" t="s">
        <v>559</v>
      </c>
      <c r="AG3119" s="155">
        <v>4</v>
      </c>
    </row>
    <row r="3120" spans="25:33">
      <c r="Y3120" s="47">
        <v>3064</v>
      </c>
      <c r="Z3120" s="52" t="s">
        <v>411</v>
      </c>
      <c r="AA3120" s="52" t="s">
        <v>247</v>
      </c>
      <c r="AB3120" s="52" t="s">
        <v>247</v>
      </c>
      <c r="AC3120" s="52">
        <v>4</v>
      </c>
      <c r="AD3120" s="52" t="s">
        <v>1</v>
      </c>
      <c r="AE3120" s="52" t="s">
        <v>373</v>
      </c>
      <c r="AF3120" s="155" t="s">
        <v>559</v>
      </c>
      <c r="AG3120" s="155">
        <v>4</v>
      </c>
    </row>
    <row r="3121" spans="25:33">
      <c r="Y3121" s="47">
        <v>3065</v>
      </c>
      <c r="Z3121" s="52" t="s">
        <v>411</v>
      </c>
      <c r="AA3121" s="52" t="s">
        <v>247</v>
      </c>
      <c r="AB3121" s="52" t="s">
        <v>247</v>
      </c>
      <c r="AC3121" s="52">
        <v>4</v>
      </c>
      <c r="AD3121" s="52" t="s">
        <v>1</v>
      </c>
      <c r="AE3121" s="52" t="s">
        <v>373</v>
      </c>
      <c r="AF3121" s="155" t="s">
        <v>559</v>
      </c>
      <c r="AG3121" s="155">
        <v>4</v>
      </c>
    </row>
    <row r="3122" spans="25:33">
      <c r="Y3122" s="47">
        <v>3066</v>
      </c>
      <c r="Z3122" s="52" t="s">
        <v>411</v>
      </c>
      <c r="AA3122" s="52" t="s">
        <v>247</v>
      </c>
      <c r="AB3122" s="52" t="s">
        <v>247</v>
      </c>
      <c r="AC3122" s="52">
        <v>4</v>
      </c>
      <c r="AD3122" s="52" t="s">
        <v>1</v>
      </c>
      <c r="AE3122" s="52" t="s">
        <v>373</v>
      </c>
      <c r="AF3122" s="155" t="s">
        <v>559</v>
      </c>
      <c r="AG3122" s="155">
        <v>4</v>
      </c>
    </row>
    <row r="3123" spans="25:33">
      <c r="Y3123" s="47">
        <v>3067</v>
      </c>
      <c r="Z3123" s="52" t="s">
        <v>411</v>
      </c>
      <c r="AA3123" s="52" t="s">
        <v>247</v>
      </c>
      <c r="AB3123" s="52" t="s">
        <v>247</v>
      </c>
      <c r="AC3123" s="52">
        <v>4</v>
      </c>
      <c r="AD3123" s="52" t="s">
        <v>1</v>
      </c>
      <c r="AE3123" s="52" t="s">
        <v>373</v>
      </c>
      <c r="AF3123" s="155" t="s">
        <v>559</v>
      </c>
      <c r="AG3123" s="155">
        <v>4</v>
      </c>
    </row>
    <row r="3124" spans="25:33">
      <c r="Y3124" s="47">
        <v>3068</v>
      </c>
      <c r="Z3124" s="52" t="s">
        <v>411</v>
      </c>
      <c r="AA3124" s="52" t="s">
        <v>247</v>
      </c>
      <c r="AB3124" s="52" t="s">
        <v>247</v>
      </c>
      <c r="AC3124" s="52">
        <v>4</v>
      </c>
      <c r="AD3124" s="52" t="s">
        <v>1</v>
      </c>
      <c r="AE3124" s="52" t="s">
        <v>373</v>
      </c>
      <c r="AF3124" s="155" t="s">
        <v>559</v>
      </c>
      <c r="AG3124" s="155">
        <v>4</v>
      </c>
    </row>
    <row r="3125" spans="25:33">
      <c r="Y3125" s="47">
        <v>3069</v>
      </c>
      <c r="Z3125" s="52" t="s">
        <v>411</v>
      </c>
      <c r="AA3125" s="52" t="s">
        <v>247</v>
      </c>
      <c r="AB3125" s="52" t="s">
        <v>247</v>
      </c>
      <c r="AC3125" s="52" t="s">
        <v>247</v>
      </c>
      <c r="AD3125" s="52" t="s">
        <v>1</v>
      </c>
      <c r="AE3125" s="52" t="s">
        <v>373</v>
      </c>
      <c r="AF3125" s="155" t="s">
        <v>247</v>
      </c>
      <c r="AG3125" s="155" t="s">
        <v>247</v>
      </c>
    </row>
    <row r="3126" spans="25:33">
      <c r="Y3126" s="47">
        <v>3070</v>
      </c>
      <c r="Z3126" s="52" t="s">
        <v>411</v>
      </c>
      <c r="AA3126" s="52" t="s">
        <v>247</v>
      </c>
      <c r="AB3126" s="52" t="s">
        <v>247</v>
      </c>
      <c r="AC3126" s="52">
        <v>4</v>
      </c>
      <c r="AD3126" s="52" t="s">
        <v>1</v>
      </c>
      <c r="AE3126" s="52" t="s">
        <v>373</v>
      </c>
      <c r="AF3126" s="155" t="s">
        <v>559</v>
      </c>
      <c r="AG3126" s="155">
        <v>4</v>
      </c>
    </row>
    <row r="3127" spans="25:33">
      <c r="Y3127" s="47">
        <v>3071</v>
      </c>
      <c r="Z3127" s="52" t="s">
        <v>411</v>
      </c>
      <c r="AA3127" s="52" t="s">
        <v>247</v>
      </c>
      <c r="AB3127" s="52" t="s">
        <v>247</v>
      </c>
      <c r="AC3127" s="52">
        <v>4</v>
      </c>
      <c r="AD3127" s="52" t="s">
        <v>1</v>
      </c>
      <c r="AE3127" s="52" t="s">
        <v>373</v>
      </c>
      <c r="AF3127" s="155" t="s">
        <v>559</v>
      </c>
      <c r="AG3127" s="155">
        <v>4</v>
      </c>
    </row>
    <row r="3128" spans="25:33">
      <c r="Y3128" s="47">
        <v>3072</v>
      </c>
      <c r="Z3128" s="52" t="s">
        <v>411</v>
      </c>
      <c r="AA3128" s="52" t="s">
        <v>247</v>
      </c>
      <c r="AB3128" s="52" t="s">
        <v>247</v>
      </c>
      <c r="AC3128" s="52">
        <v>4</v>
      </c>
      <c r="AD3128" s="52" t="s">
        <v>1</v>
      </c>
      <c r="AE3128" s="52" t="s">
        <v>373</v>
      </c>
      <c r="AF3128" s="155" t="s">
        <v>559</v>
      </c>
      <c r="AG3128" s="155">
        <v>4</v>
      </c>
    </row>
    <row r="3129" spans="25:33">
      <c r="Y3129" s="47">
        <v>3073</v>
      </c>
      <c r="Z3129" s="52" t="s">
        <v>411</v>
      </c>
      <c r="AA3129" s="52" t="s">
        <v>247</v>
      </c>
      <c r="AB3129" s="52" t="s">
        <v>247</v>
      </c>
      <c r="AC3129" s="52">
        <v>4</v>
      </c>
      <c r="AD3129" s="52" t="s">
        <v>1</v>
      </c>
      <c r="AE3129" s="52" t="s">
        <v>373</v>
      </c>
      <c r="AF3129" s="155" t="s">
        <v>559</v>
      </c>
      <c r="AG3129" s="155">
        <v>4</v>
      </c>
    </row>
    <row r="3130" spans="25:33">
      <c r="Y3130" s="47">
        <v>3074</v>
      </c>
      <c r="Z3130" s="52" t="s">
        <v>411</v>
      </c>
      <c r="AA3130" s="52" t="s">
        <v>247</v>
      </c>
      <c r="AB3130" s="52" t="s">
        <v>247</v>
      </c>
      <c r="AC3130" s="52">
        <v>4</v>
      </c>
      <c r="AD3130" s="52" t="s">
        <v>1</v>
      </c>
      <c r="AE3130" s="52" t="s">
        <v>373</v>
      </c>
      <c r="AF3130" s="155" t="s">
        <v>559</v>
      </c>
      <c r="AG3130" s="155">
        <v>4</v>
      </c>
    </row>
    <row r="3131" spans="25:33">
      <c r="Y3131" s="47">
        <v>3075</v>
      </c>
      <c r="Z3131" s="52" t="s">
        <v>411</v>
      </c>
      <c r="AA3131" s="52" t="s">
        <v>247</v>
      </c>
      <c r="AB3131" s="52" t="s">
        <v>247</v>
      </c>
      <c r="AC3131" s="52">
        <v>4</v>
      </c>
      <c r="AD3131" s="52" t="s">
        <v>1</v>
      </c>
      <c r="AE3131" s="52" t="s">
        <v>373</v>
      </c>
      <c r="AF3131" s="155" t="s">
        <v>559</v>
      </c>
      <c r="AG3131" s="155">
        <v>4</v>
      </c>
    </row>
    <row r="3132" spans="25:33">
      <c r="Y3132" s="47">
        <v>3076</v>
      </c>
      <c r="Z3132" s="52" t="s">
        <v>411</v>
      </c>
      <c r="AA3132" s="52" t="s">
        <v>247</v>
      </c>
      <c r="AB3132" s="52" t="s">
        <v>247</v>
      </c>
      <c r="AC3132" s="52">
        <v>4</v>
      </c>
      <c r="AD3132" s="52" t="s">
        <v>1</v>
      </c>
      <c r="AE3132" s="52" t="s">
        <v>373</v>
      </c>
      <c r="AF3132" s="155" t="s">
        <v>559</v>
      </c>
      <c r="AG3132" s="155">
        <v>4</v>
      </c>
    </row>
    <row r="3133" spans="25:33">
      <c r="Y3133" s="47">
        <v>3077</v>
      </c>
      <c r="Z3133" s="52" t="s">
        <v>411</v>
      </c>
      <c r="AA3133" s="52" t="s">
        <v>247</v>
      </c>
      <c r="AB3133" s="52" t="s">
        <v>247</v>
      </c>
      <c r="AC3133" s="52" t="s">
        <v>247</v>
      </c>
      <c r="AD3133" s="52" t="s">
        <v>1</v>
      </c>
      <c r="AE3133" s="52" t="s">
        <v>373</v>
      </c>
      <c r="AF3133" s="155" t="s">
        <v>247</v>
      </c>
      <c r="AG3133" s="155" t="s">
        <v>247</v>
      </c>
    </row>
    <row r="3134" spans="25:33">
      <c r="Y3134" s="47">
        <v>3078</v>
      </c>
      <c r="Z3134" s="52" t="s">
        <v>411</v>
      </c>
      <c r="AA3134" s="52" t="s">
        <v>247</v>
      </c>
      <c r="AB3134" s="52" t="s">
        <v>247</v>
      </c>
      <c r="AC3134" s="52">
        <v>4</v>
      </c>
      <c r="AD3134" s="52" t="s">
        <v>1</v>
      </c>
      <c r="AE3134" s="52" t="s">
        <v>373</v>
      </c>
      <c r="AF3134" s="155" t="s">
        <v>559</v>
      </c>
      <c r="AG3134" s="155">
        <v>4</v>
      </c>
    </row>
    <row r="3135" spans="25:33">
      <c r="Y3135" s="47">
        <v>3079</v>
      </c>
      <c r="Z3135" s="52" t="s">
        <v>411</v>
      </c>
      <c r="AA3135" s="52" t="s">
        <v>247</v>
      </c>
      <c r="AB3135" s="52" t="s">
        <v>247</v>
      </c>
      <c r="AC3135" s="52">
        <v>4</v>
      </c>
      <c r="AD3135" s="52" t="s">
        <v>1</v>
      </c>
      <c r="AE3135" s="52" t="s">
        <v>373</v>
      </c>
      <c r="AF3135" s="155" t="s">
        <v>559</v>
      </c>
      <c r="AG3135" s="155">
        <v>4</v>
      </c>
    </row>
    <row r="3136" spans="25:33">
      <c r="Y3136" s="47">
        <v>3080</v>
      </c>
      <c r="Z3136" s="52" t="s">
        <v>411</v>
      </c>
      <c r="AA3136" s="52" t="s">
        <v>247</v>
      </c>
      <c r="AB3136" s="52" t="s">
        <v>247</v>
      </c>
      <c r="AC3136" s="52" t="s">
        <v>247</v>
      </c>
      <c r="AD3136" s="52" t="s">
        <v>1</v>
      </c>
      <c r="AE3136" s="52" t="s">
        <v>373</v>
      </c>
      <c r="AF3136" s="155" t="s">
        <v>247</v>
      </c>
      <c r="AG3136" s="155" t="s">
        <v>247</v>
      </c>
    </row>
    <row r="3137" spans="25:33">
      <c r="Y3137" s="47">
        <v>3081</v>
      </c>
      <c r="Z3137" s="52" t="s">
        <v>411</v>
      </c>
      <c r="AA3137" s="52" t="s">
        <v>247</v>
      </c>
      <c r="AB3137" s="52" t="s">
        <v>247</v>
      </c>
      <c r="AC3137" s="52">
        <v>4</v>
      </c>
      <c r="AD3137" s="52" t="s">
        <v>1</v>
      </c>
      <c r="AE3137" s="52" t="s">
        <v>373</v>
      </c>
      <c r="AF3137" s="155" t="s">
        <v>559</v>
      </c>
      <c r="AG3137" s="155">
        <v>4</v>
      </c>
    </row>
    <row r="3138" spans="25:33">
      <c r="Y3138" s="47">
        <v>3082</v>
      </c>
      <c r="Z3138" s="52" t="s">
        <v>411</v>
      </c>
      <c r="AA3138" s="52" t="s">
        <v>247</v>
      </c>
      <c r="AB3138" s="52" t="s">
        <v>247</v>
      </c>
      <c r="AC3138" s="52">
        <v>4</v>
      </c>
      <c r="AD3138" s="52" t="s">
        <v>1</v>
      </c>
      <c r="AE3138" s="52" t="s">
        <v>373</v>
      </c>
      <c r="AF3138" s="155" t="s">
        <v>559</v>
      </c>
      <c r="AG3138" s="155">
        <v>4</v>
      </c>
    </row>
    <row r="3139" spans="25:33">
      <c r="Y3139" s="47">
        <v>3083</v>
      </c>
      <c r="Z3139" s="52" t="s">
        <v>411</v>
      </c>
      <c r="AA3139" s="52" t="s">
        <v>247</v>
      </c>
      <c r="AB3139" s="52" t="s">
        <v>247</v>
      </c>
      <c r="AC3139" s="52">
        <v>4</v>
      </c>
      <c r="AD3139" s="52" t="s">
        <v>1</v>
      </c>
      <c r="AE3139" s="52" t="s">
        <v>373</v>
      </c>
      <c r="AF3139" s="155" t="s">
        <v>559</v>
      </c>
      <c r="AG3139" s="155">
        <v>4</v>
      </c>
    </row>
    <row r="3140" spans="25:33">
      <c r="Y3140" s="47">
        <v>3084</v>
      </c>
      <c r="Z3140" s="52" t="s">
        <v>411</v>
      </c>
      <c r="AA3140" s="52" t="s">
        <v>247</v>
      </c>
      <c r="AB3140" s="52" t="s">
        <v>247</v>
      </c>
      <c r="AC3140" s="52">
        <v>4</v>
      </c>
      <c r="AD3140" s="52" t="s">
        <v>1</v>
      </c>
      <c r="AE3140" s="52" t="s">
        <v>373</v>
      </c>
      <c r="AF3140" s="155" t="s">
        <v>559</v>
      </c>
      <c r="AG3140" s="155">
        <v>4</v>
      </c>
    </row>
    <row r="3141" spans="25:33">
      <c r="Y3141" s="47">
        <v>3085</v>
      </c>
      <c r="Z3141" s="52" t="s">
        <v>411</v>
      </c>
      <c r="AA3141" s="52" t="s">
        <v>247</v>
      </c>
      <c r="AB3141" s="52" t="s">
        <v>247</v>
      </c>
      <c r="AC3141" s="52">
        <v>4</v>
      </c>
      <c r="AD3141" s="52" t="s">
        <v>1</v>
      </c>
      <c r="AE3141" s="52" t="s">
        <v>373</v>
      </c>
      <c r="AF3141" s="155" t="s">
        <v>559</v>
      </c>
      <c r="AG3141" s="155">
        <v>4</v>
      </c>
    </row>
    <row r="3142" spans="25:33">
      <c r="Y3142" s="47">
        <v>3086</v>
      </c>
      <c r="Z3142" s="52" t="s">
        <v>411</v>
      </c>
      <c r="AA3142" s="52" t="s">
        <v>247</v>
      </c>
      <c r="AB3142" s="52" t="s">
        <v>247</v>
      </c>
      <c r="AC3142" s="52">
        <v>4</v>
      </c>
      <c r="AD3142" s="52" t="s">
        <v>1</v>
      </c>
      <c r="AE3142" s="52" t="s">
        <v>373</v>
      </c>
      <c r="AF3142" s="155" t="s">
        <v>559</v>
      </c>
      <c r="AG3142" s="155">
        <v>4</v>
      </c>
    </row>
    <row r="3143" spans="25:33">
      <c r="Y3143" s="47">
        <v>3087</v>
      </c>
      <c r="Z3143" s="52" t="s">
        <v>411</v>
      </c>
      <c r="AA3143" s="52" t="s">
        <v>247</v>
      </c>
      <c r="AB3143" s="52" t="s">
        <v>247</v>
      </c>
      <c r="AC3143" s="52">
        <v>4</v>
      </c>
      <c r="AD3143" s="52" t="s">
        <v>1</v>
      </c>
      <c r="AE3143" s="52" t="s">
        <v>373</v>
      </c>
      <c r="AF3143" s="155" t="s">
        <v>559</v>
      </c>
      <c r="AG3143" s="155">
        <v>4</v>
      </c>
    </row>
    <row r="3144" spans="25:33">
      <c r="Y3144" s="47">
        <v>3088</v>
      </c>
      <c r="Z3144" s="52" t="s">
        <v>411</v>
      </c>
      <c r="AA3144" s="52" t="s">
        <v>247</v>
      </c>
      <c r="AB3144" s="52" t="s">
        <v>247</v>
      </c>
      <c r="AC3144" s="52">
        <v>4</v>
      </c>
      <c r="AD3144" s="52" t="s">
        <v>1</v>
      </c>
      <c r="AE3144" s="52" t="s">
        <v>373</v>
      </c>
      <c r="AF3144" s="155" t="s">
        <v>559</v>
      </c>
      <c r="AG3144" s="155">
        <v>4</v>
      </c>
    </row>
    <row r="3145" spans="25:33">
      <c r="Y3145" s="47">
        <v>3089</v>
      </c>
      <c r="Z3145" s="52" t="s">
        <v>411</v>
      </c>
      <c r="AA3145" s="52" t="s">
        <v>247</v>
      </c>
      <c r="AB3145" s="52" t="s">
        <v>247</v>
      </c>
      <c r="AC3145" s="52">
        <v>4</v>
      </c>
      <c r="AD3145" s="52" t="s">
        <v>1</v>
      </c>
      <c r="AE3145" s="52" t="s">
        <v>373</v>
      </c>
      <c r="AF3145" s="155" t="s">
        <v>559</v>
      </c>
      <c r="AG3145" s="155">
        <v>4</v>
      </c>
    </row>
    <row r="3146" spans="25:33">
      <c r="Y3146" s="47">
        <v>3090</v>
      </c>
      <c r="Z3146" s="52" t="s">
        <v>411</v>
      </c>
      <c r="AA3146" s="52" t="s">
        <v>247</v>
      </c>
      <c r="AB3146" s="52" t="s">
        <v>247</v>
      </c>
      <c r="AC3146" s="52">
        <v>4</v>
      </c>
      <c r="AD3146" s="52" t="s">
        <v>1</v>
      </c>
      <c r="AE3146" s="52" t="s">
        <v>373</v>
      </c>
      <c r="AF3146" s="155" t="s">
        <v>559</v>
      </c>
      <c r="AG3146" s="155">
        <v>4</v>
      </c>
    </row>
    <row r="3147" spans="25:33">
      <c r="Y3147" s="47">
        <v>3091</v>
      </c>
      <c r="Z3147" s="52" t="s">
        <v>411</v>
      </c>
      <c r="AA3147" s="52" t="s">
        <v>247</v>
      </c>
      <c r="AB3147" s="52" t="s">
        <v>247</v>
      </c>
      <c r="AC3147" s="52">
        <v>4</v>
      </c>
      <c r="AD3147" s="52" t="s">
        <v>1</v>
      </c>
      <c r="AE3147" s="52" t="s">
        <v>373</v>
      </c>
      <c r="AF3147" s="155" t="s">
        <v>559</v>
      </c>
      <c r="AG3147" s="155">
        <v>4</v>
      </c>
    </row>
    <row r="3148" spans="25:33">
      <c r="Y3148" s="47">
        <v>3092</v>
      </c>
      <c r="Z3148" s="52" t="s">
        <v>411</v>
      </c>
      <c r="AA3148" s="52" t="s">
        <v>247</v>
      </c>
      <c r="AB3148" s="52" t="s">
        <v>247</v>
      </c>
      <c r="AC3148" s="52" t="s">
        <v>247</v>
      </c>
      <c r="AD3148" s="52" t="s">
        <v>1</v>
      </c>
      <c r="AE3148" s="52" t="s">
        <v>373</v>
      </c>
      <c r="AF3148" s="155" t="s">
        <v>247</v>
      </c>
      <c r="AG3148" s="155" t="s">
        <v>247</v>
      </c>
    </row>
    <row r="3149" spans="25:33">
      <c r="Y3149" s="47">
        <v>3093</v>
      </c>
      <c r="Z3149" s="52" t="s">
        <v>411</v>
      </c>
      <c r="AA3149" s="52" t="s">
        <v>247</v>
      </c>
      <c r="AB3149" s="52" t="s">
        <v>247</v>
      </c>
      <c r="AC3149" s="52">
        <v>4</v>
      </c>
      <c r="AD3149" s="52" t="s">
        <v>1</v>
      </c>
      <c r="AE3149" s="52" t="s">
        <v>373</v>
      </c>
      <c r="AF3149" s="155" t="s">
        <v>559</v>
      </c>
      <c r="AG3149" s="155">
        <v>4</v>
      </c>
    </row>
    <row r="3150" spans="25:33">
      <c r="Y3150" s="47">
        <v>3094</v>
      </c>
      <c r="Z3150" s="52" t="s">
        <v>411</v>
      </c>
      <c r="AA3150" s="52" t="s">
        <v>247</v>
      </c>
      <c r="AB3150" s="52" t="s">
        <v>247</v>
      </c>
      <c r="AC3150" s="52">
        <v>4</v>
      </c>
      <c r="AD3150" s="52" t="s">
        <v>1</v>
      </c>
      <c r="AE3150" s="52" t="s">
        <v>373</v>
      </c>
      <c r="AF3150" s="155" t="s">
        <v>559</v>
      </c>
      <c r="AG3150" s="155">
        <v>4</v>
      </c>
    </row>
    <row r="3151" spans="25:33">
      <c r="Y3151" s="47">
        <v>3095</v>
      </c>
      <c r="Z3151" s="52" t="s">
        <v>411</v>
      </c>
      <c r="AA3151" s="52" t="s">
        <v>247</v>
      </c>
      <c r="AB3151" s="52" t="s">
        <v>247</v>
      </c>
      <c r="AC3151" s="52">
        <v>4</v>
      </c>
      <c r="AD3151" s="52" t="s">
        <v>1</v>
      </c>
      <c r="AE3151" s="52" t="s">
        <v>373</v>
      </c>
      <c r="AF3151" s="155" t="s">
        <v>559</v>
      </c>
      <c r="AG3151" s="155">
        <v>4</v>
      </c>
    </row>
    <row r="3152" spans="25:33">
      <c r="Y3152" s="47">
        <v>3096</v>
      </c>
      <c r="Z3152" s="52" t="s">
        <v>411</v>
      </c>
      <c r="AA3152" s="52" t="s">
        <v>247</v>
      </c>
      <c r="AB3152" s="52" t="s">
        <v>247</v>
      </c>
      <c r="AC3152" s="52">
        <v>4</v>
      </c>
      <c r="AD3152" s="52" t="s">
        <v>1</v>
      </c>
      <c r="AE3152" s="52" t="s">
        <v>373</v>
      </c>
      <c r="AF3152" s="155" t="s">
        <v>559</v>
      </c>
      <c r="AG3152" s="155">
        <v>4</v>
      </c>
    </row>
    <row r="3153" spans="25:33">
      <c r="Y3153" s="47">
        <v>3097</v>
      </c>
      <c r="Z3153" s="52" t="s">
        <v>411</v>
      </c>
      <c r="AA3153" s="52" t="s">
        <v>247</v>
      </c>
      <c r="AB3153" s="52" t="s">
        <v>247</v>
      </c>
      <c r="AC3153" s="52">
        <v>4</v>
      </c>
      <c r="AD3153" s="52" t="s">
        <v>1</v>
      </c>
      <c r="AE3153" s="52" t="s">
        <v>373</v>
      </c>
      <c r="AF3153" s="155" t="s">
        <v>559</v>
      </c>
      <c r="AG3153" s="155">
        <v>4</v>
      </c>
    </row>
    <row r="3154" spans="25:33">
      <c r="Y3154" s="47">
        <v>3098</v>
      </c>
      <c r="Z3154" s="52" t="s">
        <v>411</v>
      </c>
      <c r="AA3154" s="52" t="s">
        <v>247</v>
      </c>
      <c r="AB3154" s="52" t="s">
        <v>247</v>
      </c>
      <c r="AC3154" s="52" t="s">
        <v>247</v>
      </c>
      <c r="AD3154" s="52" t="s">
        <v>1</v>
      </c>
      <c r="AE3154" s="52" t="s">
        <v>373</v>
      </c>
      <c r="AF3154" s="155" t="s">
        <v>247</v>
      </c>
      <c r="AG3154" s="155" t="s">
        <v>247</v>
      </c>
    </row>
    <row r="3155" spans="25:33">
      <c r="Y3155" s="47">
        <v>3099</v>
      </c>
      <c r="Z3155" s="52" t="s">
        <v>411</v>
      </c>
      <c r="AA3155" s="52" t="s">
        <v>247</v>
      </c>
      <c r="AB3155" s="52" t="s">
        <v>247</v>
      </c>
      <c r="AC3155" s="52">
        <v>4</v>
      </c>
      <c r="AD3155" s="52" t="s">
        <v>1</v>
      </c>
      <c r="AE3155" s="52" t="s">
        <v>373</v>
      </c>
      <c r="AF3155" s="155" t="s">
        <v>559</v>
      </c>
      <c r="AG3155" s="155">
        <v>4</v>
      </c>
    </row>
    <row r="3156" spans="25:33">
      <c r="Y3156" s="47">
        <v>3100</v>
      </c>
      <c r="Z3156" s="52" t="s">
        <v>411</v>
      </c>
      <c r="AA3156" s="52" t="s">
        <v>247</v>
      </c>
      <c r="AB3156" s="52" t="s">
        <v>247</v>
      </c>
      <c r="AC3156" s="52" t="s">
        <v>247</v>
      </c>
      <c r="AD3156" s="52" t="s">
        <v>1</v>
      </c>
      <c r="AE3156" s="52" t="s">
        <v>373</v>
      </c>
      <c r="AF3156" s="155" t="s">
        <v>247</v>
      </c>
      <c r="AG3156" s="155" t="s">
        <v>247</v>
      </c>
    </row>
    <row r="3157" spans="25:33">
      <c r="Y3157" s="47">
        <v>3101</v>
      </c>
      <c r="Z3157" s="52" t="s">
        <v>411</v>
      </c>
      <c r="AA3157" s="52" t="s">
        <v>247</v>
      </c>
      <c r="AB3157" s="52" t="s">
        <v>247</v>
      </c>
      <c r="AC3157" s="52">
        <v>4</v>
      </c>
      <c r="AD3157" s="52" t="s">
        <v>1</v>
      </c>
      <c r="AE3157" s="52" t="s">
        <v>373</v>
      </c>
      <c r="AF3157" s="155" t="s">
        <v>559</v>
      </c>
      <c r="AG3157" s="155">
        <v>4</v>
      </c>
    </row>
    <row r="3158" spans="25:33">
      <c r="Y3158" s="47">
        <v>3102</v>
      </c>
      <c r="Z3158" s="52" t="s">
        <v>411</v>
      </c>
      <c r="AA3158" s="52" t="s">
        <v>247</v>
      </c>
      <c r="AB3158" s="52" t="s">
        <v>247</v>
      </c>
      <c r="AC3158" s="52">
        <v>4</v>
      </c>
      <c r="AD3158" s="52" t="s">
        <v>1</v>
      </c>
      <c r="AE3158" s="52" t="s">
        <v>373</v>
      </c>
      <c r="AF3158" s="155" t="s">
        <v>559</v>
      </c>
      <c r="AG3158" s="155">
        <v>4</v>
      </c>
    </row>
    <row r="3159" spans="25:33">
      <c r="Y3159" s="47">
        <v>3103</v>
      </c>
      <c r="Z3159" s="52" t="s">
        <v>411</v>
      </c>
      <c r="AA3159" s="52" t="s">
        <v>247</v>
      </c>
      <c r="AB3159" s="52" t="s">
        <v>247</v>
      </c>
      <c r="AC3159" s="52">
        <v>4</v>
      </c>
      <c r="AD3159" s="52" t="s">
        <v>1</v>
      </c>
      <c r="AE3159" s="52" t="s">
        <v>373</v>
      </c>
      <c r="AF3159" s="155" t="s">
        <v>559</v>
      </c>
      <c r="AG3159" s="155">
        <v>4</v>
      </c>
    </row>
    <row r="3160" spans="25:33">
      <c r="Y3160" s="47">
        <v>3104</v>
      </c>
      <c r="Z3160" s="52" t="s">
        <v>411</v>
      </c>
      <c r="AA3160" s="52" t="s">
        <v>247</v>
      </c>
      <c r="AB3160" s="52" t="s">
        <v>247</v>
      </c>
      <c r="AC3160" s="52">
        <v>4</v>
      </c>
      <c r="AD3160" s="52" t="s">
        <v>1</v>
      </c>
      <c r="AE3160" s="52" t="s">
        <v>373</v>
      </c>
      <c r="AF3160" s="155" t="s">
        <v>559</v>
      </c>
      <c r="AG3160" s="155">
        <v>4</v>
      </c>
    </row>
    <row r="3161" spans="25:33">
      <c r="Y3161" s="47">
        <v>3105</v>
      </c>
      <c r="Z3161" s="52" t="s">
        <v>411</v>
      </c>
      <c r="AA3161" s="52" t="s">
        <v>247</v>
      </c>
      <c r="AB3161" s="52" t="s">
        <v>247</v>
      </c>
      <c r="AC3161" s="52">
        <v>4</v>
      </c>
      <c r="AD3161" s="52" t="s">
        <v>1</v>
      </c>
      <c r="AE3161" s="52" t="s">
        <v>373</v>
      </c>
      <c r="AF3161" s="155" t="s">
        <v>559</v>
      </c>
      <c r="AG3161" s="155">
        <v>4</v>
      </c>
    </row>
    <row r="3162" spans="25:33">
      <c r="Y3162" s="47">
        <v>3106</v>
      </c>
      <c r="Z3162" s="52" t="s">
        <v>411</v>
      </c>
      <c r="AA3162" s="52" t="s">
        <v>247</v>
      </c>
      <c r="AB3162" s="52" t="s">
        <v>247</v>
      </c>
      <c r="AC3162" s="52">
        <v>4</v>
      </c>
      <c r="AD3162" s="52" t="s">
        <v>1</v>
      </c>
      <c r="AE3162" s="52" t="s">
        <v>373</v>
      </c>
      <c r="AF3162" s="155" t="s">
        <v>559</v>
      </c>
      <c r="AG3162" s="155">
        <v>4</v>
      </c>
    </row>
    <row r="3163" spans="25:33">
      <c r="Y3163" s="47">
        <v>3107</v>
      </c>
      <c r="Z3163" s="52" t="s">
        <v>411</v>
      </c>
      <c r="AA3163" s="52" t="s">
        <v>247</v>
      </c>
      <c r="AB3163" s="52" t="s">
        <v>247</v>
      </c>
      <c r="AC3163" s="52">
        <v>4</v>
      </c>
      <c r="AD3163" s="52" t="s">
        <v>1</v>
      </c>
      <c r="AE3163" s="52" t="s">
        <v>373</v>
      </c>
      <c r="AF3163" s="155" t="s">
        <v>559</v>
      </c>
      <c r="AG3163" s="155">
        <v>4</v>
      </c>
    </row>
    <row r="3164" spans="25:33">
      <c r="Y3164" s="47">
        <v>3108</v>
      </c>
      <c r="Z3164" s="52" t="s">
        <v>411</v>
      </c>
      <c r="AA3164" s="52" t="s">
        <v>247</v>
      </c>
      <c r="AB3164" s="52" t="s">
        <v>247</v>
      </c>
      <c r="AC3164" s="52">
        <v>4</v>
      </c>
      <c r="AD3164" s="52" t="s">
        <v>1</v>
      </c>
      <c r="AE3164" s="52" t="s">
        <v>373</v>
      </c>
      <c r="AF3164" s="155" t="s">
        <v>559</v>
      </c>
      <c r="AG3164" s="155">
        <v>4</v>
      </c>
    </row>
    <row r="3165" spans="25:33">
      <c r="Y3165" s="47">
        <v>3109</v>
      </c>
      <c r="Z3165" s="52" t="s">
        <v>411</v>
      </c>
      <c r="AA3165" s="52" t="s">
        <v>247</v>
      </c>
      <c r="AB3165" s="52" t="s">
        <v>247</v>
      </c>
      <c r="AC3165" s="52">
        <v>4</v>
      </c>
      <c r="AD3165" s="52" t="s">
        <v>1</v>
      </c>
      <c r="AE3165" s="52" t="s">
        <v>373</v>
      </c>
      <c r="AF3165" s="155" t="s">
        <v>559</v>
      </c>
      <c r="AG3165" s="155">
        <v>4</v>
      </c>
    </row>
    <row r="3166" spans="25:33">
      <c r="Y3166" s="47">
        <v>3110</v>
      </c>
      <c r="Z3166" s="52" t="s">
        <v>411</v>
      </c>
      <c r="AA3166" s="52" t="s">
        <v>247</v>
      </c>
      <c r="AB3166" s="52" t="s">
        <v>247</v>
      </c>
      <c r="AC3166" s="52" t="s">
        <v>247</v>
      </c>
      <c r="AD3166" s="52" t="s">
        <v>1</v>
      </c>
      <c r="AE3166" s="52" t="s">
        <v>373</v>
      </c>
      <c r="AF3166" s="155" t="s">
        <v>247</v>
      </c>
      <c r="AG3166" s="155" t="s">
        <v>247</v>
      </c>
    </row>
    <row r="3167" spans="25:33">
      <c r="Y3167" s="47">
        <v>3111</v>
      </c>
      <c r="Z3167" s="52" t="s">
        <v>411</v>
      </c>
      <c r="AA3167" s="52" t="s">
        <v>247</v>
      </c>
      <c r="AB3167" s="52" t="s">
        <v>247</v>
      </c>
      <c r="AC3167" s="52">
        <v>4</v>
      </c>
      <c r="AD3167" s="52" t="s">
        <v>1</v>
      </c>
      <c r="AE3167" s="52" t="s">
        <v>373</v>
      </c>
      <c r="AF3167" s="155" t="s">
        <v>559</v>
      </c>
      <c r="AG3167" s="155">
        <v>4</v>
      </c>
    </row>
    <row r="3168" spans="25:33">
      <c r="Y3168" s="47">
        <v>3112</v>
      </c>
      <c r="Z3168" s="52" t="s">
        <v>411</v>
      </c>
      <c r="AA3168" s="52" t="s">
        <v>247</v>
      </c>
      <c r="AB3168" s="52" t="s">
        <v>247</v>
      </c>
      <c r="AC3168" s="52" t="s">
        <v>247</v>
      </c>
      <c r="AD3168" s="52" t="s">
        <v>1</v>
      </c>
      <c r="AE3168" s="52" t="s">
        <v>373</v>
      </c>
      <c r="AF3168" s="155" t="s">
        <v>247</v>
      </c>
      <c r="AG3168" s="155" t="s">
        <v>247</v>
      </c>
    </row>
    <row r="3169" spans="25:33">
      <c r="Y3169" s="47">
        <v>3113</v>
      </c>
      <c r="Z3169" s="52" t="s">
        <v>411</v>
      </c>
      <c r="AA3169" s="52" t="s">
        <v>247</v>
      </c>
      <c r="AB3169" s="52" t="s">
        <v>247</v>
      </c>
      <c r="AC3169" s="52">
        <v>4</v>
      </c>
      <c r="AD3169" s="52" t="s">
        <v>1</v>
      </c>
      <c r="AE3169" s="52" t="s">
        <v>373</v>
      </c>
      <c r="AF3169" s="155" t="s">
        <v>559</v>
      </c>
      <c r="AG3169" s="155">
        <v>4</v>
      </c>
    </row>
    <row r="3170" spans="25:33">
      <c r="Y3170" s="47">
        <v>3114</v>
      </c>
      <c r="Z3170" s="52" t="s">
        <v>411</v>
      </c>
      <c r="AA3170" s="52" t="s">
        <v>247</v>
      </c>
      <c r="AB3170" s="52" t="s">
        <v>247</v>
      </c>
      <c r="AC3170" s="52">
        <v>4</v>
      </c>
      <c r="AD3170" s="52" t="s">
        <v>1</v>
      </c>
      <c r="AE3170" s="52" t="s">
        <v>373</v>
      </c>
      <c r="AF3170" s="155" t="s">
        <v>559</v>
      </c>
      <c r="AG3170" s="155">
        <v>4</v>
      </c>
    </row>
    <row r="3171" spans="25:33">
      <c r="Y3171" s="47">
        <v>3115</v>
      </c>
      <c r="Z3171" s="52" t="s">
        <v>411</v>
      </c>
      <c r="AA3171" s="52" t="s">
        <v>247</v>
      </c>
      <c r="AB3171" s="52" t="s">
        <v>247</v>
      </c>
      <c r="AC3171" s="52">
        <v>4</v>
      </c>
      <c r="AD3171" s="52" t="s">
        <v>1</v>
      </c>
      <c r="AE3171" s="52" t="s">
        <v>373</v>
      </c>
      <c r="AF3171" s="155" t="s">
        <v>559</v>
      </c>
      <c r="AG3171" s="155">
        <v>4</v>
      </c>
    </row>
    <row r="3172" spans="25:33">
      <c r="Y3172" s="47">
        <v>3116</v>
      </c>
      <c r="Z3172" s="52" t="s">
        <v>407</v>
      </c>
      <c r="AA3172" s="52" t="s">
        <v>247</v>
      </c>
      <c r="AB3172" s="52" t="s">
        <v>247</v>
      </c>
      <c r="AC3172" s="52">
        <v>4</v>
      </c>
      <c r="AD3172" s="52" t="s">
        <v>1</v>
      </c>
      <c r="AE3172" s="52" t="s">
        <v>373</v>
      </c>
      <c r="AF3172" s="155" t="s">
        <v>559</v>
      </c>
      <c r="AG3172" s="155">
        <v>4</v>
      </c>
    </row>
    <row r="3173" spans="25:33">
      <c r="Y3173" s="47">
        <v>3121</v>
      </c>
      <c r="Z3173" s="52" t="s">
        <v>411</v>
      </c>
      <c r="AA3173" s="52" t="s">
        <v>247</v>
      </c>
      <c r="AB3173" s="52" t="s">
        <v>247</v>
      </c>
      <c r="AC3173" s="52">
        <v>4</v>
      </c>
      <c r="AD3173" s="52" t="s">
        <v>1</v>
      </c>
      <c r="AE3173" s="52" t="s">
        <v>373</v>
      </c>
      <c r="AF3173" s="155" t="s">
        <v>559</v>
      </c>
      <c r="AG3173" s="155">
        <v>4</v>
      </c>
    </row>
    <row r="3174" spans="25:33">
      <c r="Y3174" s="47">
        <v>3122</v>
      </c>
      <c r="Z3174" s="52" t="s">
        <v>411</v>
      </c>
      <c r="AA3174" s="52" t="s">
        <v>247</v>
      </c>
      <c r="AB3174" s="52" t="s">
        <v>247</v>
      </c>
      <c r="AC3174" s="52">
        <v>4</v>
      </c>
      <c r="AD3174" s="52" t="s">
        <v>1</v>
      </c>
      <c r="AE3174" s="52" t="s">
        <v>373</v>
      </c>
      <c r="AF3174" s="155" t="s">
        <v>559</v>
      </c>
      <c r="AG3174" s="155">
        <v>4</v>
      </c>
    </row>
    <row r="3175" spans="25:33">
      <c r="Y3175" s="47">
        <v>3123</v>
      </c>
      <c r="Z3175" s="52" t="s">
        <v>411</v>
      </c>
      <c r="AA3175" s="52" t="s">
        <v>247</v>
      </c>
      <c r="AB3175" s="52" t="s">
        <v>247</v>
      </c>
      <c r="AC3175" s="52">
        <v>4</v>
      </c>
      <c r="AD3175" s="52" t="s">
        <v>1</v>
      </c>
      <c r="AE3175" s="52" t="s">
        <v>373</v>
      </c>
      <c r="AF3175" s="155" t="s">
        <v>559</v>
      </c>
      <c r="AG3175" s="155">
        <v>4</v>
      </c>
    </row>
    <row r="3176" spans="25:33">
      <c r="Y3176" s="47">
        <v>3124</v>
      </c>
      <c r="Z3176" s="52" t="s">
        <v>411</v>
      </c>
      <c r="AA3176" s="52" t="s">
        <v>247</v>
      </c>
      <c r="AB3176" s="52" t="s">
        <v>247</v>
      </c>
      <c r="AC3176" s="52">
        <v>4</v>
      </c>
      <c r="AD3176" s="52" t="s">
        <v>1</v>
      </c>
      <c r="AE3176" s="52" t="s">
        <v>373</v>
      </c>
      <c r="AF3176" s="155" t="s">
        <v>559</v>
      </c>
      <c r="AG3176" s="155">
        <v>4</v>
      </c>
    </row>
    <row r="3177" spans="25:33">
      <c r="Y3177" s="47">
        <v>3125</v>
      </c>
      <c r="Z3177" s="52" t="s">
        <v>411</v>
      </c>
      <c r="AA3177" s="52" t="s">
        <v>247</v>
      </c>
      <c r="AB3177" s="52" t="s">
        <v>247</v>
      </c>
      <c r="AC3177" s="52">
        <v>4</v>
      </c>
      <c r="AD3177" s="52" t="s">
        <v>1</v>
      </c>
      <c r="AE3177" s="52" t="s">
        <v>373</v>
      </c>
      <c r="AF3177" s="155" t="s">
        <v>559</v>
      </c>
      <c r="AG3177" s="155">
        <v>4</v>
      </c>
    </row>
    <row r="3178" spans="25:33">
      <c r="Y3178" s="47">
        <v>3126</v>
      </c>
      <c r="Z3178" s="52" t="s">
        <v>411</v>
      </c>
      <c r="AA3178" s="52" t="s">
        <v>247</v>
      </c>
      <c r="AB3178" s="52" t="s">
        <v>247</v>
      </c>
      <c r="AC3178" s="52">
        <v>4</v>
      </c>
      <c r="AD3178" s="52" t="s">
        <v>1</v>
      </c>
      <c r="AE3178" s="52" t="s">
        <v>373</v>
      </c>
      <c r="AF3178" s="155" t="s">
        <v>559</v>
      </c>
      <c r="AG3178" s="155">
        <v>4</v>
      </c>
    </row>
    <row r="3179" spans="25:33">
      <c r="Y3179" s="47">
        <v>3127</v>
      </c>
      <c r="Z3179" s="52" t="s">
        <v>411</v>
      </c>
      <c r="AA3179" s="52" t="s">
        <v>247</v>
      </c>
      <c r="AB3179" s="52" t="s">
        <v>247</v>
      </c>
      <c r="AC3179" s="52">
        <v>4</v>
      </c>
      <c r="AD3179" s="52" t="s">
        <v>1</v>
      </c>
      <c r="AE3179" s="52" t="s">
        <v>373</v>
      </c>
      <c r="AF3179" s="155" t="s">
        <v>559</v>
      </c>
      <c r="AG3179" s="155">
        <v>4</v>
      </c>
    </row>
    <row r="3180" spans="25:33">
      <c r="Y3180" s="47">
        <v>3128</v>
      </c>
      <c r="Z3180" s="52" t="s">
        <v>411</v>
      </c>
      <c r="AA3180" s="52" t="s">
        <v>247</v>
      </c>
      <c r="AB3180" s="52" t="s">
        <v>247</v>
      </c>
      <c r="AC3180" s="52">
        <v>4</v>
      </c>
      <c r="AD3180" s="52" t="s">
        <v>1</v>
      </c>
      <c r="AE3180" s="52" t="s">
        <v>373</v>
      </c>
      <c r="AF3180" s="155" t="s">
        <v>559</v>
      </c>
      <c r="AG3180" s="155">
        <v>4</v>
      </c>
    </row>
    <row r="3181" spans="25:33">
      <c r="Y3181" s="47">
        <v>3129</v>
      </c>
      <c r="Z3181" s="52" t="s">
        <v>411</v>
      </c>
      <c r="AA3181" s="52" t="s">
        <v>247</v>
      </c>
      <c r="AB3181" s="52" t="s">
        <v>247</v>
      </c>
      <c r="AC3181" s="52">
        <v>4</v>
      </c>
      <c r="AD3181" s="52" t="s">
        <v>1</v>
      </c>
      <c r="AE3181" s="52" t="s">
        <v>373</v>
      </c>
      <c r="AF3181" s="155" t="s">
        <v>559</v>
      </c>
      <c r="AG3181" s="155">
        <v>4</v>
      </c>
    </row>
    <row r="3182" spans="25:33">
      <c r="Y3182" s="47">
        <v>3130</v>
      </c>
      <c r="Z3182" s="52" t="s">
        <v>411</v>
      </c>
      <c r="AA3182" s="52" t="s">
        <v>247</v>
      </c>
      <c r="AB3182" s="52" t="s">
        <v>247</v>
      </c>
      <c r="AC3182" s="52">
        <v>4</v>
      </c>
      <c r="AD3182" s="52" t="s">
        <v>1</v>
      </c>
      <c r="AE3182" s="52" t="s">
        <v>373</v>
      </c>
      <c r="AF3182" s="155" t="s">
        <v>559</v>
      </c>
      <c r="AG3182" s="155">
        <v>4</v>
      </c>
    </row>
    <row r="3183" spans="25:33">
      <c r="Y3183" s="47">
        <v>3131</v>
      </c>
      <c r="Z3183" s="52" t="s">
        <v>411</v>
      </c>
      <c r="AA3183" s="52" t="s">
        <v>247</v>
      </c>
      <c r="AB3183" s="52" t="s">
        <v>247</v>
      </c>
      <c r="AC3183" s="52">
        <v>4</v>
      </c>
      <c r="AD3183" s="52" t="s">
        <v>1</v>
      </c>
      <c r="AE3183" s="52" t="s">
        <v>373</v>
      </c>
      <c r="AF3183" s="155" t="s">
        <v>559</v>
      </c>
      <c r="AG3183" s="155">
        <v>4</v>
      </c>
    </row>
    <row r="3184" spans="25:33">
      <c r="Y3184" s="47">
        <v>3132</v>
      </c>
      <c r="Z3184" s="52" t="s">
        <v>411</v>
      </c>
      <c r="AA3184" s="52" t="s">
        <v>247</v>
      </c>
      <c r="AB3184" s="52" t="s">
        <v>247</v>
      </c>
      <c r="AC3184" s="52">
        <v>4</v>
      </c>
      <c r="AD3184" s="52" t="s">
        <v>1</v>
      </c>
      <c r="AE3184" s="52" t="s">
        <v>373</v>
      </c>
      <c r="AF3184" s="155" t="s">
        <v>559</v>
      </c>
      <c r="AG3184" s="155">
        <v>4</v>
      </c>
    </row>
    <row r="3185" spans="25:33">
      <c r="Y3185" s="47">
        <v>3133</v>
      </c>
      <c r="Z3185" s="52" t="s">
        <v>411</v>
      </c>
      <c r="AA3185" s="52" t="s">
        <v>247</v>
      </c>
      <c r="AB3185" s="52" t="s">
        <v>247</v>
      </c>
      <c r="AC3185" s="52">
        <v>4</v>
      </c>
      <c r="AD3185" s="52" t="s">
        <v>1</v>
      </c>
      <c r="AE3185" s="52" t="s">
        <v>373</v>
      </c>
      <c r="AF3185" s="155" t="s">
        <v>559</v>
      </c>
      <c r="AG3185" s="155">
        <v>4</v>
      </c>
    </row>
    <row r="3186" spans="25:33">
      <c r="Y3186" s="47">
        <v>3134</v>
      </c>
      <c r="Z3186" s="52" t="s">
        <v>411</v>
      </c>
      <c r="AA3186" s="52" t="s">
        <v>247</v>
      </c>
      <c r="AB3186" s="52" t="s">
        <v>247</v>
      </c>
      <c r="AC3186" s="52">
        <v>4</v>
      </c>
      <c r="AD3186" s="52" t="s">
        <v>1</v>
      </c>
      <c r="AE3186" s="52" t="s">
        <v>373</v>
      </c>
      <c r="AF3186" s="155" t="s">
        <v>559</v>
      </c>
      <c r="AG3186" s="155">
        <v>4</v>
      </c>
    </row>
    <row r="3187" spans="25:33">
      <c r="Y3187" s="47">
        <v>3135</v>
      </c>
      <c r="Z3187" s="52" t="s">
        <v>411</v>
      </c>
      <c r="AA3187" s="52" t="s">
        <v>247</v>
      </c>
      <c r="AB3187" s="52" t="s">
        <v>247</v>
      </c>
      <c r="AC3187" s="52">
        <v>4</v>
      </c>
      <c r="AD3187" s="52" t="s">
        <v>1</v>
      </c>
      <c r="AE3187" s="52" t="s">
        <v>373</v>
      </c>
      <c r="AF3187" s="155" t="s">
        <v>559</v>
      </c>
      <c r="AG3187" s="155">
        <v>4</v>
      </c>
    </row>
    <row r="3188" spans="25:33">
      <c r="Y3188" s="47">
        <v>3136</v>
      </c>
      <c r="Z3188" s="52" t="s">
        <v>411</v>
      </c>
      <c r="AA3188" s="52" t="s">
        <v>247</v>
      </c>
      <c r="AB3188" s="52" t="s">
        <v>247</v>
      </c>
      <c r="AC3188" s="52">
        <v>4</v>
      </c>
      <c r="AD3188" s="52" t="s">
        <v>1</v>
      </c>
      <c r="AE3188" s="52" t="s">
        <v>373</v>
      </c>
      <c r="AF3188" s="155" t="s">
        <v>559</v>
      </c>
      <c r="AG3188" s="155">
        <v>4</v>
      </c>
    </row>
    <row r="3189" spans="25:33">
      <c r="Y3189" s="47">
        <v>3137</v>
      </c>
      <c r="Z3189" s="52" t="s">
        <v>407</v>
      </c>
      <c r="AA3189" s="52" t="s">
        <v>247</v>
      </c>
      <c r="AB3189" s="52" t="s">
        <v>247</v>
      </c>
      <c r="AC3189" s="52">
        <v>4</v>
      </c>
      <c r="AD3189" s="52" t="s">
        <v>1</v>
      </c>
      <c r="AE3189" s="52" t="s">
        <v>373</v>
      </c>
      <c r="AF3189" s="155" t="s">
        <v>559</v>
      </c>
      <c r="AG3189" s="155">
        <v>4</v>
      </c>
    </row>
    <row r="3190" spans="25:33">
      <c r="Y3190" s="47">
        <v>3138</v>
      </c>
      <c r="Z3190" s="52" t="s">
        <v>407</v>
      </c>
      <c r="AA3190" s="52" t="s">
        <v>247</v>
      </c>
      <c r="AB3190" s="52" t="s">
        <v>247</v>
      </c>
      <c r="AC3190" s="52">
        <v>4</v>
      </c>
      <c r="AD3190" s="52" t="s">
        <v>1</v>
      </c>
      <c r="AE3190" s="52" t="s">
        <v>373</v>
      </c>
      <c r="AF3190" s="155" t="s">
        <v>559</v>
      </c>
      <c r="AG3190" s="155">
        <v>4</v>
      </c>
    </row>
    <row r="3191" spans="25:33">
      <c r="Y3191" s="47">
        <v>3139</v>
      </c>
      <c r="Z3191" s="52" t="s">
        <v>407</v>
      </c>
      <c r="AA3191" s="52" t="s">
        <v>247</v>
      </c>
      <c r="AB3191" s="52" t="s">
        <v>247</v>
      </c>
      <c r="AC3191" s="52">
        <v>5</v>
      </c>
      <c r="AD3191" s="52" t="s">
        <v>1</v>
      </c>
      <c r="AE3191" s="52" t="s">
        <v>373</v>
      </c>
      <c r="AF3191" s="155" t="s">
        <v>559</v>
      </c>
      <c r="AG3191" s="155">
        <v>5</v>
      </c>
    </row>
    <row r="3192" spans="25:33">
      <c r="Y3192" s="47">
        <v>3140</v>
      </c>
      <c r="Z3192" s="52" t="s">
        <v>407</v>
      </c>
      <c r="AA3192" s="52" t="s">
        <v>247</v>
      </c>
      <c r="AB3192" s="52" t="s">
        <v>247</v>
      </c>
      <c r="AC3192" s="52">
        <v>5</v>
      </c>
      <c r="AD3192" s="52" t="s">
        <v>1</v>
      </c>
      <c r="AE3192" s="52" t="s">
        <v>373</v>
      </c>
      <c r="AF3192" s="155" t="s">
        <v>559</v>
      </c>
      <c r="AG3192" s="155">
        <v>5</v>
      </c>
    </row>
    <row r="3193" spans="25:33">
      <c r="Y3193" s="47">
        <v>3141</v>
      </c>
      <c r="Z3193" s="52" t="s">
        <v>411</v>
      </c>
      <c r="AA3193" s="52" t="s">
        <v>247</v>
      </c>
      <c r="AB3193" s="52" t="s">
        <v>247</v>
      </c>
      <c r="AC3193" s="52">
        <v>4</v>
      </c>
      <c r="AD3193" s="52" t="s">
        <v>1</v>
      </c>
      <c r="AE3193" s="52" t="s">
        <v>373</v>
      </c>
      <c r="AF3193" s="155" t="s">
        <v>559</v>
      </c>
      <c r="AG3193" s="155">
        <v>4</v>
      </c>
    </row>
    <row r="3194" spans="25:33">
      <c r="Y3194" s="47">
        <v>3142</v>
      </c>
      <c r="Z3194" s="52" t="s">
        <v>411</v>
      </c>
      <c r="AA3194" s="52" t="s">
        <v>247</v>
      </c>
      <c r="AB3194" s="52" t="s">
        <v>247</v>
      </c>
      <c r="AC3194" s="52">
        <v>4</v>
      </c>
      <c r="AD3194" s="52" t="s">
        <v>1</v>
      </c>
      <c r="AE3194" s="52" t="s">
        <v>373</v>
      </c>
      <c r="AF3194" s="155" t="s">
        <v>559</v>
      </c>
      <c r="AG3194" s="155">
        <v>4</v>
      </c>
    </row>
    <row r="3195" spans="25:33">
      <c r="Y3195" s="47">
        <v>3143</v>
      </c>
      <c r="Z3195" s="52" t="s">
        <v>411</v>
      </c>
      <c r="AA3195" s="52" t="s">
        <v>247</v>
      </c>
      <c r="AB3195" s="52" t="s">
        <v>247</v>
      </c>
      <c r="AC3195" s="52">
        <v>4</v>
      </c>
      <c r="AD3195" s="52" t="s">
        <v>1</v>
      </c>
      <c r="AE3195" s="52" t="s">
        <v>373</v>
      </c>
      <c r="AF3195" s="155" t="s">
        <v>559</v>
      </c>
      <c r="AG3195" s="155">
        <v>4</v>
      </c>
    </row>
    <row r="3196" spans="25:33">
      <c r="Y3196" s="47">
        <v>3144</v>
      </c>
      <c r="Z3196" s="52" t="s">
        <v>411</v>
      </c>
      <c r="AA3196" s="52" t="s">
        <v>247</v>
      </c>
      <c r="AB3196" s="52" t="s">
        <v>247</v>
      </c>
      <c r="AC3196" s="52">
        <v>4</v>
      </c>
      <c r="AD3196" s="52" t="s">
        <v>1</v>
      </c>
      <c r="AE3196" s="52" t="s">
        <v>373</v>
      </c>
      <c r="AF3196" s="155" t="s">
        <v>559</v>
      </c>
      <c r="AG3196" s="155">
        <v>4</v>
      </c>
    </row>
    <row r="3197" spans="25:33">
      <c r="Y3197" s="47">
        <v>3145</v>
      </c>
      <c r="Z3197" s="52" t="s">
        <v>411</v>
      </c>
      <c r="AA3197" s="52" t="s">
        <v>247</v>
      </c>
      <c r="AB3197" s="52" t="s">
        <v>247</v>
      </c>
      <c r="AC3197" s="52">
        <v>4</v>
      </c>
      <c r="AD3197" s="52" t="s">
        <v>1</v>
      </c>
      <c r="AE3197" s="52" t="s">
        <v>373</v>
      </c>
      <c r="AF3197" s="155" t="s">
        <v>559</v>
      </c>
      <c r="AG3197" s="155">
        <v>4</v>
      </c>
    </row>
    <row r="3198" spans="25:33">
      <c r="Y3198" s="47">
        <v>3146</v>
      </c>
      <c r="Z3198" s="52" t="s">
        <v>411</v>
      </c>
      <c r="AA3198" s="52" t="s">
        <v>247</v>
      </c>
      <c r="AB3198" s="52" t="s">
        <v>247</v>
      </c>
      <c r="AC3198" s="52">
        <v>4</v>
      </c>
      <c r="AD3198" s="52" t="s">
        <v>1</v>
      </c>
      <c r="AE3198" s="52" t="s">
        <v>373</v>
      </c>
      <c r="AF3198" s="155" t="s">
        <v>559</v>
      </c>
      <c r="AG3198" s="155">
        <v>4</v>
      </c>
    </row>
    <row r="3199" spans="25:33">
      <c r="Y3199" s="47">
        <v>3147</v>
      </c>
      <c r="Z3199" s="52" t="s">
        <v>411</v>
      </c>
      <c r="AA3199" s="52" t="s">
        <v>247</v>
      </c>
      <c r="AB3199" s="52" t="s">
        <v>247</v>
      </c>
      <c r="AC3199" s="52">
        <v>4</v>
      </c>
      <c r="AD3199" s="52" t="s">
        <v>1</v>
      </c>
      <c r="AE3199" s="52" t="s">
        <v>373</v>
      </c>
      <c r="AF3199" s="155" t="s">
        <v>559</v>
      </c>
      <c r="AG3199" s="155">
        <v>4</v>
      </c>
    </row>
    <row r="3200" spans="25:33">
      <c r="Y3200" s="47">
        <v>3148</v>
      </c>
      <c r="Z3200" s="52" t="s">
        <v>411</v>
      </c>
      <c r="AA3200" s="52" t="s">
        <v>247</v>
      </c>
      <c r="AB3200" s="52" t="s">
        <v>247</v>
      </c>
      <c r="AC3200" s="52">
        <v>4</v>
      </c>
      <c r="AD3200" s="52" t="s">
        <v>1</v>
      </c>
      <c r="AE3200" s="52" t="s">
        <v>373</v>
      </c>
      <c r="AF3200" s="155" t="s">
        <v>559</v>
      </c>
      <c r="AG3200" s="155">
        <v>4</v>
      </c>
    </row>
    <row r="3201" spans="25:33">
      <c r="Y3201" s="47">
        <v>3149</v>
      </c>
      <c r="Z3201" s="52" t="s">
        <v>411</v>
      </c>
      <c r="AA3201" s="52" t="s">
        <v>247</v>
      </c>
      <c r="AB3201" s="52" t="s">
        <v>247</v>
      </c>
      <c r="AC3201" s="52">
        <v>4</v>
      </c>
      <c r="AD3201" s="52" t="s">
        <v>1</v>
      </c>
      <c r="AE3201" s="52" t="s">
        <v>373</v>
      </c>
      <c r="AF3201" s="155" t="s">
        <v>559</v>
      </c>
      <c r="AG3201" s="155">
        <v>4</v>
      </c>
    </row>
    <row r="3202" spans="25:33">
      <c r="Y3202" s="47">
        <v>3150</v>
      </c>
      <c r="Z3202" s="52" t="s">
        <v>411</v>
      </c>
      <c r="AA3202" s="52" t="s">
        <v>247</v>
      </c>
      <c r="AB3202" s="52" t="s">
        <v>247</v>
      </c>
      <c r="AC3202" s="52">
        <v>4</v>
      </c>
      <c r="AD3202" s="52" t="s">
        <v>1</v>
      </c>
      <c r="AE3202" s="52" t="s">
        <v>373</v>
      </c>
      <c r="AF3202" s="155" t="s">
        <v>559</v>
      </c>
      <c r="AG3202" s="155">
        <v>4</v>
      </c>
    </row>
    <row r="3203" spans="25:33">
      <c r="Y3203" s="47">
        <v>3151</v>
      </c>
      <c r="Z3203" s="52" t="s">
        <v>411</v>
      </c>
      <c r="AA3203" s="52" t="s">
        <v>247</v>
      </c>
      <c r="AB3203" s="52" t="s">
        <v>247</v>
      </c>
      <c r="AC3203" s="52">
        <v>4</v>
      </c>
      <c r="AD3203" s="52" t="s">
        <v>1</v>
      </c>
      <c r="AE3203" s="52" t="s">
        <v>373</v>
      </c>
      <c r="AF3203" s="155" t="s">
        <v>559</v>
      </c>
      <c r="AG3203" s="155">
        <v>4</v>
      </c>
    </row>
    <row r="3204" spans="25:33">
      <c r="Y3204" s="47">
        <v>3152</v>
      </c>
      <c r="Z3204" s="52" t="s">
        <v>411</v>
      </c>
      <c r="AA3204" s="52" t="s">
        <v>247</v>
      </c>
      <c r="AB3204" s="52" t="s">
        <v>247</v>
      </c>
      <c r="AC3204" s="52">
        <v>4</v>
      </c>
      <c r="AD3204" s="52" t="s">
        <v>1</v>
      </c>
      <c r="AE3204" s="52" t="s">
        <v>373</v>
      </c>
      <c r="AF3204" s="155" t="s">
        <v>559</v>
      </c>
      <c r="AG3204" s="155">
        <v>4</v>
      </c>
    </row>
    <row r="3205" spans="25:33">
      <c r="Y3205" s="47">
        <v>3153</v>
      </c>
      <c r="Z3205" s="52" t="s">
        <v>411</v>
      </c>
      <c r="AA3205" s="52" t="s">
        <v>247</v>
      </c>
      <c r="AB3205" s="52" t="s">
        <v>247</v>
      </c>
      <c r="AC3205" s="52">
        <v>4</v>
      </c>
      <c r="AD3205" s="52" t="s">
        <v>1</v>
      </c>
      <c r="AE3205" s="52" t="s">
        <v>373</v>
      </c>
      <c r="AF3205" s="155" t="s">
        <v>559</v>
      </c>
      <c r="AG3205" s="155">
        <v>4</v>
      </c>
    </row>
    <row r="3206" spans="25:33">
      <c r="Y3206" s="47">
        <v>3154</v>
      </c>
      <c r="Z3206" s="52" t="s">
        <v>411</v>
      </c>
      <c r="AA3206" s="52" t="s">
        <v>247</v>
      </c>
      <c r="AB3206" s="52" t="s">
        <v>247</v>
      </c>
      <c r="AC3206" s="52">
        <v>4</v>
      </c>
      <c r="AD3206" s="52" t="s">
        <v>1</v>
      </c>
      <c r="AE3206" s="52" t="s">
        <v>373</v>
      </c>
      <c r="AF3206" s="155" t="s">
        <v>559</v>
      </c>
      <c r="AG3206" s="155">
        <v>4</v>
      </c>
    </row>
    <row r="3207" spans="25:33">
      <c r="Y3207" s="47">
        <v>3155</v>
      </c>
      <c r="Z3207" s="52" t="s">
        <v>411</v>
      </c>
      <c r="AA3207" s="52" t="s">
        <v>247</v>
      </c>
      <c r="AB3207" s="52" t="s">
        <v>247</v>
      </c>
      <c r="AC3207" s="52">
        <v>4</v>
      </c>
      <c r="AD3207" s="52" t="s">
        <v>1</v>
      </c>
      <c r="AE3207" s="52" t="s">
        <v>373</v>
      </c>
      <c r="AF3207" s="155" t="s">
        <v>559</v>
      </c>
      <c r="AG3207" s="155">
        <v>4</v>
      </c>
    </row>
    <row r="3208" spans="25:33">
      <c r="Y3208" s="47">
        <v>3156</v>
      </c>
      <c r="Z3208" s="52" t="s">
        <v>411</v>
      </c>
      <c r="AA3208" s="52" t="s">
        <v>247</v>
      </c>
      <c r="AB3208" s="52" t="s">
        <v>247</v>
      </c>
      <c r="AC3208" s="52">
        <v>4</v>
      </c>
      <c r="AD3208" s="52" t="s">
        <v>1</v>
      </c>
      <c r="AE3208" s="52" t="s">
        <v>373</v>
      </c>
      <c r="AF3208" s="155" t="s">
        <v>559</v>
      </c>
      <c r="AG3208" s="155">
        <v>4</v>
      </c>
    </row>
    <row r="3209" spans="25:33">
      <c r="Y3209" s="47">
        <v>3158</v>
      </c>
      <c r="Z3209" s="52" t="s">
        <v>407</v>
      </c>
      <c r="AA3209" s="52" t="s">
        <v>247</v>
      </c>
      <c r="AB3209" s="52" t="s">
        <v>247</v>
      </c>
      <c r="AC3209" s="52">
        <v>5</v>
      </c>
      <c r="AD3209" s="52" t="s">
        <v>1</v>
      </c>
      <c r="AE3209" s="52" t="s">
        <v>373</v>
      </c>
      <c r="AF3209" s="155" t="s">
        <v>559</v>
      </c>
      <c r="AG3209" s="155">
        <v>5</v>
      </c>
    </row>
    <row r="3210" spans="25:33">
      <c r="Y3210" s="47">
        <v>3159</v>
      </c>
      <c r="Z3210" s="52" t="s">
        <v>407</v>
      </c>
      <c r="AA3210" s="52" t="s">
        <v>247</v>
      </c>
      <c r="AB3210" s="52" t="s">
        <v>247</v>
      </c>
      <c r="AC3210" s="52">
        <v>4</v>
      </c>
      <c r="AD3210" s="52" t="s">
        <v>1</v>
      </c>
      <c r="AE3210" s="52" t="s">
        <v>373</v>
      </c>
      <c r="AF3210" s="155" t="s">
        <v>559</v>
      </c>
      <c r="AG3210" s="155">
        <v>4</v>
      </c>
    </row>
    <row r="3211" spans="25:33">
      <c r="Y3211" s="47">
        <v>3160</v>
      </c>
      <c r="Z3211" s="52" t="s">
        <v>407</v>
      </c>
      <c r="AA3211" s="52" t="s">
        <v>247</v>
      </c>
      <c r="AB3211" s="52" t="s">
        <v>247</v>
      </c>
      <c r="AC3211" s="52">
        <v>5</v>
      </c>
      <c r="AD3211" s="52" t="s">
        <v>1</v>
      </c>
      <c r="AE3211" s="52" t="s">
        <v>373</v>
      </c>
      <c r="AF3211" s="155" t="s">
        <v>559</v>
      </c>
      <c r="AG3211" s="155">
        <v>5</v>
      </c>
    </row>
    <row r="3212" spans="25:33">
      <c r="Y3212" s="47">
        <v>3161</v>
      </c>
      <c r="Z3212" s="52" t="s">
        <v>411</v>
      </c>
      <c r="AA3212" s="52" t="s">
        <v>247</v>
      </c>
      <c r="AB3212" s="52" t="s">
        <v>247</v>
      </c>
      <c r="AC3212" s="52">
        <v>4</v>
      </c>
      <c r="AD3212" s="52" t="s">
        <v>1</v>
      </c>
      <c r="AE3212" s="52" t="s">
        <v>373</v>
      </c>
      <c r="AF3212" s="155" t="s">
        <v>559</v>
      </c>
      <c r="AG3212" s="155">
        <v>4</v>
      </c>
    </row>
    <row r="3213" spans="25:33">
      <c r="Y3213" s="47">
        <v>3162</v>
      </c>
      <c r="Z3213" s="52" t="s">
        <v>411</v>
      </c>
      <c r="AA3213" s="52" t="s">
        <v>247</v>
      </c>
      <c r="AB3213" s="52" t="s">
        <v>247</v>
      </c>
      <c r="AC3213" s="52">
        <v>4</v>
      </c>
      <c r="AD3213" s="52" t="s">
        <v>1</v>
      </c>
      <c r="AE3213" s="52" t="s">
        <v>373</v>
      </c>
      <c r="AF3213" s="155" t="s">
        <v>559</v>
      </c>
      <c r="AG3213" s="155">
        <v>4</v>
      </c>
    </row>
    <row r="3214" spans="25:33">
      <c r="Y3214" s="47">
        <v>3163</v>
      </c>
      <c r="Z3214" s="52" t="s">
        <v>411</v>
      </c>
      <c r="AA3214" s="52" t="s">
        <v>247</v>
      </c>
      <c r="AB3214" s="52" t="s">
        <v>247</v>
      </c>
      <c r="AC3214" s="52">
        <v>4</v>
      </c>
      <c r="AD3214" s="52" t="s">
        <v>1</v>
      </c>
      <c r="AE3214" s="52" t="s">
        <v>373</v>
      </c>
      <c r="AF3214" s="155" t="s">
        <v>559</v>
      </c>
      <c r="AG3214" s="155">
        <v>4</v>
      </c>
    </row>
    <row r="3215" spans="25:33">
      <c r="Y3215" s="47">
        <v>3164</v>
      </c>
      <c r="Z3215" s="52" t="s">
        <v>411</v>
      </c>
      <c r="AA3215" s="52" t="s">
        <v>247</v>
      </c>
      <c r="AB3215" s="52" t="s">
        <v>247</v>
      </c>
      <c r="AC3215" s="52">
        <v>4</v>
      </c>
      <c r="AD3215" s="52" t="s">
        <v>1</v>
      </c>
      <c r="AE3215" s="52" t="s">
        <v>373</v>
      </c>
      <c r="AF3215" s="155" t="s">
        <v>559</v>
      </c>
      <c r="AG3215" s="155">
        <v>4</v>
      </c>
    </row>
    <row r="3216" spans="25:33">
      <c r="Y3216" s="47">
        <v>3165</v>
      </c>
      <c r="Z3216" s="52" t="s">
        <v>411</v>
      </c>
      <c r="AA3216" s="52" t="s">
        <v>247</v>
      </c>
      <c r="AB3216" s="52" t="s">
        <v>247</v>
      </c>
      <c r="AC3216" s="52">
        <v>4</v>
      </c>
      <c r="AD3216" s="52" t="s">
        <v>1</v>
      </c>
      <c r="AE3216" s="52" t="s">
        <v>373</v>
      </c>
      <c r="AF3216" s="155" t="s">
        <v>559</v>
      </c>
      <c r="AG3216" s="155">
        <v>4</v>
      </c>
    </row>
    <row r="3217" spans="25:33">
      <c r="Y3217" s="47">
        <v>3166</v>
      </c>
      <c r="Z3217" s="52" t="s">
        <v>411</v>
      </c>
      <c r="AA3217" s="52" t="s">
        <v>247</v>
      </c>
      <c r="AB3217" s="52" t="s">
        <v>247</v>
      </c>
      <c r="AC3217" s="52">
        <v>4</v>
      </c>
      <c r="AD3217" s="52" t="s">
        <v>1</v>
      </c>
      <c r="AE3217" s="52" t="s">
        <v>373</v>
      </c>
      <c r="AF3217" s="155" t="s">
        <v>559</v>
      </c>
      <c r="AG3217" s="155">
        <v>4</v>
      </c>
    </row>
    <row r="3218" spans="25:33">
      <c r="Y3218" s="47">
        <v>3167</v>
      </c>
      <c r="Z3218" s="52" t="s">
        <v>411</v>
      </c>
      <c r="AA3218" s="52" t="s">
        <v>247</v>
      </c>
      <c r="AB3218" s="52" t="s">
        <v>247</v>
      </c>
      <c r="AC3218" s="52">
        <v>4</v>
      </c>
      <c r="AD3218" s="52" t="s">
        <v>1</v>
      </c>
      <c r="AE3218" s="52" t="s">
        <v>373</v>
      </c>
      <c r="AF3218" s="155" t="s">
        <v>559</v>
      </c>
      <c r="AG3218" s="155">
        <v>4</v>
      </c>
    </row>
    <row r="3219" spans="25:33">
      <c r="Y3219" s="47">
        <v>3168</v>
      </c>
      <c r="Z3219" s="52" t="s">
        <v>411</v>
      </c>
      <c r="AA3219" s="52" t="s">
        <v>247</v>
      </c>
      <c r="AB3219" s="52" t="s">
        <v>247</v>
      </c>
      <c r="AC3219" s="52">
        <v>4</v>
      </c>
      <c r="AD3219" s="52" t="s">
        <v>1</v>
      </c>
      <c r="AE3219" s="52" t="s">
        <v>373</v>
      </c>
      <c r="AF3219" s="155" t="s">
        <v>559</v>
      </c>
      <c r="AG3219" s="155">
        <v>4</v>
      </c>
    </row>
    <row r="3220" spans="25:33">
      <c r="Y3220" s="47">
        <v>3169</v>
      </c>
      <c r="Z3220" s="52" t="s">
        <v>411</v>
      </c>
      <c r="AA3220" s="52" t="s">
        <v>247</v>
      </c>
      <c r="AB3220" s="52" t="s">
        <v>247</v>
      </c>
      <c r="AC3220" s="52">
        <v>4</v>
      </c>
      <c r="AD3220" s="52" t="s">
        <v>1</v>
      </c>
      <c r="AE3220" s="52" t="s">
        <v>373</v>
      </c>
      <c r="AF3220" s="155" t="s">
        <v>559</v>
      </c>
      <c r="AG3220" s="155">
        <v>4</v>
      </c>
    </row>
    <row r="3221" spans="25:33">
      <c r="Y3221" s="47">
        <v>3170</v>
      </c>
      <c r="Z3221" s="52" t="s">
        <v>411</v>
      </c>
      <c r="AA3221" s="52" t="s">
        <v>247</v>
      </c>
      <c r="AB3221" s="52" t="s">
        <v>247</v>
      </c>
      <c r="AC3221" s="52">
        <v>4</v>
      </c>
      <c r="AD3221" s="52" t="s">
        <v>1</v>
      </c>
      <c r="AE3221" s="52" t="s">
        <v>373</v>
      </c>
      <c r="AF3221" s="155" t="s">
        <v>559</v>
      </c>
      <c r="AG3221" s="155">
        <v>4</v>
      </c>
    </row>
    <row r="3222" spans="25:33">
      <c r="Y3222" s="47">
        <v>3171</v>
      </c>
      <c r="Z3222" s="52" t="s">
        <v>411</v>
      </c>
      <c r="AA3222" s="52" t="s">
        <v>247</v>
      </c>
      <c r="AB3222" s="52" t="s">
        <v>247</v>
      </c>
      <c r="AC3222" s="52">
        <v>4</v>
      </c>
      <c r="AD3222" s="52" t="s">
        <v>1</v>
      </c>
      <c r="AE3222" s="52" t="s">
        <v>373</v>
      </c>
      <c r="AF3222" s="155" t="s">
        <v>559</v>
      </c>
      <c r="AG3222" s="155">
        <v>4</v>
      </c>
    </row>
    <row r="3223" spans="25:33">
      <c r="Y3223" s="47">
        <v>3172</v>
      </c>
      <c r="Z3223" s="52" t="s">
        <v>411</v>
      </c>
      <c r="AA3223" s="52" t="s">
        <v>247</v>
      </c>
      <c r="AB3223" s="52" t="s">
        <v>247</v>
      </c>
      <c r="AC3223" s="52">
        <v>4</v>
      </c>
      <c r="AD3223" s="52" t="s">
        <v>1</v>
      </c>
      <c r="AE3223" s="52" t="s">
        <v>373</v>
      </c>
      <c r="AF3223" s="155" t="s">
        <v>559</v>
      </c>
      <c r="AG3223" s="155">
        <v>4</v>
      </c>
    </row>
    <row r="3224" spans="25:33">
      <c r="Y3224" s="47">
        <v>3173</v>
      </c>
      <c r="Z3224" s="52" t="s">
        <v>411</v>
      </c>
      <c r="AA3224" s="52" t="s">
        <v>247</v>
      </c>
      <c r="AB3224" s="52" t="s">
        <v>247</v>
      </c>
      <c r="AC3224" s="52">
        <v>4</v>
      </c>
      <c r="AD3224" s="52" t="s">
        <v>1</v>
      </c>
      <c r="AE3224" s="52" t="s">
        <v>373</v>
      </c>
      <c r="AF3224" s="155" t="s">
        <v>559</v>
      </c>
      <c r="AG3224" s="155">
        <v>4</v>
      </c>
    </row>
    <row r="3225" spans="25:33">
      <c r="Y3225" s="47">
        <v>3174</v>
      </c>
      <c r="Z3225" s="52" t="s">
        <v>411</v>
      </c>
      <c r="AA3225" s="52" t="s">
        <v>247</v>
      </c>
      <c r="AB3225" s="52" t="s">
        <v>247</v>
      </c>
      <c r="AC3225" s="52">
        <v>4</v>
      </c>
      <c r="AD3225" s="52" t="s">
        <v>1</v>
      </c>
      <c r="AE3225" s="52" t="s">
        <v>373</v>
      </c>
      <c r="AF3225" s="155" t="s">
        <v>559</v>
      </c>
      <c r="AG3225" s="155">
        <v>4</v>
      </c>
    </row>
    <row r="3226" spans="25:33">
      <c r="Y3226" s="47">
        <v>3175</v>
      </c>
      <c r="Z3226" s="52" t="s">
        <v>411</v>
      </c>
      <c r="AA3226" s="52" t="s">
        <v>247</v>
      </c>
      <c r="AB3226" s="52" t="s">
        <v>247</v>
      </c>
      <c r="AC3226" s="52">
        <v>4</v>
      </c>
      <c r="AD3226" s="52" t="s">
        <v>1</v>
      </c>
      <c r="AE3226" s="52" t="s">
        <v>373</v>
      </c>
      <c r="AF3226" s="155" t="s">
        <v>559</v>
      </c>
      <c r="AG3226" s="155">
        <v>4</v>
      </c>
    </row>
    <row r="3227" spans="25:33">
      <c r="Y3227" s="47">
        <v>3176</v>
      </c>
      <c r="Z3227" s="52" t="s">
        <v>411</v>
      </c>
      <c r="AA3227" s="52" t="s">
        <v>247</v>
      </c>
      <c r="AB3227" s="52" t="s">
        <v>247</v>
      </c>
      <c r="AC3227" s="52">
        <v>4</v>
      </c>
      <c r="AD3227" s="52" t="s">
        <v>1</v>
      </c>
      <c r="AE3227" s="52" t="s">
        <v>373</v>
      </c>
      <c r="AF3227" s="155" t="s">
        <v>559</v>
      </c>
      <c r="AG3227" s="155">
        <v>4</v>
      </c>
    </row>
    <row r="3228" spans="25:33">
      <c r="Y3228" s="47">
        <v>3177</v>
      </c>
      <c r="Z3228" s="52" t="s">
        <v>411</v>
      </c>
      <c r="AA3228" s="52" t="s">
        <v>247</v>
      </c>
      <c r="AB3228" s="52" t="s">
        <v>247</v>
      </c>
      <c r="AC3228" s="52">
        <v>4</v>
      </c>
      <c r="AD3228" s="52" t="s">
        <v>1</v>
      </c>
      <c r="AE3228" s="52" t="s">
        <v>373</v>
      </c>
      <c r="AF3228" s="155" t="s">
        <v>559</v>
      </c>
      <c r="AG3228" s="155">
        <v>4</v>
      </c>
    </row>
    <row r="3229" spans="25:33">
      <c r="Y3229" s="47">
        <v>3178</v>
      </c>
      <c r="Z3229" s="52" t="s">
        <v>411</v>
      </c>
      <c r="AA3229" s="52" t="s">
        <v>247</v>
      </c>
      <c r="AB3229" s="52" t="s">
        <v>247</v>
      </c>
      <c r="AC3229" s="52">
        <v>4</v>
      </c>
      <c r="AD3229" s="52" t="s">
        <v>1</v>
      </c>
      <c r="AE3229" s="52" t="s">
        <v>373</v>
      </c>
      <c r="AF3229" s="155" t="s">
        <v>559</v>
      </c>
      <c r="AG3229" s="155">
        <v>4</v>
      </c>
    </row>
    <row r="3230" spans="25:33">
      <c r="Y3230" s="47">
        <v>3179</v>
      </c>
      <c r="Z3230" s="52" t="s">
        <v>411</v>
      </c>
      <c r="AA3230" s="52" t="s">
        <v>247</v>
      </c>
      <c r="AB3230" s="52" t="s">
        <v>247</v>
      </c>
      <c r="AC3230" s="52">
        <v>4</v>
      </c>
      <c r="AD3230" s="52" t="s">
        <v>1</v>
      </c>
      <c r="AE3230" s="52" t="s">
        <v>373</v>
      </c>
      <c r="AF3230" s="155" t="s">
        <v>559</v>
      </c>
      <c r="AG3230" s="155">
        <v>4</v>
      </c>
    </row>
    <row r="3231" spans="25:33">
      <c r="Y3231" s="47">
        <v>3180</v>
      </c>
      <c r="Z3231" s="52" t="s">
        <v>411</v>
      </c>
      <c r="AA3231" s="52" t="s">
        <v>247</v>
      </c>
      <c r="AB3231" s="52" t="s">
        <v>247</v>
      </c>
      <c r="AC3231" s="52">
        <v>4</v>
      </c>
      <c r="AD3231" s="52" t="s">
        <v>1</v>
      </c>
      <c r="AE3231" s="52" t="s">
        <v>373</v>
      </c>
      <c r="AF3231" s="155" t="s">
        <v>559</v>
      </c>
      <c r="AG3231" s="155">
        <v>4</v>
      </c>
    </row>
    <row r="3232" spans="25:33">
      <c r="Y3232" s="47">
        <v>3181</v>
      </c>
      <c r="Z3232" s="52" t="s">
        <v>411</v>
      </c>
      <c r="AA3232" s="52" t="s">
        <v>247</v>
      </c>
      <c r="AB3232" s="52" t="s">
        <v>247</v>
      </c>
      <c r="AC3232" s="52">
        <v>4</v>
      </c>
      <c r="AD3232" s="52" t="s">
        <v>1</v>
      </c>
      <c r="AE3232" s="52" t="s">
        <v>373</v>
      </c>
      <c r="AF3232" s="155" t="s">
        <v>559</v>
      </c>
      <c r="AG3232" s="155">
        <v>4</v>
      </c>
    </row>
    <row r="3233" spans="25:33">
      <c r="Y3233" s="47">
        <v>3182</v>
      </c>
      <c r="Z3233" s="52" t="s">
        <v>411</v>
      </c>
      <c r="AA3233" s="52" t="s">
        <v>247</v>
      </c>
      <c r="AB3233" s="52" t="s">
        <v>247</v>
      </c>
      <c r="AC3233" s="52">
        <v>4</v>
      </c>
      <c r="AD3233" s="52" t="s">
        <v>1</v>
      </c>
      <c r="AE3233" s="52" t="s">
        <v>373</v>
      </c>
      <c r="AF3233" s="155" t="s">
        <v>559</v>
      </c>
      <c r="AG3233" s="155">
        <v>4</v>
      </c>
    </row>
    <row r="3234" spans="25:33">
      <c r="Y3234" s="47">
        <v>3183</v>
      </c>
      <c r="Z3234" s="52" t="s">
        <v>411</v>
      </c>
      <c r="AA3234" s="52" t="s">
        <v>247</v>
      </c>
      <c r="AB3234" s="52" t="s">
        <v>247</v>
      </c>
      <c r="AC3234" s="52">
        <v>4</v>
      </c>
      <c r="AD3234" s="52" t="s">
        <v>1</v>
      </c>
      <c r="AE3234" s="52" t="s">
        <v>373</v>
      </c>
      <c r="AF3234" s="155" t="s">
        <v>559</v>
      </c>
      <c r="AG3234" s="155">
        <v>4</v>
      </c>
    </row>
    <row r="3235" spans="25:33">
      <c r="Y3235" s="47">
        <v>3184</v>
      </c>
      <c r="Z3235" s="52" t="s">
        <v>411</v>
      </c>
      <c r="AA3235" s="52" t="s">
        <v>247</v>
      </c>
      <c r="AB3235" s="52" t="s">
        <v>247</v>
      </c>
      <c r="AC3235" s="52">
        <v>4</v>
      </c>
      <c r="AD3235" s="52" t="s">
        <v>1</v>
      </c>
      <c r="AE3235" s="52" t="s">
        <v>373</v>
      </c>
      <c r="AF3235" s="155" t="s">
        <v>559</v>
      </c>
      <c r="AG3235" s="155">
        <v>4</v>
      </c>
    </row>
    <row r="3236" spans="25:33">
      <c r="Y3236" s="47">
        <v>3185</v>
      </c>
      <c r="Z3236" s="52" t="s">
        <v>411</v>
      </c>
      <c r="AA3236" s="52" t="s">
        <v>247</v>
      </c>
      <c r="AB3236" s="52" t="s">
        <v>247</v>
      </c>
      <c r="AC3236" s="52">
        <v>4</v>
      </c>
      <c r="AD3236" s="52" t="s">
        <v>1</v>
      </c>
      <c r="AE3236" s="52" t="s">
        <v>373</v>
      </c>
      <c r="AF3236" s="155" t="s">
        <v>559</v>
      </c>
      <c r="AG3236" s="155">
        <v>4</v>
      </c>
    </row>
    <row r="3237" spans="25:33">
      <c r="Y3237" s="47">
        <v>3186</v>
      </c>
      <c r="Z3237" s="52" t="s">
        <v>411</v>
      </c>
      <c r="AA3237" s="52" t="s">
        <v>247</v>
      </c>
      <c r="AB3237" s="52" t="s">
        <v>247</v>
      </c>
      <c r="AC3237" s="52">
        <v>4</v>
      </c>
      <c r="AD3237" s="52" t="s">
        <v>1</v>
      </c>
      <c r="AE3237" s="52" t="s">
        <v>373</v>
      </c>
      <c r="AF3237" s="155" t="s">
        <v>559</v>
      </c>
      <c r="AG3237" s="155">
        <v>4</v>
      </c>
    </row>
    <row r="3238" spans="25:33">
      <c r="Y3238" s="47">
        <v>3187</v>
      </c>
      <c r="Z3238" s="52" t="s">
        <v>411</v>
      </c>
      <c r="AA3238" s="52" t="s">
        <v>247</v>
      </c>
      <c r="AB3238" s="52" t="s">
        <v>247</v>
      </c>
      <c r="AC3238" s="52">
        <v>4</v>
      </c>
      <c r="AD3238" s="52" t="s">
        <v>1</v>
      </c>
      <c r="AE3238" s="52" t="s">
        <v>373</v>
      </c>
      <c r="AF3238" s="155" t="s">
        <v>559</v>
      </c>
      <c r="AG3238" s="155">
        <v>4</v>
      </c>
    </row>
    <row r="3239" spans="25:33">
      <c r="Y3239" s="47">
        <v>3188</v>
      </c>
      <c r="Z3239" s="52" t="s">
        <v>411</v>
      </c>
      <c r="AA3239" s="52" t="s">
        <v>247</v>
      </c>
      <c r="AB3239" s="52" t="s">
        <v>247</v>
      </c>
      <c r="AC3239" s="52">
        <v>4</v>
      </c>
      <c r="AD3239" s="52" t="s">
        <v>1</v>
      </c>
      <c r="AE3239" s="52" t="s">
        <v>373</v>
      </c>
      <c r="AF3239" s="155" t="s">
        <v>559</v>
      </c>
      <c r="AG3239" s="155">
        <v>4</v>
      </c>
    </row>
    <row r="3240" spans="25:33">
      <c r="Y3240" s="47">
        <v>3189</v>
      </c>
      <c r="Z3240" s="52" t="s">
        <v>411</v>
      </c>
      <c r="AA3240" s="52" t="s">
        <v>247</v>
      </c>
      <c r="AB3240" s="52" t="s">
        <v>247</v>
      </c>
      <c r="AC3240" s="52">
        <v>4</v>
      </c>
      <c r="AD3240" s="52" t="s">
        <v>1</v>
      </c>
      <c r="AE3240" s="52" t="s">
        <v>373</v>
      </c>
      <c r="AF3240" s="155" t="s">
        <v>559</v>
      </c>
      <c r="AG3240" s="155">
        <v>4</v>
      </c>
    </row>
    <row r="3241" spans="25:33">
      <c r="Y3241" s="47">
        <v>3190</v>
      </c>
      <c r="Z3241" s="52" t="s">
        <v>411</v>
      </c>
      <c r="AA3241" s="52" t="s">
        <v>247</v>
      </c>
      <c r="AB3241" s="52" t="s">
        <v>247</v>
      </c>
      <c r="AC3241" s="52">
        <v>4</v>
      </c>
      <c r="AD3241" s="52" t="s">
        <v>1</v>
      </c>
      <c r="AE3241" s="52" t="s">
        <v>373</v>
      </c>
      <c r="AF3241" s="155" t="s">
        <v>559</v>
      </c>
      <c r="AG3241" s="155">
        <v>4</v>
      </c>
    </row>
    <row r="3242" spans="25:33">
      <c r="Y3242" s="47">
        <v>3191</v>
      </c>
      <c r="Z3242" s="52" t="s">
        <v>411</v>
      </c>
      <c r="AA3242" s="52" t="s">
        <v>247</v>
      </c>
      <c r="AB3242" s="52" t="s">
        <v>247</v>
      </c>
      <c r="AC3242" s="52">
        <v>4</v>
      </c>
      <c r="AD3242" s="52" t="s">
        <v>1</v>
      </c>
      <c r="AE3242" s="52" t="s">
        <v>373</v>
      </c>
      <c r="AF3242" s="155" t="s">
        <v>559</v>
      </c>
      <c r="AG3242" s="155">
        <v>4</v>
      </c>
    </row>
    <row r="3243" spans="25:33">
      <c r="Y3243" s="47">
        <v>3192</v>
      </c>
      <c r="Z3243" s="52" t="s">
        <v>411</v>
      </c>
      <c r="AA3243" s="52" t="s">
        <v>247</v>
      </c>
      <c r="AB3243" s="52" t="s">
        <v>247</v>
      </c>
      <c r="AC3243" s="52">
        <v>4</v>
      </c>
      <c r="AD3243" s="52" t="s">
        <v>1</v>
      </c>
      <c r="AE3243" s="52" t="s">
        <v>373</v>
      </c>
      <c r="AF3243" s="155" t="s">
        <v>559</v>
      </c>
      <c r="AG3243" s="155">
        <v>4</v>
      </c>
    </row>
    <row r="3244" spans="25:33">
      <c r="Y3244" s="47">
        <v>3193</v>
      </c>
      <c r="Z3244" s="52" t="s">
        <v>411</v>
      </c>
      <c r="AA3244" s="52" t="s">
        <v>247</v>
      </c>
      <c r="AB3244" s="52" t="s">
        <v>247</v>
      </c>
      <c r="AC3244" s="52">
        <v>4</v>
      </c>
      <c r="AD3244" s="52" t="s">
        <v>1</v>
      </c>
      <c r="AE3244" s="52" t="s">
        <v>373</v>
      </c>
      <c r="AF3244" s="155" t="s">
        <v>559</v>
      </c>
      <c r="AG3244" s="155">
        <v>4</v>
      </c>
    </row>
    <row r="3245" spans="25:33">
      <c r="Y3245" s="47">
        <v>3194</v>
      </c>
      <c r="Z3245" s="52" t="s">
        <v>411</v>
      </c>
      <c r="AA3245" s="52" t="s">
        <v>247</v>
      </c>
      <c r="AB3245" s="52" t="s">
        <v>247</v>
      </c>
      <c r="AC3245" s="52">
        <v>4</v>
      </c>
      <c r="AD3245" s="52" t="s">
        <v>1</v>
      </c>
      <c r="AE3245" s="52" t="s">
        <v>373</v>
      </c>
      <c r="AF3245" s="155" t="s">
        <v>559</v>
      </c>
      <c r="AG3245" s="155">
        <v>4</v>
      </c>
    </row>
    <row r="3246" spans="25:33">
      <c r="Y3246" s="47">
        <v>3195</v>
      </c>
      <c r="Z3246" s="52" t="s">
        <v>411</v>
      </c>
      <c r="AA3246" s="52" t="s">
        <v>247</v>
      </c>
      <c r="AB3246" s="52" t="s">
        <v>247</v>
      </c>
      <c r="AC3246" s="52">
        <v>4</v>
      </c>
      <c r="AD3246" s="52" t="s">
        <v>1</v>
      </c>
      <c r="AE3246" s="52" t="s">
        <v>373</v>
      </c>
      <c r="AF3246" s="155" t="s">
        <v>559</v>
      </c>
      <c r="AG3246" s="155">
        <v>4</v>
      </c>
    </row>
    <row r="3247" spans="25:33">
      <c r="Y3247" s="47">
        <v>3196</v>
      </c>
      <c r="Z3247" s="52" t="s">
        <v>411</v>
      </c>
      <c r="AA3247" s="52" t="s">
        <v>247</v>
      </c>
      <c r="AB3247" s="52" t="s">
        <v>247</v>
      </c>
      <c r="AC3247" s="52">
        <v>4</v>
      </c>
      <c r="AD3247" s="52" t="s">
        <v>1</v>
      </c>
      <c r="AE3247" s="52" t="s">
        <v>373</v>
      </c>
      <c r="AF3247" s="155" t="s">
        <v>559</v>
      </c>
      <c r="AG3247" s="155">
        <v>4</v>
      </c>
    </row>
    <row r="3248" spans="25:33">
      <c r="Y3248" s="47">
        <v>3197</v>
      </c>
      <c r="Z3248" s="52" t="s">
        <v>411</v>
      </c>
      <c r="AA3248" s="52" t="s">
        <v>247</v>
      </c>
      <c r="AB3248" s="52" t="s">
        <v>247</v>
      </c>
      <c r="AC3248" s="52">
        <v>4</v>
      </c>
      <c r="AD3248" s="52" t="s">
        <v>1</v>
      </c>
      <c r="AE3248" s="52" t="s">
        <v>373</v>
      </c>
      <c r="AF3248" s="155" t="s">
        <v>559</v>
      </c>
      <c r="AG3248" s="155">
        <v>4</v>
      </c>
    </row>
    <row r="3249" spans="25:33">
      <c r="Y3249" s="47">
        <v>3198</v>
      </c>
      <c r="Z3249" s="52" t="s">
        <v>411</v>
      </c>
      <c r="AA3249" s="52" t="s">
        <v>247</v>
      </c>
      <c r="AB3249" s="52" t="s">
        <v>247</v>
      </c>
      <c r="AC3249" s="52">
        <v>4</v>
      </c>
      <c r="AD3249" s="52" t="s">
        <v>1</v>
      </c>
      <c r="AE3249" s="52" t="s">
        <v>373</v>
      </c>
      <c r="AF3249" s="155" t="s">
        <v>559</v>
      </c>
      <c r="AG3249" s="155">
        <v>4</v>
      </c>
    </row>
    <row r="3250" spans="25:33">
      <c r="Y3250" s="47">
        <v>3199</v>
      </c>
      <c r="Z3250" s="52" t="s">
        <v>411</v>
      </c>
      <c r="AA3250" s="52" t="s">
        <v>247</v>
      </c>
      <c r="AB3250" s="52" t="s">
        <v>247</v>
      </c>
      <c r="AC3250" s="52">
        <v>4</v>
      </c>
      <c r="AD3250" s="52" t="s">
        <v>1</v>
      </c>
      <c r="AE3250" s="52" t="s">
        <v>373</v>
      </c>
      <c r="AF3250" s="155" t="s">
        <v>559</v>
      </c>
      <c r="AG3250" s="155">
        <v>4</v>
      </c>
    </row>
    <row r="3251" spans="25:33">
      <c r="Y3251" s="47">
        <v>3200</v>
      </c>
      <c r="Z3251" s="52" t="s">
        <v>411</v>
      </c>
      <c r="AA3251" s="52" t="s">
        <v>247</v>
      </c>
      <c r="AB3251" s="52" t="s">
        <v>247</v>
      </c>
      <c r="AC3251" s="52">
        <v>4</v>
      </c>
      <c r="AD3251" s="52" t="s">
        <v>1</v>
      </c>
      <c r="AE3251" s="52" t="s">
        <v>373</v>
      </c>
      <c r="AF3251" s="155" t="s">
        <v>559</v>
      </c>
      <c r="AG3251" s="155">
        <v>4</v>
      </c>
    </row>
    <row r="3252" spans="25:33">
      <c r="Y3252" s="47">
        <v>3201</v>
      </c>
      <c r="Z3252" s="52" t="s">
        <v>411</v>
      </c>
      <c r="AA3252" s="52" t="s">
        <v>247</v>
      </c>
      <c r="AB3252" s="52" t="s">
        <v>247</v>
      </c>
      <c r="AC3252" s="52">
        <v>4</v>
      </c>
      <c r="AD3252" s="52" t="s">
        <v>1</v>
      </c>
      <c r="AE3252" s="52" t="s">
        <v>373</v>
      </c>
      <c r="AF3252" s="155" t="s">
        <v>559</v>
      </c>
      <c r="AG3252" s="155">
        <v>4</v>
      </c>
    </row>
    <row r="3253" spans="25:33">
      <c r="Y3253" s="47">
        <v>3202</v>
      </c>
      <c r="Z3253" s="52" t="s">
        <v>411</v>
      </c>
      <c r="AA3253" s="52" t="s">
        <v>247</v>
      </c>
      <c r="AB3253" s="52" t="s">
        <v>247</v>
      </c>
      <c r="AC3253" s="52">
        <v>4</v>
      </c>
      <c r="AD3253" s="52" t="s">
        <v>1</v>
      </c>
      <c r="AE3253" s="52" t="s">
        <v>373</v>
      </c>
      <c r="AF3253" s="155" t="s">
        <v>559</v>
      </c>
      <c r="AG3253" s="155">
        <v>4</v>
      </c>
    </row>
    <row r="3254" spans="25:33">
      <c r="Y3254" s="47">
        <v>3203</v>
      </c>
      <c r="Z3254" s="52" t="s">
        <v>411</v>
      </c>
      <c r="AA3254" s="52" t="s">
        <v>247</v>
      </c>
      <c r="AB3254" s="52" t="s">
        <v>247</v>
      </c>
      <c r="AC3254" s="52" t="s">
        <v>247</v>
      </c>
      <c r="AD3254" s="52" t="s">
        <v>1</v>
      </c>
      <c r="AE3254" s="52" t="s">
        <v>373</v>
      </c>
      <c r="AF3254" s="155" t="s">
        <v>247</v>
      </c>
      <c r="AG3254" s="155" t="s">
        <v>247</v>
      </c>
    </row>
    <row r="3255" spans="25:33">
      <c r="Y3255" s="47">
        <v>3204</v>
      </c>
      <c r="Z3255" s="52" t="s">
        <v>411</v>
      </c>
      <c r="AA3255" s="52" t="s">
        <v>247</v>
      </c>
      <c r="AB3255" s="52" t="s">
        <v>247</v>
      </c>
      <c r="AC3255" s="52">
        <v>4</v>
      </c>
      <c r="AD3255" s="52" t="s">
        <v>1</v>
      </c>
      <c r="AE3255" s="52" t="s">
        <v>373</v>
      </c>
      <c r="AF3255" s="155" t="s">
        <v>559</v>
      </c>
      <c r="AG3255" s="155">
        <v>4</v>
      </c>
    </row>
    <row r="3256" spans="25:33">
      <c r="Y3256" s="47">
        <v>3205</v>
      </c>
      <c r="Z3256" s="52" t="s">
        <v>411</v>
      </c>
      <c r="AA3256" s="52" t="s">
        <v>247</v>
      </c>
      <c r="AB3256" s="52" t="s">
        <v>247</v>
      </c>
      <c r="AC3256" s="52">
        <v>4</v>
      </c>
      <c r="AD3256" s="52" t="s">
        <v>1</v>
      </c>
      <c r="AE3256" s="52" t="s">
        <v>373</v>
      </c>
      <c r="AF3256" s="155" t="s">
        <v>559</v>
      </c>
      <c r="AG3256" s="155">
        <v>4</v>
      </c>
    </row>
    <row r="3257" spans="25:33">
      <c r="Y3257" s="47">
        <v>3206</v>
      </c>
      <c r="Z3257" s="52" t="s">
        <v>411</v>
      </c>
      <c r="AA3257" s="52" t="s">
        <v>247</v>
      </c>
      <c r="AB3257" s="52" t="s">
        <v>247</v>
      </c>
      <c r="AC3257" s="52">
        <v>4</v>
      </c>
      <c r="AD3257" s="52" t="s">
        <v>1</v>
      </c>
      <c r="AE3257" s="52" t="s">
        <v>373</v>
      </c>
      <c r="AF3257" s="155" t="s">
        <v>559</v>
      </c>
      <c r="AG3257" s="155">
        <v>4</v>
      </c>
    </row>
    <row r="3258" spans="25:33">
      <c r="Y3258" s="47">
        <v>3207</v>
      </c>
      <c r="Z3258" s="52" t="s">
        <v>411</v>
      </c>
      <c r="AA3258" s="52" t="s">
        <v>247</v>
      </c>
      <c r="AB3258" s="52" t="s">
        <v>247</v>
      </c>
      <c r="AC3258" s="52">
        <v>4</v>
      </c>
      <c r="AD3258" s="52" t="s">
        <v>1</v>
      </c>
      <c r="AE3258" s="52" t="s">
        <v>373</v>
      </c>
      <c r="AF3258" s="155" t="s">
        <v>559</v>
      </c>
      <c r="AG3258" s="155">
        <v>4</v>
      </c>
    </row>
    <row r="3259" spans="25:33">
      <c r="Y3259" s="47">
        <v>3208</v>
      </c>
      <c r="Z3259" s="52" t="s">
        <v>411</v>
      </c>
      <c r="AA3259" s="52" t="s">
        <v>247</v>
      </c>
      <c r="AB3259" s="52" t="s">
        <v>247</v>
      </c>
      <c r="AC3259" s="52" t="s">
        <v>247</v>
      </c>
      <c r="AD3259" s="52" t="s">
        <v>1</v>
      </c>
      <c r="AE3259" s="52" t="s">
        <v>373</v>
      </c>
      <c r="AF3259" s="155" t="s">
        <v>247</v>
      </c>
      <c r="AG3259" s="155" t="s">
        <v>247</v>
      </c>
    </row>
    <row r="3260" spans="25:33">
      <c r="Y3260" s="47">
        <v>3209</v>
      </c>
      <c r="Z3260" s="52" t="s">
        <v>411</v>
      </c>
      <c r="AA3260" s="52" t="s">
        <v>247</v>
      </c>
      <c r="AB3260" s="52" t="s">
        <v>247</v>
      </c>
      <c r="AC3260" s="52" t="s">
        <v>247</v>
      </c>
      <c r="AD3260" s="52" t="s">
        <v>1</v>
      </c>
      <c r="AE3260" s="52" t="s">
        <v>373</v>
      </c>
      <c r="AF3260" s="155" t="s">
        <v>247</v>
      </c>
      <c r="AG3260" s="155" t="s">
        <v>247</v>
      </c>
    </row>
    <row r="3261" spans="25:33">
      <c r="Y3261" s="47">
        <v>3210</v>
      </c>
      <c r="Z3261" s="52" t="s">
        <v>411</v>
      </c>
      <c r="AA3261" s="52" t="s">
        <v>247</v>
      </c>
      <c r="AB3261" s="52" t="s">
        <v>247</v>
      </c>
      <c r="AC3261" s="52" t="s">
        <v>247</v>
      </c>
      <c r="AD3261" s="52" t="s">
        <v>1</v>
      </c>
      <c r="AE3261" s="52" t="s">
        <v>373</v>
      </c>
      <c r="AF3261" s="155" t="s">
        <v>247</v>
      </c>
      <c r="AG3261" s="155" t="s">
        <v>247</v>
      </c>
    </row>
    <row r="3262" spans="25:33">
      <c r="Y3262" s="47">
        <v>3211</v>
      </c>
      <c r="Z3262" s="52" t="s">
        <v>411</v>
      </c>
      <c r="AA3262" s="52" t="s">
        <v>247</v>
      </c>
      <c r="AB3262" s="52" t="s">
        <v>247</v>
      </c>
      <c r="AC3262" s="52">
        <v>4</v>
      </c>
      <c r="AD3262" s="52" t="s">
        <v>2</v>
      </c>
      <c r="AE3262" s="52" t="s">
        <v>373</v>
      </c>
      <c r="AF3262" s="155" t="s">
        <v>559</v>
      </c>
      <c r="AG3262" s="155">
        <v>4</v>
      </c>
    </row>
    <row r="3263" spans="25:33">
      <c r="Y3263" s="47">
        <v>3212</v>
      </c>
      <c r="Z3263" s="52" t="s">
        <v>411</v>
      </c>
      <c r="AA3263" s="52" t="s">
        <v>247</v>
      </c>
      <c r="AB3263" s="52" t="s">
        <v>247</v>
      </c>
      <c r="AC3263" s="52">
        <v>4</v>
      </c>
      <c r="AD3263" s="52" t="s">
        <v>2</v>
      </c>
      <c r="AE3263" s="52" t="s">
        <v>373</v>
      </c>
      <c r="AF3263" s="155" t="s">
        <v>559</v>
      </c>
      <c r="AG3263" s="155">
        <v>4</v>
      </c>
    </row>
    <row r="3264" spans="25:33">
      <c r="Y3264" s="47">
        <v>3213</v>
      </c>
      <c r="Z3264" s="52" t="s">
        <v>411</v>
      </c>
      <c r="AA3264" s="52" t="s">
        <v>247</v>
      </c>
      <c r="AB3264" s="52" t="s">
        <v>247</v>
      </c>
      <c r="AC3264" s="52">
        <v>4</v>
      </c>
      <c r="AD3264" s="52" t="s">
        <v>2</v>
      </c>
      <c r="AE3264" s="52" t="s">
        <v>373</v>
      </c>
      <c r="AF3264" s="155" t="s">
        <v>559</v>
      </c>
      <c r="AG3264" s="155">
        <v>4</v>
      </c>
    </row>
    <row r="3265" spans="25:33">
      <c r="Y3265" s="47">
        <v>3214</v>
      </c>
      <c r="Z3265" s="52" t="s">
        <v>411</v>
      </c>
      <c r="AA3265" s="52" t="s">
        <v>247</v>
      </c>
      <c r="AB3265" s="52" t="s">
        <v>247</v>
      </c>
      <c r="AC3265" s="52">
        <v>4</v>
      </c>
      <c r="AD3265" s="52" t="s">
        <v>2</v>
      </c>
      <c r="AE3265" s="52" t="s">
        <v>373</v>
      </c>
      <c r="AF3265" s="155" t="s">
        <v>559</v>
      </c>
      <c r="AG3265" s="155">
        <v>4</v>
      </c>
    </row>
    <row r="3266" spans="25:33">
      <c r="Y3266" s="47">
        <v>3215</v>
      </c>
      <c r="Z3266" s="52" t="s">
        <v>411</v>
      </c>
      <c r="AA3266" s="52" t="s">
        <v>247</v>
      </c>
      <c r="AB3266" s="52" t="s">
        <v>247</v>
      </c>
      <c r="AC3266" s="52">
        <v>4</v>
      </c>
      <c r="AD3266" s="52" t="s">
        <v>2</v>
      </c>
      <c r="AE3266" s="52" t="s">
        <v>373</v>
      </c>
      <c r="AF3266" s="155" t="s">
        <v>559</v>
      </c>
      <c r="AG3266" s="155">
        <v>4</v>
      </c>
    </row>
    <row r="3267" spans="25:33">
      <c r="Y3267" s="47">
        <v>3216</v>
      </c>
      <c r="Z3267" s="52" t="s">
        <v>411</v>
      </c>
      <c r="AA3267" s="52" t="s">
        <v>247</v>
      </c>
      <c r="AB3267" s="52" t="s">
        <v>247</v>
      </c>
      <c r="AC3267" s="52">
        <v>4</v>
      </c>
      <c r="AD3267" s="52" t="s">
        <v>2</v>
      </c>
      <c r="AE3267" s="52" t="s">
        <v>373</v>
      </c>
      <c r="AF3267" s="155" t="s">
        <v>559</v>
      </c>
      <c r="AG3267" s="155">
        <v>4</v>
      </c>
    </row>
    <row r="3268" spans="25:33">
      <c r="Y3268" s="47">
        <v>3217</v>
      </c>
      <c r="Z3268" s="52" t="s">
        <v>411</v>
      </c>
      <c r="AA3268" s="52" t="s">
        <v>247</v>
      </c>
      <c r="AB3268" s="52" t="s">
        <v>247</v>
      </c>
      <c r="AC3268" s="52">
        <v>4</v>
      </c>
      <c r="AD3268" s="52" t="s">
        <v>2</v>
      </c>
      <c r="AE3268" s="52" t="s">
        <v>373</v>
      </c>
      <c r="AF3268" s="155" t="s">
        <v>559</v>
      </c>
      <c r="AG3268" s="155">
        <v>4</v>
      </c>
    </row>
    <row r="3269" spans="25:33">
      <c r="Y3269" s="47">
        <v>3218</v>
      </c>
      <c r="Z3269" s="52" t="s">
        <v>411</v>
      </c>
      <c r="AA3269" s="52" t="s">
        <v>247</v>
      </c>
      <c r="AB3269" s="52" t="s">
        <v>247</v>
      </c>
      <c r="AC3269" s="52">
        <v>4</v>
      </c>
      <c r="AD3269" s="52" t="s">
        <v>2</v>
      </c>
      <c r="AE3269" s="52" t="s">
        <v>373</v>
      </c>
      <c r="AF3269" s="155" t="s">
        <v>559</v>
      </c>
      <c r="AG3269" s="155">
        <v>4</v>
      </c>
    </row>
    <row r="3270" spans="25:33">
      <c r="Y3270" s="47">
        <v>3219</v>
      </c>
      <c r="Z3270" s="52" t="s">
        <v>411</v>
      </c>
      <c r="AA3270" s="52" t="s">
        <v>247</v>
      </c>
      <c r="AB3270" s="52" t="s">
        <v>247</v>
      </c>
      <c r="AC3270" s="52">
        <v>4</v>
      </c>
      <c r="AD3270" s="52" t="s">
        <v>2</v>
      </c>
      <c r="AE3270" s="52" t="s">
        <v>373</v>
      </c>
      <c r="AF3270" s="155" t="s">
        <v>559</v>
      </c>
      <c r="AG3270" s="155">
        <v>4</v>
      </c>
    </row>
    <row r="3271" spans="25:33">
      <c r="Y3271" s="47">
        <v>3220</v>
      </c>
      <c r="Z3271" s="52" t="s">
        <v>411</v>
      </c>
      <c r="AA3271" s="52" t="s">
        <v>247</v>
      </c>
      <c r="AB3271" s="52" t="s">
        <v>247</v>
      </c>
      <c r="AC3271" s="52">
        <v>4</v>
      </c>
      <c r="AD3271" s="52" t="s">
        <v>2</v>
      </c>
      <c r="AE3271" s="52" t="s">
        <v>373</v>
      </c>
      <c r="AF3271" s="155" t="s">
        <v>559</v>
      </c>
      <c r="AG3271" s="155">
        <v>4</v>
      </c>
    </row>
    <row r="3272" spans="25:33">
      <c r="Y3272" s="47">
        <v>3221</v>
      </c>
      <c r="Z3272" s="52" t="s">
        <v>411</v>
      </c>
      <c r="AA3272" s="52" t="s">
        <v>247</v>
      </c>
      <c r="AB3272" s="52" t="s">
        <v>247</v>
      </c>
      <c r="AC3272" s="52">
        <v>4</v>
      </c>
      <c r="AD3272" s="52" t="s">
        <v>2</v>
      </c>
      <c r="AE3272" s="52" t="s">
        <v>373</v>
      </c>
      <c r="AF3272" s="155" t="s">
        <v>559</v>
      </c>
      <c r="AG3272" s="155">
        <v>4</v>
      </c>
    </row>
    <row r="3273" spans="25:33">
      <c r="Y3273" s="47">
        <v>3222</v>
      </c>
      <c r="Z3273" s="52" t="s">
        <v>411</v>
      </c>
      <c r="AA3273" s="52" t="s">
        <v>247</v>
      </c>
      <c r="AB3273" s="52" t="s">
        <v>247</v>
      </c>
      <c r="AC3273" s="52">
        <v>4</v>
      </c>
      <c r="AD3273" s="52" t="s">
        <v>2</v>
      </c>
      <c r="AE3273" s="52" t="s">
        <v>373</v>
      </c>
      <c r="AF3273" s="155" t="s">
        <v>559</v>
      </c>
      <c r="AG3273" s="155">
        <v>4</v>
      </c>
    </row>
    <row r="3274" spans="25:33">
      <c r="Y3274" s="47">
        <v>3223</v>
      </c>
      <c r="Z3274" s="52" t="s">
        <v>411</v>
      </c>
      <c r="AA3274" s="52" t="s">
        <v>247</v>
      </c>
      <c r="AB3274" s="52" t="s">
        <v>247</v>
      </c>
      <c r="AC3274" s="52">
        <v>4</v>
      </c>
      <c r="AD3274" s="52" t="s">
        <v>2</v>
      </c>
      <c r="AE3274" s="52" t="s">
        <v>373</v>
      </c>
      <c r="AF3274" s="155" t="s">
        <v>559</v>
      </c>
      <c r="AG3274" s="155">
        <v>4</v>
      </c>
    </row>
    <row r="3275" spans="25:33">
      <c r="Y3275" s="47">
        <v>3224</v>
      </c>
      <c r="Z3275" s="52" t="s">
        <v>411</v>
      </c>
      <c r="AA3275" s="52" t="s">
        <v>247</v>
      </c>
      <c r="AB3275" s="52" t="s">
        <v>247</v>
      </c>
      <c r="AC3275" s="52">
        <v>4</v>
      </c>
      <c r="AD3275" s="52" t="s">
        <v>2</v>
      </c>
      <c r="AE3275" s="52" t="s">
        <v>373</v>
      </c>
      <c r="AF3275" s="155" t="s">
        <v>559</v>
      </c>
      <c r="AG3275" s="155">
        <v>4</v>
      </c>
    </row>
    <row r="3276" spans="25:33">
      <c r="Y3276" s="47">
        <v>3225</v>
      </c>
      <c r="Z3276" s="52" t="s">
        <v>411</v>
      </c>
      <c r="AA3276" s="52" t="s">
        <v>247</v>
      </c>
      <c r="AB3276" s="52" t="s">
        <v>247</v>
      </c>
      <c r="AC3276" s="52">
        <v>4</v>
      </c>
      <c r="AD3276" s="52" t="s">
        <v>2</v>
      </c>
      <c r="AE3276" s="52" t="s">
        <v>373</v>
      </c>
      <c r="AF3276" s="155" t="s">
        <v>559</v>
      </c>
      <c r="AG3276" s="155">
        <v>4</v>
      </c>
    </row>
    <row r="3277" spans="25:33">
      <c r="Y3277" s="47">
        <v>3226</v>
      </c>
      <c r="Z3277" s="52" t="s">
        <v>411</v>
      </c>
      <c r="AA3277" s="52" t="s">
        <v>247</v>
      </c>
      <c r="AB3277" s="52" t="s">
        <v>247</v>
      </c>
      <c r="AC3277" s="52">
        <v>4</v>
      </c>
      <c r="AD3277" s="52" t="s">
        <v>2</v>
      </c>
      <c r="AE3277" s="52" t="s">
        <v>373</v>
      </c>
      <c r="AF3277" s="155" t="s">
        <v>559</v>
      </c>
      <c r="AG3277" s="155">
        <v>4</v>
      </c>
    </row>
    <row r="3278" spans="25:33">
      <c r="Y3278" s="47">
        <v>3227</v>
      </c>
      <c r="Z3278" s="52" t="s">
        <v>411</v>
      </c>
      <c r="AA3278" s="52" t="s">
        <v>247</v>
      </c>
      <c r="AB3278" s="52" t="s">
        <v>247</v>
      </c>
      <c r="AC3278" s="52">
        <v>4</v>
      </c>
      <c r="AD3278" s="52" t="s">
        <v>2</v>
      </c>
      <c r="AE3278" s="52" t="s">
        <v>373</v>
      </c>
      <c r="AF3278" s="155" t="s">
        <v>559</v>
      </c>
      <c r="AG3278" s="155">
        <v>4</v>
      </c>
    </row>
    <row r="3279" spans="25:33">
      <c r="Y3279" s="47">
        <v>3228</v>
      </c>
      <c r="Z3279" s="52" t="s">
        <v>411</v>
      </c>
      <c r="AA3279" s="52" t="s">
        <v>247</v>
      </c>
      <c r="AB3279" s="52" t="s">
        <v>247</v>
      </c>
      <c r="AC3279" s="52">
        <v>4</v>
      </c>
      <c r="AD3279" s="52" t="s">
        <v>2</v>
      </c>
      <c r="AE3279" s="52" t="s">
        <v>373</v>
      </c>
      <c r="AF3279" s="155" t="s">
        <v>559</v>
      </c>
      <c r="AG3279" s="155">
        <v>4</v>
      </c>
    </row>
    <row r="3280" spans="25:33">
      <c r="Y3280" s="47">
        <v>3229</v>
      </c>
      <c r="Z3280" s="52" t="s">
        <v>411</v>
      </c>
      <c r="AA3280" s="52" t="s">
        <v>247</v>
      </c>
      <c r="AB3280" s="52" t="s">
        <v>247</v>
      </c>
      <c r="AC3280" s="52" t="s">
        <v>247</v>
      </c>
      <c r="AD3280" s="52" t="s">
        <v>1</v>
      </c>
      <c r="AE3280" s="52" t="s">
        <v>373</v>
      </c>
      <c r="AF3280" s="155" t="s">
        <v>247</v>
      </c>
      <c r="AG3280" s="155" t="s">
        <v>247</v>
      </c>
    </row>
    <row r="3281" spans="25:33">
      <c r="Y3281" s="47">
        <v>3230</v>
      </c>
      <c r="Z3281" s="52" t="s">
        <v>411</v>
      </c>
      <c r="AA3281" s="52" t="s">
        <v>247</v>
      </c>
      <c r="AB3281" s="52" t="s">
        <v>247</v>
      </c>
      <c r="AC3281" s="52">
        <v>4</v>
      </c>
      <c r="AD3281" s="52" t="s">
        <v>2</v>
      </c>
      <c r="AE3281" s="52" t="s">
        <v>373</v>
      </c>
      <c r="AF3281" s="155" t="s">
        <v>559</v>
      </c>
      <c r="AG3281" s="155">
        <v>4</v>
      </c>
    </row>
    <row r="3282" spans="25:33">
      <c r="Y3282" s="47">
        <v>3231</v>
      </c>
      <c r="Z3282" s="52" t="s">
        <v>411</v>
      </c>
      <c r="AA3282" s="52" t="s">
        <v>247</v>
      </c>
      <c r="AB3282" s="52" t="s">
        <v>247</v>
      </c>
      <c r="AC3282" s="52">
        <v>4</v>
      </c>
      <c r="AD3282" s="52" t="s">
        <v>2</v>
      </c>
      <c r="AE3282" s="52" t="s">
        <v>373</v>
      </c>
      <c r="AF3282" s="155" t="s">
        <v>559</v>
      </c>
      <c r="AG3282" s="155">
        <v>4</v>
      </c>
    </row>
    <row r="3283" spans="25:33">
      <c r="Y3283" s="47">
        <v>3232</v>
      </c>
      <c r="Z3283" s="52" t="s">
        <v>411</v>
      </c>
      <c r="AA3283" s="52" t="s">
        <v>247</v>
      </c>
      <c r="AB3283" s="52" t="s">
        <v>247</v>
      </c>
      <c r="AC3283" s="52">
        <v>4</v>
      </c>
      <c r="AD3283" s="52" t="s">
        <v>2</v>
      </c>
      <c r="AE3283" s="52" t="s">
        <v>373</v>
      </c>
      <c r="AF3283" s="155" t="s">
        <v>559</v>
      </c>
      <c r="AG3283" s="155">
        <v>4</v>
      </c>
    </row>
    <row r="3284" spans="25:33">
      <c r="Y3284" s="47">
        <v>3233</v>
      </c>
      <c r="Z3284" s="52" t="s">
        <v>411</v>
      </c>
      <c r="AA3284" s="52" t="s">
        <v>247</v>
      </c>
      <c r="AB3284" s="52" t="s">
        <v>247</v>
      </c>
      <c r="AC3284" s="52">
        <v>4</v>
      </c>
      <c r="AD3284" s="52" t="s">
        <v>2</v>
      </c>
      <c r="AE3284" s="52" t="s">
        <v>373</v>
      </c>
      <c r="AF3284" s="155" t="s">
        <v>559</v>
      </c>
      <c r="AG3284" s="155">
        <v>4</v>
      </c>
    </row>
    <row r="3285" spans="25:33">
      <c r="Y3285" s="47">
        <v>3234</v>
      </c>
      <c r="Z3285" s="52" t="s">
        <v>411</v>
      </c>
      <c r="AA3285" s="52" t="s">
        <v>247</v>
      </c>
      <c r="AB3285" s="52" t="s">
        <v>247</v>
      </c>
      <c r="AC3285" s="52">
        <v>4</v>
      </c>
      <c r="AD3285" s="52" t="s">
        <v>2</v>
      </c>
      <c r="AE3285" s="52" t="s">
        <v>373</v>
      </c>
      <c r="AF3285" s="155" t="s">
        <v>559</v>
      </c>
      <c r="AG3285" s="155">
        <v>4</v>
      </c>
    </row>
    <row r="3286" spans="25:33">
      <c r="Y3286" s="47">
        <v>3235</v>
      </c>
      <c r="Z3286" s="52" t="s">
        <v>411</v>
      </c>
      <c r="AA3286" s="52" t="s">
        <v>247</v>
      </c>
      <c r="AB3286" s="52" t="s">
        <v>247</v>
      </c>
      <c r="AC3286" s="52">
        <v>4</v>
      </c>
      <c r="AD3286" s="52" t="s">
        <v>2</v>
      </c>
      <c r="AE3286" s="52" t="s">
        <v>373</v>
      </c>
      <c r="AF3286" s="155" t="s">
        <v>559</v>
      </c>
      <c r="AG3286" s="155">
        <v>4</v>
      </c>
    </row>
    <row r="3287" spans="25:33">
      <c r="Y3287" s="47">
        <v>3236</v>
      </c>
      <c r="Z3287" s="52" t="s">
        <v>411</v>
      </c>
      <c r="AA3287" s="52" t="s">
        <v>247</v>
      </c>
      <c r="AB3287" s="52" t="s">
        <v>247</v>
      </c>
      <c r="AC3287" s="52">
        <v>4</v>
      </c>
      <c r="AD3287" s="52" t="s">
        <v>2</v>
      </c>
      <c r="AE3287" s="52" t="s">
        <v>373</v>
      </c>
      <c r="AF3287" s="155" t="s">
        <v>559</v>
      </c>
      <c r="AG3287" s="155">
        <v>4</v>
      </c>
    </row>
    <row r="3288" spans="25:33">
      <c r="Y3288" s="47">
        <v>3237</v>
      </c>
      <c r="Z3288" s="52" t="s">
        <v>411</v>
      </c>
      <c r="AA3288" s="52" t="s">
        <v>247</v>
      </c>
      <c r="AB3288" s="52" t="s">
        <v>247</v>
      </c>
      <c r="AC3288" s="52">
        <v>4</v>
      </c>
      <c r="AD3288" s="52" t="s">
        <v>2</v>
      </c>
      <c r="AE3288" s="52" t="s">
        <v>373</v>
      </c>
      <c r="AF3288" s="155" t="s">
        <v>559</v>
      </c>
      <c r="AG3288" s="155">
        <v>4</v>
      </c>
    </row>
    <row r="3289" spans="25:33">
      <c r="Y3289" s="47">
        <v>3238</v>
      </c>
      <c r="Z3289" s="52" t="s">
        <v>411</v>
      </c>
      <c r="AA3289" s="52" t="s">
        <v>247</v>
      </c>
      <c r="AB3289" s="52" t="s">
        <v>247</v>
      </c>
      <c r="AC3289" s="52">
        <v>4</v>
      </c>
      <c r="AD3289" s="52" t="s">
        <v>2</v>
      </c>
      <c r="AE3289" s="52" t="s">
        <v>373</v>
      </c>
      <c r="AF3289" s="155" t="s">
        <v>559</v>
      </c>
      <c r="AG3289" s="155">
        <v>4</v>
      </c>
    </row>
    <row r="3290" spans="25:33">
      <c r="Y3290" s="47">
        <v>3239</v>
      </c>
      <c r="Z3290" s="52" t="s">
        <v>411</v>
      </c>
      <c r="AA3290" s="52" t="s">
        <v>247</v>
      </c>
      <c r="AB3290" s="52" t="s">
        <v>247</v>
      </c>
      <c r="AC3290" s="52">
        <v>4</v>
      </c>
      <c r="AD3290" s="52" t="s">
        <v>2</v>
      </c>
      <c r="AE3290" s="52" t="s">
        <v>373</v>
      </c>
      <c r="AF3290" s="155" t="s">
        <v>559</v>
      </c>
      <c r="AG3290" s="155">
        <v>4</v>
      </c>
    </row>
    <row r="3291" spans="25:33">
      <c r="Y3291" s="47">
        <v>3240</v>
      </c>
      <c r="Z3291" s="52" t="s">
        <v>411</v>
      </c>
      <c r="AA3291" s="52" t="s">
        <v>247</v>
      </c>
      <c r="AB3291" s="52" t="s">
        <v>247</v>
      </c>
      <c r="AC3291" s="52">
        <v>4</v>
      </c>
      <c r="AD3291" s="52" t="s">
        <v>2</v>
      </c>
      <c r="AE3291" s="52" t="s">
        <v>373</v>
      </c>
      <c r="AF3291" s="155" t="s">
        <v>559</v>
      </c>
      <c r="AG3291" s="155">
        <v>4</v>
      </c>
    </row>
    <row r="3292" spans="25:33">
      <c r="Y3292" s="47">
        <v>3241</v>
      </c>
      <c r="Z3292" s="52" t="s">
        <v>411</v>
      </c>
      <c r="AA3292" s="52" t="s">
        <v>247</v>
      </c>
      <c r="AB3292" s="52" t="s">
        <v>247</v>
      </c>
      <c r="AC3292" s="52">
        <v>4</v>
      </c>
      <c r="AD3292" s="52" t="s">
        <v>2</v>
      </c>
      <c r="AE3292" s="52" t="s">
        <v>373</v>
      </c>
      <c r="AF3292" s="155" t="s">
        <v>559</v>
      </c>
      <c r="AG3292" s="155">
        <v>4</v>
      </c>
    </row>
    <row r="3293" spans="25:33">
      <c r="Y3293" s="47">
        <v>3242</v>
      </c>
      <c r="Z3293" s="52" t="s">
        <v>411</v>
      </c>
      <c r="AA3293" s="52" t="s">
        <v>247</v>
      </c>
      <c r="AB3293" s="52" t="s">
        <v>247</v>
      </c>
      <c r="AC3293" s="52">
        <v>4</v>
      </c>
      <c r="AD3293" s="52" t="s">
        <v>2</v>
      </c>
      <c r="AE3293" s="52" t="s">
        <v>373</v>
      </c>
      <c r="AF3293" s="155" t="s">
        <v>559</v>
      </c>
      <c r="AG3293" s="155">
        <v>4</v>
      </c>
    </row>
    <row r="3294" spans="25:33">
      <c r="Y3294" s="47">
        <v>3243</v>
      </c>
      <c r="Z3294" s="52" t="s">
        <v>411</v>
      </c>
      <c r="AA3294" s="52" t="s">
        <v>247</v>
      </c>
      <c r="AB3294" s="52" t="s">
        <v>247</v>
      </c>
      <c r="AC3294" s="52">
        <v>4</v>
      </c>
      <c r="AD3294" s="52" t="s">
        <v>2</v>
      </c>
      <c r="AE3294" s="52" t="s">
        <v>373</v>
      </c>
      <c r="AF3294" s="155" t="s">
        <v>559</v>
      </c>
      <c r="AG3294" s="155">
        <v>4</v>
      </c>
    </row>
    <row r="3295" spans="25:33">
      <c r="Y3295" s="47">
        <v>3244</v>
      </c>
      <c r="Z3295" s="52" t="s">
        <v>411</v>
      </c>
      <c r="AA3295" s="52" t="s">
        <v>247</v>
      </c>
      <c r="AB3295" s="52" t="s">
        <v>247</v>
      </c>
      <c r="AC3295" s="52" t="s">
        <v>247</v>
      </c>
      <c r="AD3295" s="52" t="s">
        <v>1</v>
      </c>
      <c r="AE3295" s="52" t="s">
        <v>373</v>
      </c>
      <c r="AF3295" s="155" t="s">
        <v>247</v>
      </c>
      <c r="AG3295" s="155" t="s">
        <v>247</v>
      </c>
    </row>
    <row r="3296" spans="25:33">
      <c r="Y3296" s="47">
        <v>3245</v>
      </c>
      <c r="Z3296" s="52" t="s">
        <v>411</v>
      </c>
      <c r="AA3296" s="52" t="s">
        <v>247</v>
      </c>
      <c r="AB3296" s="52" t="s">
        <v>247</v>
      </c>
      <c r="AC3296" s="52" t="s">
        <v>247</v>
      </c>
      <c r="AD3296" s="52" t="s">
        <v>1</v>
      </c>
      <c r="AE3296" s="52" t="s">
        <v>373</v>
      </c>
      <c r="AF3296" s="155" t="s">
        <v>247</v>
      </c>
      <c r="AG3296" s="155" t="s">
        <v>247</v>
      </c>
    </row>
    <row r="3297" spans="25:33">
      <c r="Y3297" s="47">
        <v>3246</v>
      </c>
      <c r="Z3297" s="52" t="s">
        <v>411</v>
      </c>
      <c r="AA3297" s="52" t="s">
        <v>247</v>
      </c>
      <c r="AB3297" s="52" t="s">
        <v>247</v>
      </c>
      <c r="AC3297" s="52" t="s">
        <v>247</v>
      </c>
      <c r="AD3297" s="52" t="s">
        <v>1</v>
      </c>
      <c r="AE3297" s="52" t="s">
        <v>373</v>
      </c>
      <c r="AF3297" s="155" t="s">
        <v>247</v>
      </c>
      <c r="AG3297" s="155" t="s">
        <v>247</v>
      </c>
    </row>
    <row r="3298" spans="25:33">
      <c r="Y3298" s="47">
        <v>3247</v>
      </c>
      <c r="Z3298" s="52" t="s">
        <v>411</v>
      </c>
      <c r="AA3298" s="52" t="s">
        <v>247</v>
      </c>
      <c r="AB3298" s="52" t="s">
        <v>247</v>
      </c>
      <c r="AC3298" s="52" t="s">
        <v>247</v>
      </c>
      <c r="AD3298" s="52" t="s">
        <v>1</v>
      </c>
      <c r="AE3298" s="52" t="s">
        <v>373</v>
      </c>
      <c r="AF3298" s="155" t="s">
        <v>247</v>
      </c>
      <c r="AG3298" s="155" t="s">
        <v>247</v>
      </c>
    </row>
    <row r="3299" spans="25:33">
      <c r="Y3299" s="47">
        <v>3248</v>
      </c>
      <c r="Z3299" s="52" t="s">
        <v>411</v>
      </c>
      <c r="AA3299" s="52" t="s">
        <v>247</v>
      </c>
      <c r="AB3299" s="52" t="s">
        <v>247</v>
      </c>
      <c r="AC3299" s="52" t="s">
        <v>247</v>
      </c>
      <c r="AD3299" s="52" t="s">
        <v>1</v>
      </c>
      <c r="AE3299" s="52" t="s">
        <v>373</v>
      </c>
      <c r="AF3299" s="155" t="s">
        <v>247</v>
      </c>
      <c r="AG3299" s="155" t="s">
        <v>247</v>
      </c>
    </row>
    <row r="3300" spans="25:33">
      <c r="Y3300" s="47">
        <v>3249</v>
      </c>
      <c r="Z3300" s="52" t="s">
        <v>411</v>
      </c>
      <c r="AA3300" s="52" t="s">
        <v>247</v>
      </c>
      <c r="AB3300" s="52" t="s">
        <v>247</v>
      </c>
      <c r="AC3300" s="52">
        <v>4</v>
      </c>
      <c r="AD3300" s="52" t="s">
        <v>2</v>
      </c>
      <c r="AE3300" s="52" t="s">
        <v>373</v>
      </c>
      <c r="AF3300" s="155" t="s">
        <v>559</v>
      </c>
      <c r="AG3300" s="155">
        <v>4</v>
      </c>
    </row>
    <row r="3301" spans="25:33">
      <c r="Y3301" s="47">
        <v>3250</v>
      </c>
      <c r="Z3301" s="52" t="s">
        <v>411</v>
      </c>
      <c r="AA3301" s="52" t="s">
        <v>247</v>
      </c>
      <c r="AB3301" s="52" t="s">
        <v>247</v>
      </c>
      <c r="AC3301" s="52">
        <v>4</v>
      </c>
      <c r="AD3301" s="52" t="s">
        <v>2</v>
      </c>
      <c r="AE3301" s="52" t="s">
        <v>373</v>
      </c>
      <c r="AF3301" s="155" t="s">
        <v>559</v>
      </c>
      <c r="AG3301" s="155">
        <v>4</v>
      </c>
    </row>
    <row r="3302" spans="25:33">
      <c r="Y3302" s="47">
        <v>3251</v>
      </c>
      <c r="Z3302" s="52" t="s">
        <v>411</v>
      </c>
      <c r="AA3302" s="52" t="s">
        <v>247</v>
      </c>
      <c r="AB3302" s="52" t="s">
        <v>247</v>
      </c>
      <c r="AC3302" s="52">
        <v>4</v>
      </c>
      <c r="AD3302" s="52" t="s">
        <v>2</v>
      </c>
      <c r="AE3302" s="52" t="s">
        <v>373</v>
      </c>
      <c r="AF3302" s="155" t="s">
        <v>559</v>
      </c>
      <c r="AG3302" s="155">
        <v>4</v>
      </c>
    </row>
    <row r="3303" spans="25:33">
      <c r="Y3303" s="47">
        <v>3252</v>
      </c>
      <c r="Z3303" s="52" t="s">
        <v>411</v>
      </c>
      <c r="AA3303" s="52" t="s">
        <v>247</v>
      </c>
      <c r="AB3303" s="52" t="s">
        <v>247</v>
      </c>
      <c r="AC3303" s="52" t="s">
        <v>247</v>
      </c>
      <c r="AD3303" s="52" t="s">
        <v>1</v>
      </c>
      <c r="AE3303" s="52" t="s">
        <v>373</v>
      </c>
      <c r="AF3303" s="155" t="s">
        <v>247</v>
      </c>
      <c r="AG3303" s="155" t="s">
        <v>247</v>
      </c>
    </row>
    <row r="3304" spans="25:33">
      <c r="Y3304" s="47">
        <v>3253</v>
      </c>
      <c r="Z3304" s="52" t="s">
        <v>411</v>
      </c>
      <c r="AA3304" s="52" t="s">
        <v>247</v>
      </c>
      <c r="AB3304" s="52" t="s">
        <v>247</v>
      </c>
      <c r="AC3304" s="52" t="s">
        <v>247</v>
      </c>
      <c r="AD3304" s="52" t="s">
        <v>1</v>
      </c>
      <c r="AE3304" s="52" t="s">
        <v>373</v>
      </c>
      <c r="AF3304" s="155" t="s">
        <v>247</v>
      </c>
      <c r="AG3304" s="155" t="s">
        <v>247</v>
      </c>
    </row>
    <row r="3305" spans="25:33">
      <c r="Y3305" s="47">
        <v>3254</v>
      </c>
      <c r="Z3305" s="52" t="s">
        <v>411</v>
      </c>
      <c r="AA3305" s="52" t="s">
        <v>247</v>
      </c>
      <c r="AB3305" s="52" t="s">
        <v>247</v>
      </c>
      <c r="AC3305" s="52">
        <v>4</v>
      </c>
      <c r="AD3305" s="52" t="s">
        <v>2</v>
      </c>
      <c r="AE3305" s="52" t="s">
        <v>373</v>
      </c>
      <c r="AF3305" s="155" t="s">
        <v>559</v>
      </c>
      <c r="AG3305" s="155">
        <v>4</v>
      </c>
    </row>
    <row r="3306" spans="25:33">
      <c r="Y3306" s="47">
        <v>3255</v>
      </c>
      <c r="Z3306" s="52" t="s">
        <v>411</v>
      </c>
      <c r="AA3306" s="52" t="s">
        <v>247</v>
      </c>
      <c r="AB3306" s="52" t="s">
        <v>247</v>
      </c>
      <c r="AC3306" s="52" t="s">
        <v>247</v>
      </c>
      <c r="AD3306" s="52" t="s">
        <v>1</v>
      </c>
      <c r="AE3306" s="52" t="s">
        <v>373</v>
      </c>
      <c r="AF3306" s="155" t="s">
        <v>247</v>
      </c>
      <c r="AG3306" s="155" t="s">
        <v>247</v>
      </c>
    </row>
    <row r="3307" spans="25:33">
      <c r="Y3307" s="47">
        <v>3256</v>
      </c>
      <c r="Z3307" s="52" t="s">
        <v>411</v>
      </c>
      <c r="AA3307" s="52" t="s">
        <v>247</v>
      </c>
      <c r="AB3307" s="52" t="s">
        <v>247</v>
      </c>
      <c r="AC3307" s="52" t="s">
        <v>247</v>
      </c>
      <c r="AD3307" s="52" t="s">
        <v>1</v>
      </c>
      <c r="AE3307" s="52" t="s">
        <v>373</v>
      </c>
      <c r="AF3307" s="155" t="s">
        <v>247</v>
      </c>
      <c r="AG3307" s="155" t="s">
        <v>247</v>
      </c>
    </row>
    <row r="3308" spans="25:33">
      <c r="Y3308" s="47">
        <v>3257</v>
      </c>
      <c r="Z3308" s="52" t="s">
        <v>411</v>
      </c>
      <c r="AA3308" s="52" t="s">
        <v>247</v>
      </c>
      <c r="AB3308" s="52" t="s">
        <v>247</v>
      </c>
      <c r="AC3308" s="52" t="s">
        <v>247</v>
      </c>
      <c r="AD3308" s="52" t="s">
        <v>1</v>
      </c>
      <c r="AE3308" s="52" t="s">
        <v>373</v>
      </c>
      <c r="AF3308" s="155" t="s">
        <v>247</v>
      </c>
      <c r="AG3308" s="155" t="s">
        <v>247</v>
      </c>
    </row>
    <row r="3309" spans="25:33">
      <c r="Y3309" s="47">
        <v>3258</v>
      </c>
      <c r="Z3309" s="52" t="s">
        <v>411</v>
      </c>
      <c r="AA3309" s="52" t="s">
        <v>247</v>
      </c>
      <c r="AB3309" s="52" t="s">
        <v>247</v>
      </c>
      <c r="AC3309" s="52" t="s">
        <v>247</v>
      </c>
      <c r="AD3309" s="52" t="s">
        <v>1</v>
      </c>
      <c r="AE3309" s="52" t="s">
        <v>373</v>
      </c>
      <c r="AF3309" s="155" t="s">
        <v>247</v>
      </c>
      <c r="AG3309" s="155" t="s">
        <v>247</v>
      </c>
    </row>
    <row r="3310" spans="25:33">
      <c r="Y3310" s="47">
        <v>3259</v>
      </c>
      <c r="Z3310" s="52" t="s">
        <v>411</v>
      </c>
      <c r="AA3310" s="52" t="s">
        <v>247</v>
      </c>
      <c r="AB3310" s="52" t="s">
        <v>247</v>
      </c>
      <c r="AC3310" s="52" t="s">
        <v>247</v>
      </c>
      <c r="AD3310" s="52" t="s">
        <v>1</v>
      </c>
      <c r="AE3310" s="52" t="s">
        <v>373</v>
      </c>
      <c r="AF3310" s="155" t="s">
        <v>247</v>
      </c>
      <c r="AG3310" s="155" t="s">
        <v>247</v>
      </c>
    </row>
    <row r="3311" spans="25:33">
      <c r="Y3311" s="47">
        <v>3260</v>
      </c>
      <c r="Z3311" s="52" t="s">
        <v>411</v>
      </c>
      <c r="AA3311" s="52" t="s">
        <v>247</v>
      </c>
      <c r="AB3311" s="52" t="s">
        <v>247</v>
      </c>
      <c r="AC3311" s="52">
        <v>4</v>
      </c>
      <c r="AD3311" s="52" t="s">
        <v>2</v>
      </c>
      <c r="AE3311" s="52" t="s">
        <v>373</v>
      </c>
      <c r="AF3311" s="155" t="s">
        <v>559</v>
      </c>
      <c r="AG3311" s="155">
        <v>4</v>
      </c>
    </row>
    <row r="3312" spans="25:33">
      <c r="Y3312" s="47">
        <v>3261</v>
      </c>
      <c r="Z3312" s="52" t="s">
        <v>411</v>
      </c>
      <c r="AA3312" s="52" t="s">
        <v>247</v>
      </c>
      <c r="AB3312" s="52" t="s">
        <v>247</v>
      </c>
      <c r="AC3312" s="52" t="s">
        <v>247</v>
      </c>
      <c r="AD3312" s="52" t="s">
        <v>1</v>
      </c>
      <c r="AE3312" s="52" t="s">
        <v>373</v>
      </c>
      <c r="AF3312" s="155" t="s">
        <v>247</v>
      </c>
      <c r="AG3312" s="155" t="s">
        <v>247</v>
      </c>
    </row>
    <row r="3313" spans="25:33">
      <c r="Y3313" s="47">
        <v>3262</v>
      </c>
      <c r="Z3313" s="52" t="s">
        <v>411</v>
      </c>
      <c r="AA3313" s="52" t="s">
        <v>247</v>
      </c>
      <c r="AB3313" s="52" t="s">
        <v>247</v>
      </c>
      <c r="AC3313" s="52" t="s">
        <v>247</v>
      </c>
      <c r="AD3313" s="52" t="s">
        <v>1</v>
      </c>
      <c r="AE3313" s="52" t="s">
        <v>373</v>
      </c>
      <c r="AF3313" s="155" t="s">
        <v>247</v>
      </c>
      <c r="AG3313" s="155" t="s">
        <v>247</v>
      </c>
    </row>
    <row r="3314" spans="25:33">
      <c r="Y3314" s="47">
        <v>3263</v>
      </c>
      <c r="Z3314" s="52" t="s">
        <v>411</v>
      </c>
      <c r="AA3314" s="52" t="s">
        <v>247</v>
      </c>
      <c r="AB3314" s="52" t="s">
        <v>247</v>
      </c>
      <c r="AC3314" s="52" t="s">
        <v>247</v>
      </c>
      <c r="AD3314" s="52" t="s">
        <v>1</v>
      </c>
      <c r="AE3314" s="52" t="s">
        <v>373</v>
      </c>
      <c r="AF3314" s="155" t="s">
        <v>247</v>
      </c>
      <c r="AG3314" s="155" t="s">
        <v>247</v>
      </c>
    </row>
    <row r="3315" spans="25:33">
      <c r="Y3315" s="47">
        <v>3264</v>
      </c>
      <c r="Z3315" s="52" t="s">
        <v>411</v>
      </c>
      <c r="AA3315" s="52" t="s">
        <v>247</v>
      </c>
      <c r="AB3315" s="52" t="s">
        <v>247</v>
      </c>
      <c r="AC3315" s="52">
        <v>4</v>
      </c>
      <c r="AD3315" s="52" t="s">
        <v>2</v>
      </c>
      <c r="AE3315" s="52" t="s">
        <v>373</v>
      </c>
      <c r="AF3315" s="155" t="s">
        <v>559</v>
      </c>
      <c r="AG3315" s="155">
        <v>4</v>
      </c>
    </row>
    <row r="3316" spans="25:33">
      <c r="Y3316" s="47">
        <v>3265</v>
      </c>
      <c r="Z3316" s="52" t="s">
        <v>411</v>
      </c>
      <c r="AA3316" s="52" t="s">
        <v>247</v>
      </c>
      <c r="AB3316" s="52" t="s">
        <v>247</v>
      </c>
      <c r="AC3316" s="52">
        <v>4</v>
      </c>
      <c r="AD3316" s="52" t="s">
        <v>2</v>
      </c>
      <c r="AE3316" s="52" t="s">
        <v>373</v>
      </c>
      <c r="AF3316" s="155" t="s">
        <v>559</v>
      </c>
      <c r="AG3316" s="155">
        <v>4</v>
      </c>
    </row>
    <row r="3317" spans="25:33">
      <c r="Y3317" s="47">
        <v>3266</v>
      </c>
      <c r="Z3317" s="52" t="s">
        <v>411</v>
      </c>
      <c r="AA3317" s="52" t="s">
        <v>247</v>
      </c>
      <c r="AB3317" s="52" t="s">
        <v>247</v>
      </c>
      <c r="AC3317" s="52">
        <v>4</v>
      </c>
      <c r="AD3317" s="52" t="s">
        <v>2</v>
      </c>
      <c r="AE3317" s="52" t="s">
        <v>373</v>
      </c>
      <c r="AF3317" s="155" t="s">
        <v>559</v>
      </c>
      <c r="AG3317" s="155">
        <v>4</v>
      </c>
    </row>
    <row r="3318" spans="25:33">
      <c r="Y3318" s="47">
        <v>3267</v>
      </c>
      <c r="Z3318" s="52" t="s">
        <v>411</v>
      </c>
      <c r="AA3318" s="52" t="s">
        <v>247</v>
      </c>
      <c r="AB3318" s="52" t="s">
        <v>247</v>
      </c>
      <c r="AC3318" s="52">
        <v>4</v>
      </c>
      <c r="AD3318" s="52" t="s">
        <v>2</v>
      </c>
      <c r="AE3318" s="52" t="s">
        <v>373</v>
      </c>
      <c r="AF3318" s="155" t="s">
        <v>559</v>
      </c>
      <c r="AG3318" s="155">
        <v>4</v>
      </c>
    </row>
    <row r="3319" spans="25:33">
      <c r="Y3319" s="47">
        <v>3268</v>
      </c>
      <c r="Z3319" s="52" t="s">
        <v>411</v>
      </c>
      <c r="AA3319" s="52" t="s">
        <v>247</v>
      </c>
      <c r="AB3319" s="52" t="s">
        <v>247</v>
      </c>
      <c r="AC3319" s="52">
        <v>4</v>
      </c>
      <c r="AD3319" s="52" t="s">
        <v>2</v>
      </c>
      <c r="AE3319" s="52" t="s">
        <v>373</v>
      </c>
      <c r="AF3319" s="155" t="s">
        <v>559</v>
      </c>
      <c r="AG3319" s="155">
        <v>4</v>
      </c>
    </row>
    <row r="3320" spans="25:33">
      <c r="Y3320" s="47">
        <v>3269</v>
      </c>
      <c r="Z3320" s="52" t="s">
        <v>411</v>
      </c>
      <c r="AA3320" s="52" t="s">
        <v>247</v>
      </c>
      <c r="AB3320" s="52" t="s">
        <v>247</v>
      </c>
      <c r="AC3320" s="52">
        <v>4</v>
      </c>
      <c r="AD3320" s="52" t="s">
        <v>2</v>
      </c>
      <c r="AE3320" s="52" t="s">
        <v>373</v>
      </c>
      <c r="AF3320" s="155" t="s">
        <v>559</v>
      </c>
      <c r="AG3320" s="155">
        <v>4</v>
      </c>
    </row>
    <row r="3321" spans="25:33">
      <c r="Y3321" s="47">
        <v>3270</v>
      </c>
      <c r="Z3321" s="52" t="s">
        <v>411</v>
      </c>
      <c r="AA3321" s="52" t="s">
        <v>247</v>
      </c>
      <c r="AB3321" s="52" t="s">
        <v>247</v>
      </c>
      <c r="AC3321" s="52">
        <v>4</v>
      </c>
      <c r="AD3321" s="52" t="s">
        <v>2</v>
      </c>
      <c r="AE3321" s="52" t="s">
        <v>373</v>
      </c>
      <c r="AF3321" s="155" t="s">
        <v>559</v>
      </c>
      <c r="AG3321" s="155">
        <v>4</v>
      </c>
    </row>
    <row r="3322" spans="25:33">
      <c r="Y3322" s="47">
        <v>3271</v>
      </c>
      <c r="Z3322" s="52" t="s">
        <v>411</v>
      </c>
      <c r="AA3322" s="52" t="s">
        <v>247</v>
      </c>
      <c r="AB3322" s="52" t="s">
        <v>247</v>
      </c>
      <c r="AC3322" s="52">
        <v>4</v>
      </c>
      <c r="AD3322" s="52" t="s">
        <v>2</v>
      </c>
      <c r="AE3322" s="52" t="s">
        <v>373</v>
      </c>
      <c r="AF3322" s="155" t="s">
        <v>559</v>
      </c>
      <c r="AG3322" s="155">
        <v>4</v>
      </c>
    </row>
    <row r="3323" spans="25:33">
      <c r="Y3323" s="47">
        <v>3272</v>
      </c>
      <c r="Z3323" s="52" t="s">
        <v>411</v>
      </c>
      <c r="AA3323" s="52" t="s">
        <v>247</v>
      </c>
      <c r="AB3323" s="52" t="s">
        <v>247</v>
      </c>
      <c r="AC3323" s="52">
        <v>4</v>
      </c>
      <c r="AD3323" s="52" t="s">
        <v>2</v>
      </c>
      <c r="AE3323" s="52" t="s">
        <v>373</v>
      </c>
      <c r="AF3323" s="155" t="s">
        <v>559</v>
      </c>
      <c r="AG3323" s="155">
        <v>4</v>
      </c>
    </row>
    <row r="3324" spans="25:33">
      <c r="Y3324" s="47">
        <v>3273</v>
      </c>
      <c r="Z3324" s="52" t="s">
        <v>411</v>
      </c>
      <c r="AA3324" s="52" t="s">
        <v>247</v>
      </c>
      <c r="AB3324" s="52" t="s">
        <v>247</v>
      </c>
      <c r="AC3324" s="52">
        <v>4</v>
      </c>
      <c r="AD3324" s="52" t="s">
        <v>2</v>
      </c>
      <c r="AE3324" s="52" t="s">
        <v>373</v>
      </c>
      <c r="AF3324" s="155" t="s">
        <v>559</v>
      </c>
      <c r="AG3324" s="155">
        <v>4</v>
      </c>
    </row>
    <row r="3325" spans="25:33">
      <c r="Y3325" s="47">
        <v>3274</v>
      </c>
      <c r="Z3325" s="52" t="s">
        <v>411</v>
      </c>
      <c r="AA3325" s="52" t="s">
        <v>247</v>
      </c>
      <c r="AB3325" s="52" t="s">
        <v>247</v>
      </c>
      <c r="AC3325" s="52">
        <v>4</v>
      </c>
      <c r="AD3325" s="52" t="s">
        <v>2</v>
      </c>
      <c r="AE3325" s="52" t="s">
        <v>373</v>
      </c>
      <c r="AF3325" s="155" t="s">
        <v>559</v>
      </c>
      <c r="AG3325" s="155">
        <v>4</v>
      </c>
    </row>
    <row r="3326" spans="25:33">
      <c r="Y3326" s="47">
        <v>3275</v>
      </c>
      <c r="Z3326" s="52" t="s">
        <v>411</v>
      </c>
      <c r="AA3326" s="52" t="s">
        <v>247</v>
      </c>
      <c r="AB3326" s="52" t="s">
        <v>247</v>
      </c>
      <c r="AC3326" s="52">
        <v>4</v>
      </c>
      <c r="AD3326" s="52" t="s">
        <v>2</v>
      </c>
      <c r="AE3326" s="52" t="s">
        <v>373</v>
      </c>
      <c r="AF3326" s="155" t="s">
        <v>559</v>
      </c>
      <c r="AG3326" s="155">
        <v>4</v>
      </c>
    </row>
    <row r="3327" spans="25:33">
      <c r="Y3327" s="47">
        <v>3276</v>
      </c>
      <c r="Z3327" s="52" t="s">
        <v>411</v>
      </c>
      <c r="AA3327" s="52" t="s">
        <v>247</v>
      </c>
      <c r="AB3327" s="52" t="s">
        <v>247</v>
      </c>
      <c r="AC3327" s="52">
        <v>4</v>
      </c>
      <c r="AD3327" s="52" t="s">
        <v>2</v>
      </c>
      <c r="AE3327" s="52" t="s">
        <v>373</v>
      </c>
      <c r="AF3327" s="155" t="s">
        <v>559</v>
      </c>
      <c r="AG3327" s="155">
        <v>4</v>
      </c>
    </row>
    <row r="3328" spans="25:33">
      <c r="Y3328" s="47">
        <v>3277</v>
      </c>
      <c r="Z3328" s="52" t="s">
        <v>411</v>
      </c>
      <c r="AA3328" s="52" t="s">
        <v>247</v>
      </c>
      <c r="AB3328" s="52" t="s">
        <v>247</v>
      </c>
      <c r="AC3328" s="52">
        <v>4</v>
      </c>
      <c r="AD3328" s="52" t="s">
        <v>2</v>
      </c>
      <c r="AE3328" s="52" t="s">
        <v>373</v>
      </c>
      <c r="AF3328" s="155" t="s">
        <v>559</v>
      </c>
      <c r="AG3328" s="155">
        <v>4</v>
      </c>
    </row>
    <row r="3329" spans="25:33">
      <c r="Y3329" s="47">
        <v>3278</v>
      </c>
      <c r="Z3329" s="52" t="s">
        <v>411</v>
      </c>
      <c r="AA3329" s="52" t="s">
        <v>247</v>
      </c>
      <c r="AB3329" s="52" t="s">
        <v>247</v>
      </c>
      <c r="AC3329" s="52">
        <v>4</v>
      </c>
      <c r="AD3329" s="52" t="s">
        <v>2</v>
      </c>
      <c r="AE3329" s="52" t="s">
        <v>373</v>
      </c>
      <c r="AF3329" s="155" t="s">
        <v>559</v>
      </c>
      <c r="AG3329" s="155">
        <v>4</v>
      </c>
    </row>
    <row r="3330" spans="25:33">
      <c r="Y3330" s="47">
        <v>3279</v>
      </c>
      <c r="Z3330" s="52" t="s">
        <v>411</v>
      </c>
      <c r="AA3330" s="52" t="s">
        <v>247</v>
      </c>
      <c r="AB3330" s="52" t="s">
        <v>247</v>
      </c>
      <c r="AC3330" s="52">
        <v>4</v>
      </c>
      <c r="AD3330" s="52" t="s">
        <v>2</v>
      </c>
      <c r="AE3330" s="52" t="s">
        <v>373</v>
      </c>
      <c r="AF3330" s="155" t="s">
        <v>559</v>
      </c>
      <c r="AG3330" s="155">
        <v>4</v>
      </c>
    </row>
    <row r="3331" spans="25:33">
      <c r="Y3331" s="47">
        <v>3280</v>
      </c>
      <c r="Z3331" s="52" t="s">
        <v>411</v>
      </c>
      <c r="AA3331" s="52" t="s">
        <v>247</v>
      </c>
      <c r="AB3331" s="52" t="s">
        <v>247</v>
      </c>
      <c r="AC3331" s="52">
        <v>4</v>
      </c>
      <c r="AD3331" s="52" t="s">
        <v>2</v>
      </c>
      <c r="AE3331" s="52" t="s">
        <v>373</v>
      </c>
      <c r="AF3331" s="155" t="s">
        <v>559</v>
      </c>
      <c r="AG3331" s="155">
        <v>4</v>
      </c>
    </row>
    <row r="3332" spans="25:33">
      <c r="Y3332" s="47">
        <v>3281</v>
      </c>
      <c r="Z3332" s="52" t="s">
        <v>411</v>
      </c>
      <c r="AA3332" s="52" t="s">
        <v>247</v>
      </c>
      <c r="AB3332" s="52" t="s">
        <v>247</v>
      </c>
      <c r="AC3332" s="52">
        <v>4</v>
      </c>
      <c r="AD3332" s="52" t="s">
        <v>2</v>
      </c>
      <c r="AE3332" s="52" t="s">
        <v>373</v>
      </c>
      <c r="AF3332" s="155" t="s">
        <v>559</v>
      </c>
      <c r="AG3332" s="155">
        <v>4</v>
      </c>
    </row>
    <row r="3333" spans="25:33">
      <c r="Y3333" s="47">
        <v>3282</v>
      </c>
      <c r="Z3333" s="52" t="s">
        <v>411</v>
      </c>
      <c r="AA3333" s="52" t="s">
        <v>247</v>
      </c>
      <c r="AB3333" s="52" t="s">
        <v>247</v>
      </c>
      <c r="AC3333" s="52">
        <v>4</v>
      </c>
      <c r="AD3333" s="52" t="s">
        <v>2</v>
      </c>
      <c r="AE3333" s="52" t="s">
        <v>373</v>
      </c>
      <c r="AF3333" s="155" t="s">
        <v>559</v>
      </c>
      <c r="AG3333" s="155">
        <v>4</v>
      </c>
    </row>
    <row r="3334" spans="25:33">
      <c r="Y3334" s="47">
        <v>3283</v>
      </c>
      <c r="Z3334" s="52" t="s">
        <v>411</v>
      </c>
      <c r="AA3334" s="52" t="s">
        <v>247</v>
      </c>
      <c r="AB3334" s="52" t="s">
        <v>247</v>
      </c>
      <c r="AC3334" s="52">
        <v>4</v>
      </c>
      <c r="AD3334" s="52" t="s">
        <v>2</v>
      </c>
      <c r="AE3334" s="52" t="s">
        <v>373</v>
      </c>
      <c r="AF3334" s="155" t="s">
        <v>559</v>
      </c>
      <c r="AG3334" s="155">
        <v>4</v>
      </c>
    </row>
    <row r="3335" spans="25:33">
      <c r="Y3335" s="47">
        <v>3284</v>
      </c>
      <c r="Z3335" s="52" t="s">
        <v>411</v>
      </c>
      <c r="AA3335" s="52" t="s">
        <v>247</v>
      </c>
      <c r="AB3335" s="52" t="s">
        <v>247</v>
      </c>
      <c r="AC3335" s="52">
        <v>4</v>
      </c>
      <c r="AD3335" s="52" t="s">
        <v>2</v>
      </c>
      <c r="AE3335" s="52" t="s">
        <v>373</v>
      </c>
      <c r="AF3335" s="155" t="s">
        <v>559</v>
      </c>
      <c r="AG3335" s="155">
        <v>4</v>
      </c>
    </row>
    <row r="3336" spans="25:33">
      <c r="Y3336" s="47">
        <v>3285</v>
      </c>
      <c r="Z3336" s="52" t="s">
        <v>411</v>
      </c>
      <c r="AA3336" s="52" t="s">
        <v>247</v>
      </c>
      <c r="AB3336" s="52" t="s">
        <v>247</v>
      </c>
      <c r="AC3336" s="52">
        <v>4</v>
      </c>
      <c r="AD3336" s="52" t="s">
        <v>2</v>
      </c>
      <c r="AE3336" s="52" t="s">
        <v>373</v>
      </c>
      <c r="AF3336" s="155" t="s">
        <v>559</v>
      </c>
      <c r="AG3336" s="155">
        <v>4</v>
      </c>
    </row>
    <row r="3337" spans="25:33">
      <c r="Y3337" s="47">
        <v>3286</v>
      </c>
      <c r="Z3337" s="52" t="s">
        <v>411</v>
      </c>
      <c r="AA3337" s="52" t="s">
        <v>247</v>
      </c>
      <c r="AB3337" s="52" t="s">
        <v>247</v>
      </c>
      <c r="AC3337" s="52">
        <v>4</v>
      </c>
      <c r="AD3337" s="52" t="s">
        <v>2</v>
      </c>
      <c r="AE3337" s="52" t="s">
        <v>373</v>
      </c>
      <c r="AF3337" s="155" t="s">
        <v>559</v>
      </c>
      <c r="AG3337" s="155">
        <v>4</v>
      </c>
    </row>
    <row r="3338" spans="25:33">
      <c r="Y3338" s="47">
        <v>3287</v>
      </c>
      <c r="Z3338" s="52" t="s">
        <v>411</v>
      </c>
      <c r="AA3338" s="52" t="s">
        <v>247</v>
      </c>
      <c r="AB3338" s="52" t="s">
        <v>247</v>
      </c>
      <c r="AC3338" s="52">
        <v>4</v>
      </c>
      <c r="AD3338" s="52" t="s">
        <v>2</v>
      </c>
      <c r="AE3338" s="52" t="s">
        <v>373</v>
      </c>
      <c r="AF3338" s="155" t="s">
        <v>559</v>
      </c>
      <c r="AG3338" s="155">
        <v>4</v>
      </c>
    </row>
    <row r="3339" spans="25:33">
      <c r="Y3339" s="47">
        <v>3289</v>
      </c>
      <c r="Z3339" s="52" t="s">
        <v>407</v>
      </c>
      <c r="AA3339" s="52" t="s">
        <v>247</v>
      </c>
      <c r="AB3339" s="52" t="s">
        <v>247</v>
      </c>
      <c r="AC3339" s="52">
        <v>5</v>
      </c>
      <c r="AD3339" s="52" t="s">
        <v>2</v>
      </c>
      <c r="AE3339" s="52" t="s">
        <v>373</v>
      </c>
      <c r="AF3339" s="155" t="s">
        <v>560</v>
      </c>
      <c r="AG3339" s="155">
        <v>5</v>
      </c>
    </row>
    <row r="3340" spans="25:33">
      <c r="Y3340" s="47">
        <v>3292</v>
      </c>
      <c r="Z3340" s="52" t="s">
        <v>411</v>
      </c>
      <c r="AA3340" s="52" t="s">
        <v>247</v>
      </c>
      <c r="AB3340" s="52" t="s">
        <v>247</v>
      </c>
      <c r="AC3340" s="52">
        <v>4</v>
      </c>
      <c r="AD3340" s="52" t="s">
        <v>2</v>
      </c>
      <c r="AE3340" s="52" t="s">
        <v>373</v>
      </c>
      <c r="AF3340" s="155" t="s">
        <v>559</v>
      </c>
      <c r="AG3340" s="155">
        <v>4</v>
      </c>
    </row>
    <row r="3341" spans="25:33">
      <c r="Y3341" s="47">
        <v>3293</v>
      </c>
      <c r="Z3341" s="52" t="s">
        <v>407</v>
      </c>
      <c r="AA3341" s="52" t="s">
        <v>247</v>
      </c>
      <c r="AB3341" s="52" t="s">
        <v>247</v>
      </c>
      <c r="AC3341" s="52">
        <v>5</v>
      </c>
      <c r="AD3341" s="52" t="s">
        <v>2</v>
      </c>
      <c r="AE3341" s="52" t="s">
        <v>373</v>
      </c>
      <c r="AF3341" s="155" t="s">
        <v>560</v>
      </c>
      <c r="AG3341" s="155">
        <v>5</v>
      </c>
    </row>
    <row r="3342" spans="25:33">
      <c r="Y3342" s="47">
        <v>3294</v>
      </c>
      <c r="Z3342" s="52" t="s">
        <v>407</v>
      </c>
      <c r="AA3342" s="52" t="s">
        <v>247</v>
      </c>
      <c r="AB3342" s="52" t="s">
        <v>247</v>
      </c>
      <c r="AC3342" s="52">
        <v>5</v>
      </c>
      <c r="AD3342" s="52" t="s">
        <v>2</v>
      </c>
      <c r="AE3342" s="52" t="s">
        <v>373</v>
      </c>
      <c r="AF3342" s="155" t="s">
        <v>560</v>
      </c>
      <c r="AG3342" s="155">
        <v>5</v>
      </c>
    </row>
    <row r="3343" spans="25:33">
      <c r="Y3343" s="47">
        <v>3295</v>
      </c>
      <c r="Z3343" s="52" t="s">
        <v>407</v>
      </c>
      <c r="AA3343" s="52" t="s">
        <v>247</v>
      </c>
      <c r="AB3343" s="52" t="s">
        <v>247</v>
      </c>
      <c r="AC3343" s="52" t="s">
        <v>247</v>
      </c>
      <c r="AD3343" s="52" t="s">
        <v>1</v>
      </c>
      <c r="AE3343" s="52" t="s">
        <v>373</v>
      </c>
      <c r="AF3343" s="155" t="s">
        <v>247</v>
      </c>
      <c r="AG3343" s="155" t="s">
        <v>247</v>
      </c>
    </row>
    <row r="3344" spans="25:33">
      <c r="Y3344" s="47">
        <v>3296</v>
      </c>
      <c r="Z3344" s="52" t="s">
        <v>407</v>
      </c>
      <c r="AA3344" s="52" t="s">
        <v>247</v>
      </c>
      <c r="AB3344" s="52" t="s">
        <v>247</v>
      </c>
      <c r="AC3344" s="52" t="s">
        <v>247</v>
      </c>
      <c r="AD3344" s="52" t="s">
        <v>1</v>
      </c>
      <c r="AE3344" s="52" t="s">
        <v>373</v>
      </c>
      <c r="AF3344" s="155" t="s">
        <v>247</v>
      </c>
      <c r="AG3344" s="155" t="s">
        <v>247</v>
      </c>
    </row>
    <row r="3345" spans="25:33">
      <c r="Y3345" s="47">
        <v>3297</v>
      </c>
      <c r="Z3345" s="52" t="s">
        <v>407</v>
      </c>
      <c r="AA3345" s="52" t="s">
        <v>247</v>
      </c>
      <c r="AB3345" s="52" t="s">
        <v>247</v>
      </c>
      <c r="AC3345" s="52" t="s">
        <v>247</v>
      </c>
      <c r="AD3345" s="52" t="s">
        <v>1</v>
      </c>
      <c r="AE3345" s="52" t="s">
        <v>373</v>
      </c>
      <c r="AF3345" s="155" t="s">
        <v>247</v>
      </c>
      <c r="AG3345" s="155" t="s">
        <v>247</v>
      </c>
    </row>
    <row r="3346" spans="25:33">
      <c r="Y3346" s="47">
        <v>3298</v>
      </c>
      <c r="Z3346" s="52" t="s">
        <v>407</v>
      </c>
      <c r="AA3346" s="52" t="s">
        <v>247</v>
      </c>
      <c r="AB3346" s="52" t="s">
        <v>247</v>
      </c>
      <c r="AC3346" s="52" t="s">
        <v>247</v>
      </c>
      <c r="AD3346" s="52" t="s">
        <v>1</v>
      </c>
      <c r="AE3346" s="52" t="s">
        <v>373</v>
      </c>
      <c r="AF3346" s="155" t="s">
        <v>247</v>
      </c>
      <c r="AG3346" s="155" t="s">
        <v>247</v>
      </c>
    </row>
    <row r="3347" spans="25:33">
      <c r="Y3347" s="47">
        <v>3299</v>
      </c>
      <c r="Z3347" s="52" t="s">
        <v>407</v>
      </c>
      <c r="AA3347" s="52" t="s">
        <v>247</v>
      </c>
      <c r="AB3347" s="52" t="s">
        <v>247</v>
      </c>
      <c r="AC3347" s="52" t="s">
        <v>247</v>
      </c>
      <c r="AD3347" s="52" t="s">
        <v>1</v>
      </c>
      <c r="AE3347" s="52" t="s">
        <v>373</v>
      </c>
      <c r="AF3347" s="155" t="s">
        <v>247</v>
      </c>
      <c r="AG3347" s="155" t="s">
        <v>247</v>
      </c>
    </row>
    <row r="3348" spans="25:33">
      <c r="Y3348" s="47">
        <v>3300</v>
      </c>
      <c r="Z3348" s="52" t="s">
        <v>407</v>
      </c>
      <c r="AA3348" s="52" t="s">
        <v>247</v>
      </c>
      <c r="AB3348" s="52" t="s">
        <v>247</v>
      </c>
      <c r="AC3348" s="52">
        <v>5</v>
      </c>
      <c r="AD3348" s="52" t="s">
        <v>2</v>
      </c>
      <c r="AE3348" s="52" t="s">
        <v>373</v>
      </c>
      <c r="AF3348" s="155" t="s">
        <v>560</v>
      </c>
      <c r="AG3348" s="155">
        <v>5</v>
      </c>
    </row>
    <row r="3349" spans="25:33">
      <c r="Y3349" s="47">
        <v>3301</v>
      </c>
      <c r="Z3349" s="52" t="s">
        <v>407</v>
      </c>
      <c r="AA3349" s="52" t="s">
        <v>247</v>
      </c>
      <c r="AB3349" s="52" t="s">
        <v>247</v>
      </c>
      <c r="AC3349" s="52">
        <v>5</v>
      </c>
      <c r="AD3349" s="52" t="s">
        <v>2</v>
      </c>
      <c r="AE3349" s="52" t="s">
        <v>373</v>
      </c>
      <c r="AF3349" s="155" t="s">
        <v>559</v>
      </c>
      <c r="AG3349" s="155">
        <v>5</v>
      </c>
    </row>
    <row r="3350" spans="25:33">
      <c r="Y3350" s="47">
        <v>3302</v>
      </c>
      <c r="Z3350" s="52" t="s">
        <v>411</v>
      </c>
      <c r="AA3350" s="52" t="s">
        <v>247</v>
      </c>
      <c r="AB3350" s="52" t="s">
        <v>247</v>
      </c>
      <c r="AC3350" s="52">
        <v>5</v>
      </c>
      <c r="AD3350" s="52" t="s">
        <v>2</v>
      </c>
      <c r="AE3350" s="52" t="s">
        <v>373</v>
      </c>
      <c r="AF3350" s="155" t="s">
        <v>559</v>
      </c>
      <c r="AG3350" s="155">
        <v>5</v>
      </c>
    </row>
    <row r="3351" spans="25:33">
      <c r="Y3351" s="47">
        <v>3303</v>
      </c>
      <c r="Z3351" s="52" t="s">
        <v>411</v>
      </c>
      <c r="AA3351" s="52" t="s">
        <v>247</v>
      </c>
      <c r="AB3351" s="52" t="s">
        <v>247</v>
      </c>
      <c r="AC3351" s="52">
        <v>4</v>
      </c>
      <c r="AD3351" s="52" t="s">
        <v>2</v>
      </c>
      <c r="AE3351" s="52" t="s">
        <v>373</v>
      </c>
      <c r="AF3351" s="155" t="s">
        <v>559</v>
      </c>
      <c r="AG3351" s="155">
        <v>4</v>
      </c>
    </row>
    <row r="3352" spans="25:33">
      <c r="Y3352" s="47">
        <v>3304</v>
      </c>
      <c r="Z3352" s="52" t="s">
        <v>411</v>
      </c>
      <c r="AA3352" s="52" t="s">
        <v>247</v>
      </c>
      <c r="AB3352" s="52" t="s">
        <v>247</v>
      </c>
      <c r="AC3352" s="52">
        <v>4</v>
      </c>
      <c r="AD3352" s="52" t="s">
        <v>2</v>
      </c>
      <c r="AE3352" s="52" t="s">
        <v>373</v>
      </c>
      <c r="AF3352" s="155" t="s">
        <v>559</v>
      </c>
      <c r="AG3352" s="155">
        <v>4</v>
      </c>
    </row>
    <row r="3353" spans="25:33">
      <c r="Y3353" s="47">
        <v>3305</v>
      </c>
      <c r="Z3353" s="52" t="s">
        <v>411</v>
      </c>
      <c r="AA3353" s="52" t="s">
        <v>247</v>
      </c>
      <c r="AB3353" s="52" t="s">
        <v>247</v>
      </c>
      <c r="AC3353" s="52">
        <v>4</v>
      </c>
      <c r="AD3353" s="52" t="s">
        <v>2</v>
      </c>
      <c r="AE3353" s="52" t="s">
        <v>373</v>
      </c>
      <c r="AF3353" s="155" t="s">
        <v>559</v>
      </c>
      <c r="AG3353" s="155">
        <v>4</v>
      </c>
    </row>
    <row r="3354" spans="25:33">
      <c r="Y3354" s="47">
        <v>3306</v>
      </c>
      <c r="Z3354" s="52" t="s">
        <v>411</v>
      </c>
      <c r="AA3354" s="52" t="s">
        <v>247</v>
      </c>
      <c r="AB3354" s="52" t="s">
        <v>247</v>
      </c>
      <c r="AC3354" s="52" t="s">
        <v>247</v>
      </c>
      <c r="AD3354" s="52" t="s">
        <v>1</v>
      </c>
      <c r="AE3354" s="52" t="s">
        <v>373</v>
      </c>
      <c r="AF3354" s="155" t="s">
        <v>247</v>
      </c>
      <c r="AG3354" s="155" t="s">
        <v>247</v>
      </c>
    </row>
    <row r="3355" spans="25:33">
      <c r="Y3355" s="47">
        <v>3307</v>
      </c>
      <c r="Z3355" s="52" t="s">
        <v>411</v>
      </c>
      <c r="AA3355" s="52" t="s">
        <v>247</v>
      </c>
      <c r="AB3355" s="52" t="s">
        <v>247</v>
      </c>
      <c r="AC3355" s="52" t="s">
        <v>247</v>
      </c>
      <c r="AD3355" s="52" t="s">
        <v>1</v>
      </c>
      <c r="AE3355" s="52" t="s">
        <v>373</v>
      </c>
      <c r="AF3355" s="155" t="s">
        <v>247</v>
      </c>
      <c r="AG3355" s="155" t="s">
        <v>247</v>
      </c>
    </row>
    <row r="3356" spans="25:33">
      <c r="Y3356" s="47">
        <v>3308</v>
      </c>
      <c r="Z3356" s="52" t="s">
        <v>411</v>
      </c>
      <c r="AA3356" s="52" t="s">
        <v>247</v>
      </c>
      <c r="AB3356" s="52" t="s">
        <v>247</v>
      </c>
      <c r="AC3356" s="52" t="s">
        <v>247</v>
      </c>
      <c r="AD3356" s="52" t="s">
        <v>1</v>
      </c>
      <c r="AE3356" s="52" t="s">
        <v>373</v>
      </c>
      <c r="AF3356" s="155" t="s">
        <v>247</v>
      </c>
      <c r="AG3356" s="155" t="s">
        <v>247</v>
      </c>
    </row>
    <row r="3357" spans="25:33">
      <c r="Y3357" s="47">
        <v>3309</v>
      </c>
      <c r="Z3357" s="52" t="s">
        <v>411</v>
      </c>
      <c r="AA3357" s="52" t="s">
        <v>247</v>
      </c>
      <c r="AB3357" s="52" t="s">
        <v>247</v>
      </c>
      <c r="AC3357" s="52">
        <v>4</v>
      </c>
      <c r="AD3357" s="52" t="s">
        <v>2</v>
      </c>
      <c r="AE3357" s="52" t="s">
        <v>373</v>
      </c>
      <c r="AF3357" s="155" t="s">
        <v>559</v>
      </c>
      <c r="AG3357" s="155">
        <v>4</v>
      </c>
    </row>
    <row r="3358" spans="25:33">
      <c r="Y3358" s="47">
        <v>3310</v>
      </c>
      <c r="Z3358" s="52" t="s">
        <v>411</v>
      </c>
      <c r="AA3358" s="52" t="s">
        <v>247</v>
      </c>
      <c r="AB3358" s="52" t="s">
        <v>247</v>
      </c>
      <c r="AC3358" s="52">
        <v>4</v>
      </c>
      <c r="AD3358" s="52" t="s">
        <v>2</v>
      </c>
      <c r="AE3358" s="52" t="s">
        <v>373</v>
      </c>
      <c r="AF3358" s="155" t="s">
        <v>560</v>
      </c>
      <c r="AG3358" s="155">
        <v>4</v>
      </c>
    </row>
    <row r="3359" spans="25:33">
      <c r="Y3359" s="47">
        <v>3311</v>
      </c>
      <c r="Z3359" s="52" t="s">
        <v>411</v>
      </c>
      <c r="AA3359" s="52" t="s">
        <v>247</v>
      </c>
      <c r="AB3359" s="52" t="s">
        <v>247</v>
      </c>
      <c r="AC3359" s="52">
        <v>4</v>
      </c>
      <c r="AD3359" s="52" t="s">
        <v>2</v>
      </c>
      <c r="AE3359" s="52" t="s">
        <v>373</v>
      </c>
      <c r="AF3359" s="155" t="s">
        <v>560</v>
      </c>
      <c r="AG3359" s="155">
        <v>4</v>
      </c>
    </row>
    <row r="3360" spans="25:33">
      <c r="Y3360" s="47">
        <v>3312</v>
      </c>
      <c r="Z3360" s="52" t="s">
        <v>411</v>
      </c>
      <c r="AA3360" s="52" t="s">
        <v>247</v>
      </c>
      <c r="AB3360" s="52" t="s">
        <v>247</v>
      </c>
      <c r="AC3360" s="52">
        <v>4</v>
      </c>
      <c r="AD3360" s="52" t="s">
        <v>2</v>
      </c>
      <c r="AE3360" s="52" t="s">
        <v>373</v>
      </c>
      <c r="AF3360" s="155" t="s">
        <v>560</v>
      </c>
      <c r="AG3360" s="155">
        <v>4</v>
      </c>
    </row>
    <row r="3361" spans="25:33">
      <c r="Y3361" s="47">
        <v>3314</v>
      </c>
      <c r="Z3361" s="52" t="s">
        <v>407</v>
      </c>
      <c r="AA3361" s="52" t="s">
        <v>247</v>
      </c>
      <c r="AB3361" s="52" t="s">
        <v>247</v>
      </c>
      <c r="AC3361" s="52">
        <v>5</v>
      </c>
      <c r="AD3361" s="52" t="s">
        <v>2</v>
      </c>
      <c r="AE3361" s="52" t="s">
        <v>373</v>
      </c>
      <c r="AF3361" s="155" t="s">
        <v>560</v>
      </c>
      <c r="AG3361" s="155">
        <v>5</v>
      </c>
    </row>
    <row r="3362" spans="25:33">
      <c r="Y3362" s="47">
        <v>3315</v>
      </c>
      <c r="Z3362" s="52" t="s">
        <v>407</v>
      </c>
      <c r="AA3362" s="52" t="s">
        <v>247</v>
      </c>
      <c r="AB3362" s="52" t="s">
        <v>247</v>
      </c>
      <c r="AC3362" s="52">
        <v>5</v>
      </c>
      <c r="AD3362" s="52" t="s">
        <v>2</v>
      </c>
      <c r="AE3362" s="52" t="s">
        <v>373</v>
      </c>
      <c r="AF3362" s="155" t="s">
        <v>560</v>
      </c>
      <c r="AG3362" s="155">
        <v>5</v>
      </c>
    </row>
    <row r="3363" spans="25:33">
      <c r="Y3363" s="47">
        <v>3317</v>
      </c>
      <c r="Z3363" s="52" t="s">
        <v>411</v>
      </c>
      <c r="AA3363" s="52" t="s">
        <v>247</v>
      </c>
      <c r="AB3363" s="52" t="s">
        <v>247</v>
      </c>
      <c r="AC3363" s="52">
        <v>4</v>
      </c>
      <c r="AD3363" s="52" t="s">
        <v>2</v>
      </c>
      <c r="AE3363" s="52" t="s">
        <v>373</v>
      </c>
      <c r="AF3363" s="155" t="s">
        <v>560</v>
      </c>
      <c r="AG3363" s="155">
        <v>4</v>
      </c>
    </row>
    <row r="3364" spans="25:33">
      <c r="Y3364" s="47">
        <v>3318</v>
      </c>
      <c r="Z3364" s="52" t="s">
        <v>411</v>
      </c>
      <c r="AA3364" s="52" t="s">
        <v>247</v>
      </c>
      <c r="AB3364" s="52" t="s">
        <v>247</v>
      </c>
      <c r="AC3364" s="52">
        <v>4</v>
      </c>
      <c r="AD3364" s="52" t="s">
        <v>2</v>
      </c>
      <c r="AE3364" s="52" t="s">
        <v>373</v>
      </c>
      <c r="AF3364" s="155" t="s">
        <v>560</v>
      </c>
      <c r="AG3364" s="155">
        <v>4</v>
      </c>
    </row>
    <row r="3365" spans="25:33">
      <c r="Y3365" s="47">
        <v>3319</v>
      </c>
      <c r="Z3365" s="52" t="s">
        <v>411</v>
      </c>
      <c r="AA3365" s="52" t="s">
        <v>247</v>
      </c>
      <c r="AB3365" s="52" t="s">
        <v>247</v>
      </c>
      <c r="AC3365" s="52">
        <v>4</v>
      </c>
      <c r="AD3365" s="52" t="s">
        <v>2</v>
      </c>
      <c r="AE3365" s="52" t="s">
        <v>373</v>
      </c>
      <c r="AF3365" s="155" t="s">
        <v>560</v>
      </c>
      <c r="AG3365" s="155">
        <v>4</v>
      </c>
    </row>
    <row r="3366" spans="25:33">
      <c r="Y3366" s="47">
        <v>3320</v>
      </c>
      <c r="Z3366" s="52" t="s">
        <v>411</v>
      </c>
      <c r="AA3366" s="52" t="s">
        <v>247</v>
      </c>
      <c r="AB3366" s="52" t="s">
        <v>247</v>
      </c>
      <c r="AC3366" s="52" t="s">
        <v>247</v>
      </c>
      <c r="AD3366" s="52" t="s">
        <v>1</v>
      </c>
      <c r="AE3366" s="52" t="s">
        <v>373</v>
      </c>
      <c r="AF3366" s="155" t="s">
        <v>247</v>
      </c>
      <c r="AG3366" s="155" t="s">
        <v>247</v>
      </c>
    </row>
    <row r="3367" spans="25:33">
      <c r="Y3367" s="47">
        <v>3321</v>
      </c>
      <c r="Z3367" s="52" t="s">
        <v>411</v>
      </c>
      <c r="AA3367" s="52" t="s">
        <v>247</v>
      </c>
      <c r="AB3367" s="52" t="s">
        <v>247</v>
      </c>
      <c r="AC3367" s="52">
        <v>4</v>
      </c>
      <c r="AD3367" s="52" t="s">
        <v>2</v>
      </c>
      <c r="AE3367" s="52" t="s">
        <v>373</v>
      </c>
      <c r="AF3367" s="155" t="s">
        <v>559</v>
      </c>
      <c r="AG3367" s="155">
        <v>4</v>
      </c>
    </row>
    <row r="3368" spans="25:33">
      <c r="Y3368" s="47">
        <v>3322</v>
      </c>
      <c r="Z3368" s="52" t="s">
        <v>411</v>
      </c>
      <c r="AA3368" s="52" t="s">
        <v>247</v>
      </c>
      <c r="AB3368" s="52" t="s">
        <v>247</v>
      </c>
      <c r="AC3368" s="52">
        <v>4</v>
      </c>
      <c r="AD3368" s="52" t="s">
        <v>2</v>
      </c>
      <c r="AE3368" s="52" t="s">
        <v>373</v>
      </c>
      <c r="AF3368" s="155" t="s">
        <v>559</v>
      </c>
      <c r="AG3368" s="155">
        <v>4</v>
      </c>
    </row>
    <row r="3369" spans="25:33">
      <c r="Y3369" s="47">
        <v>3323</v>
      </c>
      <c r="Z3369" s="52" t="s">
        <v>411</v>
      </c>
      <c r="AA3369" s="52" t="s">
        <v>247</v>
      </c>
      <c r="AB3369" s="52" t="s">
        <v>247</v>
      </c>
      <c r="AC3369" s="52">
        <v>4</v>
      </c>
      <c r="AD3369" s="52" t="s">
        <v>2</v>
      </c>
      <c r="AE3369" s="52" t="s">
        <v>373</v>
      </c>
      <c r="AF3369" s="155" t="s">
        <v>560</v>
      </c>
      <c r="AG3369" s="155">
        <v>4</v>
      </c>
    </row>
    <row r="3370" spans="25:33">
      <c r="Y3370" s="47">
        <v>3324</v>
      </c>
      <c r="Z3370" s="52" t="s">
        <v>411</v>
      </c>
      <c r="AA3370" s="52" t="s">
        <v>247</v>
      </c>
      <c r="AB3370" s="52" t="s">
        <v>247</v>
      </c>
      <c r="AC3370" s="52">
        <v>4</v>
      </c>
      <c r="AD3370" s="52" t="s">
        <v>2</v>
      </c>
      <c r="AE3370" s="52" t="s">
        <v>373</v>
      </c>
      <c r="AF3370" s="155" t="s">
        <v>560</v>
      </c>
      <c r="AG3370" s="155">
        <v>4</v>
      </c>
    </row>
    <row r="3371" spans="25:33">
      <c r="Y3371" s="47">
        <v>3325</v>
      </c>
      <c r="Z3371" s="52" t="s">
        <v>411</v>
      </c>
      <c r="AA3371" s="52" t="s">
        <v>247</v>
      </c>
      <c r="AB3371" s="52" t="s">
        <v>247</v>
      </c>
      <c r="AC3371" s="52">
        <v>4</v>
      </c>
      <c r="AD3371" s="52" t="s">
        <v>2</v>
      </c>
      <c r="AE3371" s="52" t="s">
        <v>373</v>
      </c>
      <c r="AF3371" s="155" t="s">
        <v>559</v>
      </c>
      <c r="AG3371" s="155">
        <v>4</v>
      </c>
    </row>
    <row r="3372" spans="25:33">
      <c r="Y3372" s="47">
        <v>3326</v>
      </c>
      <c r="Z3372" s="52" t="s">
        <v>411</v>
      </c>
      <c r="AA3372" s="52" t="s">
        <v>247</v>
      </c>
      <c r="AB3372" s="52" t="s">
        <v>247</v>
      </c>
      <c r="AC3372" s="52" t="s">
        <v>247</v>
      </c>
      <c r="AD3372" s="52" t="s">
        <v>1</v>
      </c>
      <c r="AE3372" s="52" t="s">
        <v>373</v>
      </c>
      <c r="AF3372" s="155" t="s">
        <v>247</v>
      </c>
      <c r="AG3372" s="155" t="s">
        <v>247</v>
      </c>
    </row>
    <row r="3373" spans="25:33">
      <c r="Y3373" s="47">
        <v>3327</v>
      </c>
      <c r="Z3373" s="52" t="s">
        <v>411</v>
      </c>
      <c r="AA3373" s="52" t="s">
        <v>247</v>
      </c>
      <c r="AB3373" s="52" t="s">
        <v>247</v>
      </c>
      <c r="AC3373" s="52" t="s">
        <v>247</v>
      </c>
      <c r="AD3373" s="52" t="s">
        <v>1</v>
      </c>
      <c r="AE3373" s="52" t="s">
        <v>373</v>
      </c>
      <c r="AF3373" s="155" t="s">
        <v>247</v>
      </c>
      <c r="AG3373" s="155" t="s">
        <v>247</v>
      </c>
    </row>
    <row r="3374" spans="25:33">
      <c r="Y3374" s="47">
        <v>3328</v>
      </c>
      <c r="Z3374" s="52" t="s">
        <v>411</v>
      </c>
      <c r="AA3374" s="52" t="s">
        <v>247</v>
      </c>
      <c r="AB3374" s="52" t="s">
        <v>247</v>
      </c>
      <c r="AC3374" s="52">
        <v>4</v>
      </c>
      <c r="AD3374" s="52" t="s">
        <v>2</v>
      </c>
      <c r="AE3374" s="52" t="s">
        <v>373</v>
      </c>
      <c r="AF3374" s="155" t="s">
        <v>559</v>
      </c>
      <c r="AG3374" s="155">
        <v>4</v>
      </c>
    </row>
    <row r="3375" spans="25:33">
      <c r="Y3375" s="47">
        <v>3329</v>
      </c>
      <c r="Z3375" s="52" t="s">
        <v>411</v>
      </c>
      <c r="AA3375" s="52" t="s">
        <v>247</v>
      </c>
      <c r="AB3375" s="52" t="s">
        <v>247</v>
      </c>
      <c r="AC3375" s="52">
        <v>4</v>
      </c>
      <c r="AD3375" s="52" t="s">
        <v>2</v>
      </c>
      <c r="AE3375" s="52" t="s">
        <v>373</v>
      </c>
      <c r="AF3375" s="155" t="s">
        <v>559</v>
      </c>
      <c r="AG3375" s="155">
        <v>4</v>
      </c>
    </row>
    <row r="3376" spans="25:33">
      <c r="Y3376" s="47">
        <v>3330</v>
      </c>
      <c r="Z3376" s="52" t="s">
        <v>411</v>
      </c>
      <c r="AA3376" s="52" t="s">
        <v>247</v>
      </c>
      <c r="AB3376" s="52" t="s">
        <v>247</v>
      </c>
      <c r="AC3376" s="52">
        <v>4</v>
      </c>
      <c r="AD3376" s="52" t="s">
        <v>2</v>
      </c>
      <c r="AE3376" s="52" t="s">
        <v>373</v>
      </c>
      <c r="AF3376" s="155" t="s">
        <v>560</v>
      </c>
      <c r="AG3376" s="155">
        <v>4</v>
      </c>
    </row>
    <row r="3377" spans="25:33">
      <c r="Y3377" s="47">
        <v>3331</v>
      </c>
      <c r="Z3377" s="52" t="s">
        <v>411</v>
      </c>
      <c r="AA3377" s="52" t="s">
        <v>247</v>
      </c>
      <c r="AB3377" s="52" t="s">
        <v>247</v>
      </c>
      <c r="AC3377" s="52">
        <v>4</v>
      </c>
      <c r="AD3377" s="52" t="s">
        <v>2</v>
      </c>
      <c r="AE3377" s="52" t="s">
        <v>373</v>
      </c>
      <c r="AF3377" s="155" t="s">
        <v>559</v>
      </c>
      <c r="AG3377" s="155">
        <v>4</v>
      </c>
    </row>
    <row r="3378" spans="25:33">
      <c r="Y3378" s="47">
        <v>3332</v>
      </c>
      <c r="Z3378" s="52" t="s">
        <v>411</v>
      </c>
      <c r="AA3378" s="52" t="s">
        <v>247</v>
      </c>
      <c r="AB3378" s="52" t="s">
        <v>247</v>
      </c>
      <c r="AC3378" s="52">
        <v>4</v>
      </c>
      <c r="AD3378" s="52" t="s">
        <v>2</v>
      </c>
      <c r="AE3378" s="52" t="s">
        <v>373</v>
      </c>
      <c r="AF3378" s="155" t="s">
        <v>559</v>
      </c>
      <c r="AG3378" s="155">
        <v>4</v>
      </c>
    </row>
    <row r="3379" spans="25:33">
      <c r="Y3379" s="47">
        <v>3333</v>
      </c>
      <c r="Z3379" s="52" t="s">
        <v>411</v>
      </c>
      <c r="AA3379" s="52" t="s">
        <v>247</v>
      </c>
      <c r="AB3379" s="52" t="s">
        <v>247</v>
      </c>
      <c r="AC3379" s="52">
        <v>4</v>
      </c>
      <c r="AD3379" s="52" t="s">
        <v>2</v>
      </c>
      <c r="AE3379" s="52" t="s">
        <v>373</v>
      </c>
      <c r="AF3379" s="155" t="s">
        <v>559</v>
      </c>
      <c r="AG3379" s="155">
        <v>4</v>
      </c>
    </row>
    <row r="3380" spans="25:33">
      <c r="Y3380" s="47">
        <v>3334</v>
      </c>
      <c r="Z3380" s="52" t="s">
        <v>411</v>
      </c>
      <c r="AA3380" s="52" t="s">
        <v>247</v>
      </c>
      <c r="AB3380" s="52" t="s">
        <v>247</v>
      </c>
      <c r="AC3380" s="52">
        <v>4</v>
      </c>
      <c r="AD3380" s="52" t="s">
        <v>2</v>
      </c>
      <c r="AE3380" s="52" t="s">
        <v>373</v>
      </c>
      <c r="AF3380" s="155" t="s">
        <v>560</v>
      </c>
      <c r="AG3380" s="155">
        <v>4</v>
      </c>
    </row>
    <row r="3381" spans="25:33">
      <c r="Y3381" s="47">
        <v>3335</v>
      </c>
      <c r="Z3381" s="52" t="s">
        <v>411</v>
      </c>
      <c r="AA3381" s="52" t="s">
        <v>247</v>
      </c>
      <c r="AB3381" s="52" t="s">
        <v>247</v>
      </c>
      <c r="AC3381" s="52">
        <v>4</v>
      </c>
      <c r="AD3381" s="52" t="s">
        <v>1</v>
      </c>
      <c r="AE3381" s="52" t="s">
        <v>373</v>
      </c>
      <c r="AF3381" s="155" t="s">
        <v>559</v>
      </c>
      <c r="AG3381" s="155">
        <v>4</v>
      </c>
    </row>
    <row r="3382" spans="25:33">
      <c r="Y3382" s="47">
        <v>3336</v>
      </c>
      <c r="Z3382" s="52" t="s">
        <v>411</v>
      </c>
      <c r="AA3382" s="52" t="s">
        <v>247</v>
      </c>
      <c r="AB3382" s="52" t="s">
        <v>247</v>
      </c>
      <c r="AC3382" s="52">
        <v>4</v>
      </c>
      <c r="AD3382" s="52" t="s">
        <v>1</v>
      </c>
      <c r="AE3382" s="52" t="s">
        <v>373</v>
      </c>
      <c r="AF3382" s="155" t="s">
        <v>559</v>
      </c>
      <c r="AG3382" s="155">
        <v>4</v>
      </c>
    </row>
    <row r="3383" spans="25:33">
      <c r="Y3383" s="47">
        <v>3337</v>
      </c>
      <c r="Z3383" s="52" t="s">
        <v>411</v>
      </c>
      <c r="AA3383" s="52" t="s">
        <v>247</v>
      </c>
      <c r="AB3383" s="52" t="s">
        <v>247</v>
      </c>
      <c r="AC3383" s="52">
        <v>4</v>
      </c>
      <c r="AD3383" s="52" t="s">
        <v>1</v>
      </c>
      <c r="AE3383" s="52" t="s">
        <v>373</v>
      </c>
      <c r="AF3383" s="155" t="s">
        <v>559</v>
      </c>
      <c r="AG3383" s="155">
        <v>4</v>
      </c>
    </row>
    <row r="3384" spans="25:33">
      <c r="Y3384" s="47">
        <v>3338</v>
      </c>
      <c r="Z3384" s="52" t="s">
        <v>411</v>
      </c>
      <c r="AA3384" s="52" t="s">
        <v>247</v>
      </c>
      <c r="AB3384" s="52" t="s">
        <v>247</v>
      </c>
      <c r="AC3384" s="52">
        <v>4</v>
      </c>
      <c r="AD3384" s="52" t="s">
        <v>1</v>
      </c>
      <c r="AE3384" s="52" t="s">
        <v>373</v>
      </c>
      <c r="AF3384" s="155" t="s">
        <v>559</v>
      </c>
      <c r="AG3384" s="155">
        <v>4</v>
      </c>
    </row>
    <row r="3385" spans="25:33">
      <c r="Y3385" s="47">
        <v>3339</v>
      </c>
      <c r="Z3385" s="52" t="s">
        <v>411</v>
      </c>
      <c r="AA3385" s="52" t="s">
        <v>247</v>
      </c>
      <c r="AB3385" s="52" t="s">
        <v>247</v>
      </c>
      <c r="AC3385" s="52" t="s">
        <v>247</v>
      </c>
      <c r="AD3385" s="52" t="s">
        <v>1</v>
      </c>
      <c r="AE3385" s="52" t="s">
        <v>373</v>
      </c>
      <c r="AF3385" s="155" t="s">
        <v>247</v>
      </c>
      <c r="AG3385" s="155" t="s">
        <v>247</v>
      </c>
    </row>
    <row r="3386" spans="25:33">
      <c r="Y3386" s="47">
        <v>3340</v>
      </c>
      <c r="Z3386" s="52" t="s">
        <v>411</v>
      </c>
      <c r="AA3386" s="52" t="s">
        <v>247</v>
      </c>
      <c r="AB3386" s="52" t="s">
        <v>247</v>
      </c>
      <c r="AC3386" s="52">
        <v>4</v>
      </c>
      <c r="AD3386" s="52" t="s">
        <v>2</v>
      </c>
      <c r="AE3386" s="52" t="s">
        <v>373</v>
      </c>
      <c r="AF3386" s="155" t="s">
        <v>559</v>
      </c>
      <c r="AG3386" s="155">
        <v>4</v>
      </c>
    </row>
    <row r="3387" spans="25:33">
      <c r="Y3387" s="47">
        <v>3341</v>
      </c>
      <c r="Z3387" s="52" t="s">
        <v>411</v>
      </c>
      <c r="AA3387" s="52" t="s">
        <v>247</v>
      </c>
      <c r="AB3387" s="52" t="s">
        <v>247</v>
      </c>
      <c r="AC3387" s="52">
        <v>4</v>
      </c>
      <c r="AD3387" s="52" t="s">
        <v>2</v>
      </c>
      <c r="AE3387" s="52" t="s">
        <v>373</v>
      </c>
      <c r="AF3387" s="155" t="s">
        <v>560</v>
      </c>
      <c r="AG3387" s="155">
        <v>4</v>
      </c>
    </row>
    <row r="3388" spans="25:33">
      <c r="Y3388" s="47">
        <v>3342</v>
      </c>
      <c r="Z3388" s="52" t="s">
        <v>411</v>
      </c>
      <c r="AA3388" s="52" t="s">
        <v>247</v>
      </c>
      <c r="AB3388" s="52" t="s">
        <v>247</v>
      </c>
      <c r="AC3388" s="52">
        <v>4</v>
      </c>
      <c r="AD3388" s="52" t="s">
        <v>2</v>
      </c>
      <c r="AE3388" s="52" t="s">
        <v>373</v>
      </c>
      <c r="AF3388" s="155" t="s">
        <v>560</v>
      </c>
      <c r="AG3388" s="155">
        <v>4</v>
      </c>
    </row>
    <row r="3389" spans="25:33">
      <c r="Y3389" s="47">
        <v>3343</v>
      </c>
      <c r="Z3389" s="52" t="s">
        <v>411</v>
      </c>
      <c r="AA3389" s="52" t="s">
        <v>247</v>
      </c>
      <c r="AB3389" s="52" t="s">
        <v>247</v>
      </c>
      <c r="AC3389" s="52" t="s">
        <v>247</v>
      </c>
      <c r="AD3389" s="52" t="s">
        <v>1</v>
      </c>
      <c r="AE3389" s="52" t="s">
        <v>373</v>
      </c>
      <c r="AF3389" s="155" t="s">
        <v>247</v>
      </c>
      <c r="AG3389" s="155" t="s">
        <v>247</v>
      </c>
    </row>
    <row r="3390" spans="25:33">
      <c r="Y3390" s="47">
        <v>3344</v>
      </c>
      <c r="Z3390" s="52" t="s">
        <v>411</v>
      </c>
      <c r="AA3390" s="52" t="s">
        <v>247</v>
      </c>
      <c r="AB3390" s="52" t="s">
        <v>247</v>
      </c>
      <c r="AC3390" s="52" t="s">
        <v>247</v>
      </c>
      <c r="AD3390" s="52" t="s">
        <v>1</v>
      </c>
      <c r="AE3390" s="52" t="s">
        <v>373</v>
      </c>
      <c r="AF3390" s="155" t="s">
        <v>247</v>
      </c>
      <c r="AG3390" s="155" t="s">
        <v>247</v>
      </c>
    </row>
    <row r="3391" spans="25:33">
      <c r="Y3391" s="47">
        <v>3345</v>
      </c>
      <c r="Z3391" s="52" t="s">
        <v>411</v>
      </c>
      <c r="AA3391" s="52" t="s">
        <v>247</v>
      </c>
      <c r="AB3391" s="52" t="s">
        <v>247</v>
      </c>
      <c r="AC3391" s="52">
        <v>4</v>
      </c>
      <c r="AD3391" s="52" t="s">
        <v>2</v>
      </c>
      <c r="AE3391" s="52" t="s">
        <v>373</v>
      </c>
      <c r="AF3391" s="155" t="s">
        <v>560</v>
      </c>
      <c r="AG3391" s="155">
        <v>4</v>
      </c>
    </row>
    <row r="3392" spans="25:33">
      <c r="Y3392" s="47">
        <v>3350</v>
      </c>
      <c r="Z3392" s="52" t="s">
        <v>407</v>
      </c>
      <c r="AA3392" s="52" t="s">
        <v>247</v>
      </c>
      <c r="AB3392" s="52" t="s">
        <v>247</v>
      </c>
      <c r="AC3392" s="52">
        <v>5</v>
      </c>
      <c r="AD3392" s="52" t="s">
        <v>2</v>
      </c>
      <c r="AE3392" s="52" t="s">
        <v>373</v>
      </c>
      <c r="AF3392" s="155" t="s">
        <v>560</v>
      </c>
      <c r="AG3392" s="155">
        <v>5</v>
      </c>
    </row>
    <row r="3393" spans="25:33">
      <c r="Y3393" s="47">
        <v>3351</v>
      </c>
      <c r="Z3393" s="52" t="s">
        <v>411</v>
      </c>
      <c r="AA3393" s="52" t="s">
        <v>247</v>
      </c>
      <c r="AB3393" s="52" t="s">
        <v>247</v>
      </c>
      <c r="AC3393" s="52">
        <v>5</v>
      </c>
      <c r="AD3393" s="52" t="s">
        <v>2</v>
      </c>
      <c r="AE3393" s="52" t="s">
        <v>373</v>
      </c>
      <c r="AF3393" s="155" t="s">
        <v>560</v>
      </c>
      <c r="AG3393" s="155">
        <v>5</v>
      </c>
    </row>
    <row r="3394" spans="25:33">
      <c r="Y3394" s="47">
        <v>3352</v>
      </c>
      <c r="Z3394" s="52" t="s">
        <v>407</v>
      </c>
      <c r="AA3394" s="52" t="s">
        <v>247</v>
      </c>
      <c r="AB3394" s="52" t="s">
        <v>247</v>
      </c>
      <c r="AC3394" s="52">
        <v>5</v>
      </c>
      <c r="AD3394" s="52" t="s">
        <v>2</v>
      </c>
      <c r="AE3394" s="52" t="s">
        <v>373</v>
      </c>
      <c r="AF3394" s="155" t="s">
        <v>560</v>
      </c>
      <c r="AG3394" s="155">
        <v>5</v>
      </c>
    </row>
    <row r="3395" spans="25:33">
      <c r="Y3395" s="47">
        <v>3353</v>
      </c>
      <c r="Z3395" s="52" t="s">
        <v>407</v>
      </c>
      <c r="AA3395" s="52" t="s">
        <v>247</v>
      </c>
      <c r="AB3395" s="52" t="s">
        <v>247</v>
      </c>
      <c r="AC3395" s="52">
        <v>5</v>
      </c>
      <c r="AD3395" s="52" t="s">
        <v>2</v>
      </c>
      <c r="AE3395" s="52" t="s">
        <v>373</v>
      </c>
      <c r="AF3395" s="155" t="s">
        <v>560</v>
      </c>
      <c r="AG3395" s="155">
        <v>5</v>
      </c>
    </row>
    <row r="3396" spans="25:33">
      <c r="Y3396" s="47">
        <v>3354</v>
      </c>
      <c r="Z3396" s="52" t="s">
        <v>407</v>
      </c>
      <c r="AA3396" s="52" t="s">
        <v>247</v>
      </c>
      <c r="AB3396" s="52" t="s">
        <v>247</v>
      </c>
      <c r="AC3396" s="52">
        <v>5</v>
      </c>
      <c r="AD3396" s="52" t="s">
        <v>2</v>
      </c>
      <c r="AE3396" s="52" t="s">
        <v>373</v>
      </c>
      <c r="AF3396" s="155" t="s">
        <v>560</v>
      </c>
      <c r="AG3396" s="155">
        <v>5</v>
      </c>
    </row>
    <row r="3397" spans="25:33">
      <c r="Y3397" s="47">
        <v>3355</v>
      </c>
      <c r="Z3397" s="52" t="s">
        <v>407</v>
      </c>
      <c r="AA3397" s="52" t="s">
        <v>247</v>
      </c>
      <c r="AB3397" s="52" t="s">
        <v>247</v>
      </c>
      <c r="AC3397" s="52">
        <v>5</v>
      </c>
      <c r="AD3397" s="52" t="s">
        <v>2</v>
      </c>
      <c r="AE3397" s="52" t="s">
        <v>373</v>
      </c>
      <c r="AF3397" s="155" t="s">
        <v>560</v>
      </c>
      <c r="AG3397" s="155">
        <v>5</v>
      </c>
    </row>
    <row r="3398" spans="25:33">
      <c r="Y3398" s="47">
        <v>3356</v>
      </c>
      <c r="Z3398" s="52" t="s">
        <v>407</v>
      </c>
      <c r="AA3398" s="52" t="s">
        <v>247</v>
      </c>
      <c r="AB3398" s="52" t="s">
        <v>247</v>
      </c>
      <c r="AC3398" s="52">
        <v>5</v>
      </c>
      <c r="AD3398" s="52" t="s">
        <v>2</v>
      </c>
      <c r="AE3398" s="52" t="s">
        <v>373</v>
      </c>
      <c r="AF3398" s="155" t="s">
        <v>560</v>
      </c>
      <c r="AG3398" s="155">
        <v>5</v>
      </c>
    </row>
    <row r="3399" spans="25:33">
      <c r="Y3399" s="47">
        <v>3357</v>
      </c>
      <c r="Z3399" s="52" t="s">
        <v>407</v>
      </c>
      <c r="AA3399" s="52" t="s">
        <v>247</v>
      </c>
      <c r="AB3399" s="52" t="s">
        <v>247</v>
      </c>
      <c r="AC3399" s="52">
        <v>5</v>
      </c>
      <c r="AD3399" s="52" t="s">
        <v>2</v>
      </c>
      <c r="AE3399" s="52" t="s">
        <v>373</v>
      </c>
      <c r="AF3399" s="155" t="s">
        <v>560</v>
      </c>
      <c r="AG3399" s="155">
        <v>5</v>
      </c>
    </row>
    <row r="3400" spans="25:33">
      <c r="Y3400" s="47">
        <v>3358</v>
      </c>
      <c r="Z3400" s="52" t="s">
        <v>407</v>
      </c>
      <c r="AA3400" s="52" t="s">
        <v>247</v>
      </c>
      <c r="AB3400" s="52" t="s">
        <v>247</v>
      </c>
      <c r="AC3400" s="52">
        <v>4</v>
      </c>
      <c r="AD3400" s="52" t="s">
        <v>2</v>
      </c>
      <c r="AE3400" s="52" t="s">
        <v>373</v>
      </c>
      <c r="AF3400" s="155" t="s">
        <v>560</v>
      </c>
      <c r="AG3400" s="155">
        <v>4</v>
      </c>
    </row>
    <row r="3401" spans="25:33">
      <c r="Y3401" s="47">
        <v>3360</v>
      </c>
      <c r="Z3401" s="52" t="s">
        <v>411</v>
      </c>
      <c r="AA3401" s="52" t="s">
        <v>247</v>
      </c>
      <c r="AB3401" s="52" t="s">
        <v>247</v>
      </c>
      <c r="AC3401" s="52">
        <v>4</v>
      </c>
      <c r="AD3401" s="52" t="s">
        <v>2</v>
      </c>
      <c r="AE3401" s="52" t="s">
        <v>373</v>
      </c>
      <c r="AF3401" s="155" t="s">
        <v>560</v>
      </c>
      <c r="AG3401" s="155">
        <v>4</v>
      </c>
    </row>
    <row r="3402" spans="25:33">
      <c r="Y3402" s="47">
        <v>3361</v>
      </c>
      <c r="Z3402" s="52" t="s">
        <v>411</v>
      </c>
      <c r="AA3402" s="52" t="s">
        <v>247</v>
      </c>
      <c r="AB3402" s="52" t="s">
        <v>247</v>
      </c>
      <c r="AC3402" s="52">
        <v>4</v>
      </c>
      <c r="AD3402" s="52" t="s">
        <v>2</v>
      </c>
      <c r="AE3402" s="52" t="s">
        <v>373</v>
      </c>
      <c r="AF3402" s="155" t="s">
        <v>560</v>
      </c>
      <c r="AG3402" s="155">
        <v>4</v>
      </c>
    </row>
    <row r="3403" spans="25:33">
      <c r="Y3403" s="47">
        <v>3363</v>
      </c>
      <c r="Z3403" s="52" t="s">
        <v>407</v>
      </c>
      <c r="AA3403" s="52" t="s">
        <v>247</v>
      </c>
      <c r="AB3403" s="52" t="s">
        <v>247</v>
      </c>
      <c r="AC3403" s="52">
        <v>5</v>
      </c>
      <c r="AD3403" s="52" t="s">
        <v>2</v>
      </c>
      <c r="AE3403" s="52" t="s">
        <v>373</v>
      </c>
      <c r="AF3403" s="155" t="s">
        <v>560</v>
      </c>
      <c r="AG3403" s="155">
        <v>5</v>
      </c>
    </row>
    <row r="3404" spans="25:33">
      <c r="Y3404" s="47">
        <v>3364</v>
      </c>
      <c r="Z3404" s="52" t="s">
        <v>407</v>
      </c>
      <c r="AA3404" s="52" t="s">
        <v>247</v>
      </c>
      <c r="AB3404" s="52" t="s">
        <v>247</v>
      </c>
      <c r="AC3404" s="52">
        <v>5</v>
      </c>
      <c r="AD3404" s="52" t="s">
        <v>2</v>
      </c>
      <c r="AE3404" s="52" t="s">
        <v>373</v>
      </c>
      <c r="AF3404" s="155" t="s">
        <v>560</v>
      </c>
      <c r="AG3404" s="155">
        <v>5</v>
      </c>
    </row>
    <row r="3405" spans="25:33">
      <c r="Y3405" s="47">
        <v>3365</v>
      </c>
      <c r="Z3405" s="52" t="s">
        <v>407</v>
      </c>
      <c r="AA3405" s="52" t="s">
        <v>247</v>
      </c>
      <c r="AB3405" s="52" t="s">
        <v>247</v>
      </c>
      <c r="AC3405" s="52" t="s">
        <v>247</v>
      </c>
      <c r="AD3405" s="52" t="s">
        <v>1</v>
      </c>
      <c r="AE3405" s="52" t="s">
        <v>373</v>
      </c>
      <c r="AF3405" s="155" t="s">
        <v>247</v>
      </c>
      <c r="AG3405" s="155" t="s">
        <v>247</v>
      </c>
    </row>
    <row r="3406" spans="25:33">
      <c r="Y3406" s="47">
        <v>3366</v>
      </c>
      <c r="Z3406" s="52" t="s">
        <v>407</v>
      </c>
      <c r="AA3406" s="52" t="s">
        <v>247</v>
      </c>
      <c r="AB3406" s="52" t="s">
        <v>247</v>
      </c>
      <c r="AC3406" s="52" t="s">
        <v>247</v>
      </c>
      <c r="AD3406" s="52" t="s">
        <v>1</v>
      </c>
      <c r="AE3406" s="52" t="s">
        <v>373</v>
      </c>
      <c r="AF3406" s="155" t="s">
        <v>247</v>
      </c>
      <c r="AG3406" s="155" t="s">
        <v>247</v>
      </c>
    </row>
    <row r="3407" spans="25:33">
      <c r="Y3407" s="47">
        <v>3367</v>
      </c>
      <c r="Z3407" s="52" t="s">
        <v>407</v>
      </c>
      <c r="AA3407" s="52" t="s">
        <v>247</v>
      </c>
      <c r="AB3407" s="52" t="s">
        <v>247</v>
      </c>
      <c r="AC3407" s="52" t="s">
        <v>247</v>
      </c>
      <c r="AD3407" s="52" t="s">
        <v>1</v>
      </c>
      <c r="AE3407" s="52" t="s">
        <v>373</v>
      </c>
      <c r="AF3407" s="155" t="s">
        <v>247</v>
      </c>
      <c r="AG3407" s="155" t="s">
        <v>247</v>
      </c>
    </row>
    <row r="3408" spans="25:33">
      <c r="Y3408" s="47">
        <v>3368</v>
      </c>
      <c r="Z3408" s="52" t="s">
        <v>407</v>
      </c>
      <c r="AA3408" s="52" t="s">
        <v>247</v>
      </c>
      <c r="AB3408" s="52" t="s">
        <v>247</v>
      </c>
      <c r="AC3408" s="52" t="s">
        <v>247</v>
      </c>
      <c r="AD3408" s="52" t="s">
        <v>1</v>
      </c>
      <c r="AE3408" s="52" t="s">
        <v>373</v>
      </c>
      <c r="AF3408" s="155" t="s">
        <v>247</v>
      </c>
      <c r="AG3408" s="155" t="s">
        <v>247</v>
      </c>
    </row>
    <row r="3409" spans="25:33">
      <c r="Y3409" s="47">
        <v>3369</v>
      </c>
      <c r="Z3409" s="52" t="s">
        <v>407</v>
      </c>
      <c r="AA3409" s="52" t="s">
        <v>247</v>
      </c>
      <c r="AB3409" s="52" t="s">
        <v>247</v>
      </c>
      <c r="AC3409" s="52" t="s">
        <v>247</v>
      </c>
      <c r="AD3409" s="52" t="s">
        <v>1</v>
      </c>
      <c r="AE3409" s="52" t="s">
        <v>373</v>
      </c>
      <c r="AF3409" s="155" t="s">
        <v>247</v>
      </c>
      <c r="AG3409" s="155" t="s">
        <v>247</v>
      </c>
    </row>
    <row r="3410" spans="25:33">
      <c r="Y3410" s="47">
        <v>3370</v>
      </c>
      <c r="Z3410" s="52" t="s">
        <v>407</v>
      </c>
      <c r="AA3410" s="52" t="s">
        <v>247</v>
      </c>
      <c r="AB3410" s="52" t="s">
        <v>247</v>
      </c>
      <c r="AC3410" s="52">
        <v>5</v>
      </c>
      <c r="AD3410" s="52" t="s">
        <v>2</v>
      </c>
      <c r="AE3410" s="52" t="s">
        <v>373</v>
      </c>
      <c r="AF3410" s="155" t="s">
        <v>560</v>
      </c>
      <c r="AG3410" s="155">
        <v>5</v>
      </c>
    </row>
    <row r="3411" spans="25:33">
      <c r="Y3411" s="47">
        <v>3371</v>
      </c>
      <c r="Z3411" s="52" t="s">
        <v>411</v>
      </c>
      <c r="AA3411" s="52" t="s">
        <v>247</v>
      </c>
      <c r="AB3411" s="52" t="s">
        <v>247</v>
      </c>
      <c r="AC3411" s="52">
        <v>4</v>
      </c>
      <c r="AD3411" s="52" t="s">
        <v>2</v>
      </c>
      <c r="AE3411" s="52" t="s">
        <v>373</v>
      </c>
      <c r="AF3411" s="155" t="s">
        <v>560</v>
      </c>
      <c r="AG3411" s="155">
        <v>4</v>
      </c>
    </row>
    <row r="3412" spans="25:33">
      <c r="Y3412" s="47">
        <v>3373</v>
      </c>
      <c r="Z3412" s="52" t="s">
        <v>407</v>
      </c>
      <c r="AA3412" s="52" t="s">
        <v>247</v>
      </c>
      <c r="AB3412" s="52" t="s">
        <v>247</v>
      </c>
      <c r="AC3412" s="52">
        <v>5</v>
      </c>
      <c r="AD3412" s="52" t="s">
        <v>2</v>
      </c>
      <c r="AE3412" s="52" t="s">
        <v>373</v>
      </c>
      <c r="AF3412" s="155" t="s">
        <v>560</v>
      </c>
      <c r="AG3412" s="155">
        <v>5</v>
      </c>
    </row>
    <row r="3413" spans="25:33">
      <c r="Y3413" s="47">
        <v>3374</v>
      </c>
      <c r="Z3413" s="52" t="s">
        <v>411</v>
      </c>
      <c r="AA3413" s="52" t="s">
        <v>247</v>
      </c>
      <c r="AB3413" s="52" t="s">
        <v>247</v>
      </c>
      <c r="AC3413" s="52">
        <v>4</v>
      </c>
      <c r="AD3413" s="52" t="s">
        <v>2</v>
      </c>
      <c r="AE3413" s="52" t="s">
        <v>373</v>
      </c>
      <c r="AF3413" s="155" t="s">
        <v>560</v>
      </c>
      <c r="AG3413" s="155">
        <v>4</v>
      </c>
    </row>
    <row r="3414" spans="25:33">
      <c r="Y3414" s="47">
        <v>3375</v>
      </c>
      <c r="Z3414" s="52" t="s">
        <v>407</v>
      </c>
      <c r="AA3414" s="52" t="s">
        <v>247</v>
      </c>
      <c r="AB3414" s="52" t="s">
        <v>247</v>
      </c>
      <c r="AC3414" s="52">
        <v>5</v>
      </c>
      <c r="AD3414" s="52" t="s">
        <v>2</v>
      </c>
      <c r="AE3414" s="52" t="s">
        <v>373</v>
      </c>
      <c r="AF3414" s="155" t="s">
        <v>560</v>
      </c>
      <c r="AG3414" s="155">
        <v>5</v>
      </c>
    </row>
    <row r="3415" spans="25:33">
      <c r="Y3415" s="47">
        <v>3376</v>
      </c>
      <c r="Z3415" s="52" t="s">
        <v>407</v>
      </c>
      <c r="AA3415" s="52" t="s">
        <v>247</v>
      </c>
      <c r="AB3415" s="52" t="s">
        <v>247</v>
      </c>
      <c r="AC3415" s="52" t="s">
        <v>247</v>
      </c>
      <c r="AD3415" s="52" t="s">
        <v>1</v>
      </c>
      <c r="AE3415" s="52" t="s">
        <v>373</v>
      </c>
      <c r="AF3415" s="155" t="s">
        <v>247</v>
      </c>
      <c r="AG3415" s="155" t="s">
        <v>247</v>
      </c>
    </row>
    <row r="3416" spans="25:33">
      <c r="Y3416" s="47">
        <v>3377</v>
      </c>
      <c r="Z3416" s="52" t="s">
        <v>407</v>
      </c>
      <c r="AA3416" s="52" t="s">
        <v>247</v>
      </c>
      <c r="AB3416" s="52" t="s">
        <v>247</v>
      </c>
      <c r="AC3416" s="52">
        <v>5</v>
      </c>
      <c r="AD3416" s="52" t="s">
        <v>2</v>
      </c>
      <c r="AE3416" s="52" t="s">
        <v>373</v>
      </c>
      <c r="AF3416" s="155" t="s">
        <v>560</v>
      </c>
      <c r="AG3416" s="155">
        <v>5</v>
      </c>
    </row>
    <row r="3417" spans="25:33">
      <c r="Y3417" s="47">
        <v>3378</v>
      </c>
      <c r="Z3417" s="52" t="s">
        <v>407</v>
      </c>
      <c r="AA3417" s="52" t="s">
        <v>247</v>
      </c>
      <c r="AB3417" s="52" t="s">
        <v>247</v>
      </c>
      <c r="AC3417" s="52">
        <v>5</v>
      </c>
      <c r="AD3417" s="52" t="s">
        <v>2</v>
      </c>
      <c r="AE3417" s="52" t="s">
        <v>373</v>
      </c>
      <c r="AF3417" s="155" t="s">
        <v>560</v>
      </c>
      <c r="AG3417" s="155">
        <v>5</v>
      </c>
    </row>
    <row r="3418" spans="25:33">
      <c r="Y3418" s="47">
        <v>3379</v>
      </c>
      <c r="Z3418" s="52" t="s">
        <v>407</v>
      </c>
      <c r="AA3418" s="52" t="s">
        <v>247</v>
      </c>
      <c r="AB3418" s="52" t="s">
        <v>247</v>
      </c>
      <c r="AC3418" s="52">
        <v>5</v>
      </c>
      <c r="AD3418" s="52" t="s">
        <v>2</v>
      </c>
      <c r="AE3418" s="52" t="s">
        <v>373</v>
      </c>
      <c r="AF3418" s="155" t="s">
        <v>560</v>
      </c>
      <c r="AG3418" s="155">
        <v>5</v>
      </c>
    </row>
    <row r="3419" spans="25:33">
      <c r="Y3419" s="47">
        <v>3380</v>
      </c>
      <c r="Z3419" s="52" t="s">
        <v>411</v>
      </c>
      <c r="AA3419" s="52" t="s">
        <v>247</v>
      </c>
      <c r="AB3419" s="52" t="s">
        <v>247</v>
      </c>
      <c r="AC3419" s="52">
        <v>4</v>
      </c>
      <c r="AD3419" s="52" t="s">
        <v>2</v>
      </c>
      <c r="AE3419" s="52" t="s">
        <v>373</v>
      </c>
      <c r="AF3419" s="155" t="s">
        <v>560</v>
      </c>
      <c r="AG3419" s="155">
        <v>4</v>
      </c>
    </row>
    <row r="3420" spans="25:33">
      <c r="Y3420" s="47">
        <v>3381</v>
      </c>
      <c r="Z3420" s="52" t="s">
        <v>411</v>
      </c>
      <c r="AA3420" s="52" t="s">
        <v>247</v>
      </c>
      <c r="AB3420" s="52" t="s">
        <v>247</v>
      </c>
      <c r="AC3420" s="52">
        <v>5</v>
      </c>
      <c r="AD3420" s="52" t="s">
        <v>2</v>
      </c>
      <c r="AE3420" s="52" t="s">
        <v>373</v>
      </c>
      <c r="AF3420" s="155" t="s">
        <v>560</v>
      </c>
      <c r="AG3420" s="155">
        <v>5</v>
      </c>
    </row>
    <row r="3421" spans="25:33">
      <c r="Y3421" s="47">
        <v>3384</v>
      </c>
      <c r="Z3421" s="52" t="s">
        <v>410</v>
      </c>
      <c r="AA3421" s="52" t="s">
        <v>247</v>
      </c>
      <c r="AB3421" s="52" t="s">
        <v>247</v>
      </c>
      <c r="AC3421" s="52">
        <v>4</v>
      </c>
      <c r="AD3421" s="52" t="s">
        <v>2</v>
      </c>
      <c r="AE3421" s="52" t="s">
        <v>373</v>
      </c>
      <c r="AF3421" s="155" t="s">
        <v>560</v>
      </c>
      <c r="AG3421" s="155">
        <v>4</v>
      </c>
    </row>
    <row r="3422" spans="25:33">
      <c r="Y3422" s="47">
        <v>3385</v>
      </c>
      <c r="Z3422" s="52" t="s">
        <v>411</v>
      </c>
      <c r="AA3422" s="52" t="s">
        <v>247</v>
      </c>
      <c r="AB3422" s="52" t="s">
        <v>247</v>
      </c>
      <c r="AC3422" s="52">
        <v>4</v>
      </c>
      <c r="AD3422" s="52" t="s">
        <v>2</v>
      </c>
      <c r="AE3422" s="52" t="s">
        <v>373</v>
      </c>
      <c r="AF3422" s="155" t="s">
        <v>560</v>
      </c>
      <c r="AG3422" s="155">
        <v>4</v>
      </c>
    </row>
    <row r="3423" spans="25:33">
      <c r="Y3423" s="47">
        <v>3386</v>
      </c>
      <c r="Z3423" s="52" t="s">
        <v>411</v>
      </c>
      <c r="AA3423" s="52" t="s">
        <v>247</v>
      </c>
      <c r="AB3423" s="52" t="s">
        <v>247</v>
      </c>
      <c r="AC3423" s="52" t="s">
        <v>247</v>
      </c>
      <c r="AD3423" s="52" t="s">
        <v>1</v>
      </c>
      <c r="AE3423" s="52" t="s">
        <v>373</v>
      </c>
      <c r="AF3423" s="155" t="s">
        <v>247</v>
      </c>
      <c r="AG3423" s="155" t="s">
        <v>247</v>
      </c>
    </row>
    <row r="3424" spans="25:33">
      <c r="Y3424" s="47">
        <v>3387</v>
      </c>
      <c r="Z3424" s="52" t="s">
        <v>411</v>
      </c>
      <c r="AA3424" s="52" t="s">
        <v>247</v>
      </c>
      <c r="AB3424" s="52" t="s">
        <v>247</v>
      </c>
      <c r="AC3424" s="52">
        <v>4</v>
      </c>
      <c r="AD3424" s="52" t="s">
        <v>2</v>
      </c>
      <c r="AE3424" s="52" t="s">
        <v>373</v>
      </c>
      <c r="AF3424" s="155" t="s">
        <v>560</v>
      </c>
      <c r="AG3424" s="155">
        <v>4</v>
      </c>
    </row>
    <row r="3425" spans="25:33">
      <c r="Y3425" s="47">
        <v>3388</v>
      </c>
      <c r="Z3425" s="52" t="s">
        <v>410</v>
      </c>
      <c r="AA3425" s="52" t="s">
        <v>247</v>
      </c>
      <c r="AB3425" s="52" t="s">
        <v>247</v>
      </c>
      <c r="AC3425" s="52">
        <v>4</v>
      </c>
      <c r="AD3425" s="52" t="s">
        <v>2</v>
      </c>
      <c r="AE3425" s="52" t="s">
        <v>373</v>
      </c>
      <c r="AF3425" s="155" t="s">
        <v>560</v>
      </c>
      <c r="AG3425" s="155">
        <v>4</v>
      </c>
    </row>
    <row r="3426" spans="25:33">
      <c r="Y3426" s="47">
        <v>3389</v>
      </c>
      <c r="Z3426" s="52" t="s">
        <v>410</v>
      </c>
      <c r="AA3426" s="52" t="s">
        <v>247</v>
      </c>
      <c r="AB3426" s="52" t="s">
        <v>247</v>
      </c>
      <c r="AC3426" s="52" t="s">
        <v>247</v>
      </c>
      <c r="AD3426" s="52" t="s">
        <v>1</v>
      </c>
      <c r="AE3426" s="52" t="s">
        <v>373</v>
      </c>
      <c r="AF3426" s="155" t="s">
        <v>247</v>
      </c>
      <c r="AG3426" s="155" t="s">
        <v>247</v>
      </c>
    </row>
    <row r="3427" spans="25:33">
      <c r="Y3427" s="47">
        <v>3390</v>
      </c>
      <c r="Z3427" s="52" t="s">
        <v>410</v>
      </c>
      <c r="AA3427" s="52" t="s">
        <v>247</v>
      </c>
      <c r="AB3427" s="52" t="s">
        <v>247</v>
      </c>
      <c r="AC3427" s="52">
        <v>4</v>
      </c>
      <c r="AD3427" s="52" t="s">
        <v>2</v>
      </c>
      <c r="AE3427" s="52" t="s">
        <v>373</v>
      </c>
      <c r="AF3427" s="155" t="s">
        <v>560</v>
      </c>
      <c r="AG3427" s="155">
        <v>4</v>
      </c>
    </row>
    <row r="3428" spans="25:33">
      <c r="Y3428" s="47">
        <v>3391</v>
      </c>
      <c r="Z3428" s="52" t="s">
        <v>410</v>
      </c>
      <c r="AA3428" s="52" t="s">
        <v>247</v>
      </c>
      <c r="AB3428" s="52" t="s">
        <v>247</v>
      </c>
      <c r="AC3428" s="52">
        <v>4</v>
      </c>
      <c r="AD3428" s="52" t="s">
        <v>2</v>
      </c>
      <c r="AE3428" s="52" t="s">
        <v>373</v>
      </c>
      <c r="AF3428" s="155" t="s">
        <v>560</v>
      </c>
      <c r="AG3428" s="155">
        <v>4</v>
      </c>
    </row>
    <row r="3429" spans="25:33">
      <c r="Y3429" s="47">
        <v>3392</v>
      </c>
      <c r="Z3429" s="52" t="s">
        <v>410</v>
      </c>
      <c r="AA3429" s="52" t="s">
        <v>247</v>
      </c>
      <c r="AB3429" s="52" t="s">
        <v>247</v>
      </c>
      <c r="AC3429" s="52">
        <v>4</v>
      </c>
      <c r="AD3429" s="52" t="s">
        <v>2</v>
      </c>
      <c r="AE3429" s="52" t="s">
        <v>373</v>
      </c>
      <c r="AF3429" s="155" t="s">
        <v>560</v>
      </c>
      <c r="AG3429" s="155">
        <v>4</v>
      </c>
    </row>
    <row r="3430" spans="25:33">
      <c r="Y3430" s="47">
        <v>3393</v>
      </c>
      <c r="Z3430" s="52" t="s">
        <v>410</v>
      </c>
      <c r="AA3430" s="52" t="s">
        <v>247</v>
      </c>
      <c r="AB3430" s="52" t="s">
        <v>247</v>
      </c>
      <c r="AC3430" s="52">
        <v>4</v>
      </c>
      <c r="AD3430" s="52" t="s">
        <v>2</v>
      </c>
      <c r="AE3430" s="52" t="s">
        <v>373</v>
      </c>
      <c r="AF3430" s="155" t="s">
        <v>560</v>
      </c>
      <c r="AG3430" s="155">
        <v>4</v>
      </c>
    </row>
    <row r="3431" spans="25:33">
      <c r="Y3431" s="47">
        <v>3394</v>
      </c>
      <c r="Z3431" s="52" t="s">
        <v>410</v>
      </c>
      <c r="AA3431" s="52" t="s">
        <v>247</v>
      </c>
      <c r="AB3431" s="52" t="s">
        <v>247</v>
      </c>
      <c r="AC3431" s="52" t="s">
        <v>247</v>
      </c>
      <c r="AD3431" s="52" t="s">
        <v>1</v>
      </c>
      <c r="AE3431" s="52" t="s">
        <v>373</v>
      </c>
      <c r="AF3431" s="155" t="s">
        <v>247</v>
      </c>
      <c r="AG3431" s="155" t="s">
        <v>247</v>
      </c>
    </row>
    <row r="3432" spans="25:33">
      <c r="Y3432" s="47">
        <v>3395</v>
      </c>
      <c r="Z3432" s="52" t="s">
        <v>410</v>
      </c>
      <c r="AA3432" s="52" t="s">
        <v>247</v>
      </c>
      <c r="AB3432" s="52" t="s">
        <v>247</v>
      </c>
      <c r="AC3432" s="52">
        <v>4</v>
      </c>
      <c r="AD3432" s="52" t="s">
        <v>2</v>
      </c>
      <c r="AE3432" s="52" t="s">
        <v>373</v>
      </c>
      <c r="AF3432" s="155" t="s">
        <v>560</v>
      </c>
      <c r="AG3432" s="155">
        <v>4</v>
      </c>
    </row>
    <row r="3433" spans="25:33">
      <c r="Y3433" s="47">
        <v>3396</v>
      </c>
      <c r="Z3433" s="52" t="s">
        <v>410</v>
      </c>
      <c r="AA3433" s="52" t="s">
        <v>247</v>
      </c>
      <c r="AB3433" s="52" t="s">
        <v>247</v>
      </c>
      <c r="AC3433" s="52">
        <v>4</v>
      </c>
      <c r="AD3433" s="52" t="s">
        <v>2</v>
      </c>
      <c r="AE3433" s="52" t="s">
        <v>373</v>
      </c>
      <c r="AF3433" s="155" t="s">
        <v>560</v>
      </c>
      <c r="AG3433" s="155">
        <v>4</v>
      </c>
    </row>
    <row r="3434" spans="25:33">
      <c r="Y3434" s="47">
        <v>3400</v>
      </c>
      <c r="Z3434" s="52" t="s">
        <v>411</v>
      </c>
      <c r="AA3434" s="52" t="s">
        <v>247</v>
      </c>
      <c r="AB3434" s="52" t="s">
        <v>247</v>
      </c>
      <c r="AC3434" s="52">
        <v>4</v>
      </c>
      <c r="AD3434" s="52" t="s">
        <v>2</v>
      </c>
      <c r="AE3434" s="52" t="s">
        <v>373</v>
      </c>
      <c r="AF3434" s="155" t="s">
        <v>560</v>
      </c>
      <c r="AG3434" s="155">
        <v>4</v>
      </c>
    </row>
    <row r="3435" spans="25:33">
      <c r="Y3435" s="47">
        <v>3401</v>
      </c>
      <c r="Z3435" s="52" t="s">
        <v>411</v>
      </c>
      <c r="AA3435" s="52" t="s">
        <v>247</v>
      </c>
      <c r="AB3435" s="52" t="s">
        <v>247</v>
      </c>
      <c r="AC3435" s="52">
        <v>4</v>
      </c>
      <c r="AD3435" s="52" t="s">
        <v>2</v>
      </c>
      <c r="AE3435" s="52" t="s">
        <v>373</v>
      </c>
      <c r="AF3435" s="155" t="s">
        <v>560</v>
      </c>
      <c r="AG3435" s="155">
        <v>4</v>
      </c>
    </row>
    <row r="3436" spans="25:33">
      <c r="Y3436" s="47">
        <v>3407</v>
      </c>
      <c r="Z3436" s="52" t="s">
        <v>407</v>
      </c>
      <c r="AA3436" s="52" t="s">
        <v>247</v>
      </c>
      <c r="AB3436" s="52" t="s">
        <v>247</v>
      </c>
      <c r="AC3436" s="52">
        <v>5</v>
      </c>
      <c r="AD3436" s="52" t="s">
        <v>2</v>
      </c>
      <c r="AE3436" s="52" t="s">
        <v>373</v>
      </c>
      <c r="AF3436" s="155" t="s">
        <v>560</v>
      </c>
      <c r="AG3436" s="155">
        <v>5</v>
      </c>
    </row>
    <row r="3437" spans="25:33">
      <c r="Y3437" s="47">
        <v>3409</v>
      </c>
      <c r="Z3437" s="52" t="s">
        <v>411</v>
      </c>
      <c r="AA3437" s="52" t="s">
        <v>247</v>
      </c>
      <c r="AB3437" s="52" t="s">
        <v>247</v>
      </c>
      <c r="AC3437" s="52">
        <v>4</v>
      </c>
      <c r="AD3437" s="52" t="s">
        <v>2</v>
      </c>
      <c r="AE3437" s="52" t="s">
        <v>373</v>
      </c>
      <c r="AF3437" s="155" t="s">
        <v>560</v>
      </c>
      <c r="AG3437" s="155">
        <v>4</v>
      </c>
    </row>
    <row r="3438" spans="25:33">
      <c r="Y3438" s="47">
        <v>3410</v>
      </c>
      <c r="Z3438" s="52" t="s">
        <v>411</v>
      </c>
      <c r="AA3438" s="52" t="s">
        <v>247</v>
      </c>
      <c r="AB3438" s="52" t="s">
        <v>247</v>
      </c>
      <c r="AC3438" s="52" t="s">
        <v>247</v>
      </c>
      <c r="AD3438" s="52" t="s">
        <v>1</v>
      </c>
      <c r="AE3438" s="52" t="s">
        <v>373</v>
      </c>
      <c r="AF3438" s="155" t="s">
        <v>247</v>
      </c>
      <c r="AG3438" s="155" t="s">
        <v>247</v>
      </c>
    </row>
    <row r="3439" spans="25:33">
      <c r="Y3439" s="47">
        <v>3411</v>
      </c>
      <c r="Z3439" s="52" t="s">
        <v>411</v>
      </c>
      <c r="AA3439" s="52" t="s">
        <v>247</v>
      </c>
      <c r="AB3439" s="52" t="s">
        <v>247</v>
      </c>
      <c r="AC3439" s="52" t="s">
        <v>247</v>
      </c>
      <c r="AD3439" s="52" t="s">
        <v>1</v>
      </c>
      <c r="AE3439" s="52" t="s">
        <v>373</v>
      </c>
      <c r="AF3439" s="155" t="s">
        <v>247</v>
      </c>
      <c r="AG3439" s="155" t="s">
        <v>247</v>
      </c>
    </row>
    <row r="3440" spans="25:33">
      <c r="Y3440" s="47">
        <v>3412</v>
      </c>
      <c r="Z3440" s="52" t="s">
        <v>411</v>
      </c>
      <c r="AA3440" s="52" t="s">
        <v>247</v>
      </c>
      <c r="AB3440" s="52" t="s">
        <v>247</v>
      </c>
      <c r="AC3440" s="52">
        <v>4</v>
      </c>
      <c r="AD3440" s="52" t="s">
        <v>2</v>
      </c>
      <c r="AE3440" s="52" t="s">
        <v>373</v>
      </c>
      <c r="AF3440" s="155" t="s">
        <v>560</v>
      </c>
      <c r="AG3440" s="155">
        <v>4</v>
      </c>
    </row>
    <row r="3441" spans="25:33">
      <c r="Y3441" s="47">
        <v>3413</v>
      </c>
      <c r="Z3441" s="52" t="s">
        <v>411</v>
      </c>
      <c r="AA3441" s="52" t="s">
        <v>247</v>
      </c>
      <c r="AB3441" s="52" t="s">
        <v>247</v>
      </c>
      <c r="AC3441" s="52">
        <v>4</v>
      </c>
      <c r="AD3441" s="52" t="s">
        <v>2</v>
      </c>
      <c r="AE3441" s="52" t="s">
        <v>373</v>
      </c>
      <c r="AF3441" s="155" t="s">
        <v>560</v>
      </c>
      <c r="AG3441" s="155">
        <v>4</v>
      </c>
    </row>
    <row r="3442" spans="25:33">
      <c r="Y3442" s="47">
        <v>3414</v>
      </c>
      <c r="Z3442" s="52" t="s">
        <v>410</v>
      </c>
      <c r="AA3442" s="52" t="s">
        <v>247</v>
      </c>
      <c r="AB3442" s="52" t="s">
        <v>247</v>
      </c>
      <c r="AC3442" s="52">
        <v>4</v>
      </c>
      <c r="AD3442" s="52" t="s">
        <v>2</v>
      </c>
      <c r="AE3442" s="52" t="s">
        <v>373</v>
      </c>
      <c r="AF3442" s="155" t="s">
        <v>560</v>
      </c>
      <c r="AG3442" s="155">
        <v>4</v>
      </c>
    </row>
    <row r="3443" spans="25:33">
      <c r="Y3443" s="47">
        <v>3415</v>
      </c>
      <c r="Z3443" s="52" t="s">
        <v>410</v>
      </c>
      <c r="AA3443" s="52" t="s">
        <v>247</v>
      </c>
      <c r="AB3443" s="52" t="s">
        <v>247</v>
      </c>
      <c r="AC3443" s="52">
        <v>4</v>
      </c>
      <c r="AD3443" s="52" t="s">
        <v>2</v>
      </c>
      <c r="AE3443" s="52" t="s">
        <v>373</v>
      </c>
      <c r="AF3443" s="155" t="s">
        <v>560</v>
      </c>
      <c r="AG3443" s="155">
        <v>4</v>
      </c>
    </row>
    <row r="3444" spans="25:33">
      <c r="Y3444" s="47">
        <v>3416</v>
      </c>
      <c r="Z3444" s="52" t="s">
        <v>410</v>
      </c>
      <c r="AA3444" s="52" t="s">
        <v>247</v>
      </c>
      <c r="AB3444" s="52" t="s">
        <v>247</v>
      </c>
      <c r="AC3444" s="52" t="s">
        <v>247</v>
      </c>
      <c r="AD3444" s="52" t="s">
        <v>1</v>
      </c>
      <c r="AE3444" s="52" t="s">
        <v>373</v>
      </c>
      <c r="AF3444" s="155" t="s">
        <v>247</v>
      </c>
      <c r="AG3444" s="155" t="s">
        <v>247</v>
      </c>
    </row>
    <row r="3445" spans="25:33">
      <c r="Y3445" s="47">
        <v>3417</v>
      </c>
      <c r="Z3445" s="52" t="s">
        <v>410</v>
      </c>
      <c r="AA3445" s="52" t="s">
        <v>247</v>
      </c>
      <c r="AB3445" s="52" t="s">
        <v>247</v>
      </c>
      <c r="AC3445" s="52" t="s">
        <v>247</v>
      </c>
      <c r="AD3445" s="52" t="s">
        <v>1</v>
      </c>
      <c r="AE3445" s="52" t="s">
        <v>373</v>
      </c>
      <c r="AF3445" s="155" t="s">
        <v>247</v>
      </c>
      <c r="AG3445" s="155" t="s">
        <v>247</v>
      </c>
    </row>
    <row r="3446" spans="25:33">
      <c r="Y3446" s="47">
        <v>3418</v>
      </c>
      <c r="Z3446" s="52" t="s">
        <v>410</v>
      </c>
      <c r="AA3446" s="52" t="s">
        <v>247</v>
      </c>
      <c r="AB3446" s="52" t="s">
        <v>247</v>
      </c>
      <c r="AC3446" s="52">
        <v>4</v>
      </c>
      <c r="AD3446" s="52" t="s">
        <v>2</v>
      </c>
      <c r="AE3446" s="52" t="s">
        <v>373</v>
      </c>
      <c r="AF3446" s="155" t="s">
        <v>560</v>
      </c>
      <c r="AG3446" s="155">
        <v>4</v>
      </c>
    </row>
    <row r="3447" spans="25:33">
      <c r="Y3447" s="47">
        <v>3419</v>
      </c>
      <c r="Z3447" s="52" t="s">
        <v>410</v>
      </c>
      <c r="AA3447" s="52" t="s">
        <v>247</v>
      </c>
      <c r="AB3447" s="52" t="s">
        <v>247</v>
      </c>
      <c r="AC3447" s="52">
        <v>4</v>
      </c>
      <c r="AD3447" s="52" t="s">
        <v>2</v>
      </c>
      <c r="AE3447" s="52" t="s">
        <v>373</v>
      </c>
      <c r="AF3447" s="155" t="s">
        <v>560</v>
      </c>
      <c r="AG3447" s="155">
        <v>4</v>
      </c>
    </row>
    <row r="3448" spans="25:33">
      <c r="Y3448" s="47">
        <v>3420</v>
      </c>
      <c r="Z3448" s="52" t="s">
        <v>410</v>
      </c>
      <c r="AA3448" s="52" t="s">
        <v>247</v>
      </c>
      <c r="AB3448" s="52" t="s">
        <v>247</v>
      </c>
      <c r="AC3448" s="52">
        <v>4</v>
      </c>
      <c r="AD3448" s="52" t="s">
        <v>2</v>
      </c>
      <c r="AE3448" s="52" t="s">
        <v>373</v>
      </c>
      <c r="AF3448" s="155" t="s">
        <v>560</v>
      </c>
      <c r="AG3448" s="155">
        <v>4</v>
      </c>
    </row>
    <row r="3449" spans="25:33">
      <c r="Y3449" s="47">
        <v>3421</v>
      </c>
      <c r="Z3449" s="52" t="s">
        <v>410</v>
      </c>
      <c r="AA3449" s="52" t="s">
        <v>247</v>
      </c>
      <c r="AB3449" s="52" t="s">
        <v>247</v>
      </c>
      <c r="AC3449" s="52" t="s">
        <v>247</v>
      </c>
      <c r="AD3449" s="52" t="s">
        <v>1</v>
      </c>
      <c r="AE3449" s="52" t="s">
        <v>373</v>
      </c>
      <c r="AF3449" s="155" t="s">
        <v>247</v>
      </c>
      <c r="AG3449" s="155" t="s">
        <v>247</v>
      </c>
    </row>
    <row r="3450" spans="25:33">
      <c r="Y3450" s="47">
        <v>3422</v>
      </c>
      <c r="Z3450" s="52" t="s">
        <v>410</v>
      </c>
      <c r="AA3450" s="52" t="s">
        <v>247</v>
      </c>
      <c r="AB3450" s="52" t="s">
        <v>247</v>
      </c>
      <c r="AC3450" s="52" t="s">
        <v>247</v>
      </c>
      <c r="AD3450" s="52" t="s">
        <v>1</v>
      </c>
      <c r="AE3450" s="52" t="s">
        <v>373</v>
      </c>
      <c r="AF3450" s="155" t="s">
        <v>247</v>
      </c>
      <c r="AG3450" s="155" t="s">
        <v>247</v>
      </c>
    </row>
    <row r="3451" spans="25:33">
      <c r="Y3451" s="47">
        <v>3423</v>
      </c>
      <c r="Z3451" s="52" t="s">
        <v>410</v>
      </c>
      <c r="AA3451" s="52" t="s">
        <v>247</v>
      </c>
      <c r="AB3451" s="52" t="s">
        <v>247</v>
      </c>
      <c r="AC3451" s="52">
        <v>4</v>
      </c>
      <c r="AD3451" s="52" t="s">
        <v>2</v>
      </c>
      <c r="AE3451" s="52" t="s">
        <v>373</v>
      </c>
      <c r="AF3451" s="155" t="s">
        <v>560</v>
      </c>
      <c r="AG3451" s="155">
        <v>4</v>
      </c>
    </row>
    <row r="3452" spans="25:33">
      <c r="Y3452" s="47">
        <v>3424</v>
      </c>
      <c r="Z3452" s="52" t="s">
        <v>410</v>
      </c>
      <c r="AA3452" s="52" t="s">
        <v>247</v>
      </c>
      <c r="AB3452" s="52" t="s">
        <v>247</v>
      </c>
      <c r="AC3452" s="52">
        <v>4</v>
      </c>
      <c r="AD3452" s="52" t="s">
        <v>2</v>
      </c>
      <c r="AE3452" s="52" t="s">
        <v>373</v>
      </c>
      <c r="AF3452" s="155" t="s">
        <v>560</v>
      </c>
      <c r="AG3452" s="155">
        <v>4</v>
      </c>
    </row>
    <row r="3453" spans="25:33">
      <c r="Y3453" s="47">
        <v>3427</v>
      </c>
      <c r="Z3453" s="52" t="s">
        <v>411</v>
      </c>
      <c r="AA3453" s="52" t="s">
        <v>247</v>
      </c>
      <c r="AB3453" s="52" t="s">
        <v>247</v>
      </c>
      <c r="AC3453" s="52">
        <v>4</v>
      </c>
      <c r="AD3453" s="52" t="s">
        <v>1</v>
      </c>
      <c r="AE3453" s="52" t="s">
        <v>373</v>
      </c>
      <c r="AF3453" s="155" t="s">
        <v>559</v>
      </c>
      <c r="AG3453" s="155">
        <v>4</v>
      </c>
    </row>
    <row r="3454" spans="25:33">
      <c r="Y3454" s="47">
        <v>3428</v>
      </c>
      <c r="Z3454" s="52" t="s">
        <v>411</v>
      </c>
      <c r="AA3454" s="52" t="s">
        <v>247</v>
      </c>
      <c r="AB3454" s="52" t="s">
        <v>247</v>
      </c>
      <c r="AC3454" s="52">
        <v>4</v>
      </c>
      <c r="AD3454" s="52" t="s">
        <v>1</v>
      </c>
      <c r="AE3454" s="52" t="s">
        <v>373</v>
      </c>
      <c r="AF3454" s="155" t="s">
        <v>559</v>
      </c>
      <c r="AG3454" s="155">
        <v>4</v>
      </c>
    </row>
    <row r="3455" spans="25:33">
      <c r="Y3455" s="47">
        <v>3429</v>
      </c>
      <c r="Z3455" s="52" t="s">
        <v>411</v>
      </c>
      <c r="AA3455" s="52" t="s">
        <v>247</v>
      </c>
      <c r="AB3455" s="52" t="s">
        <v>247</v>
      </c>
      <c r="AC3455" s="52">
        <v>4</v>
      </c>
      <c r="AD3455" s="52" t="s">
        <v>1</v>
      </c>
      <c r="AE3455" s="52" t="s">
        <v>373</v>
      </c>
      <c r="AF3455" s="155" t="s">
        <v>559</v>
      </c>
      <c r="AG3455" s="155">
        <v>4</v>
      </c>
    </row>
    <row r="3456" spans="25:33">
      <c r="Y3456" s="47">
        <v>3430</v>
      </c>
      <c r="Z3456" s="52" t="s">
        <v>407</v>
      </c>
      <c r="AA3456" s="52" t="s">
        <v>247</v>
      </c>
      <c r="AB3456" s="52" t="s">
        <v>247</v>
      </c>
      <c r="AC3456" s="52">
        <v>5</v>
      </c>
      <c r="AD3456" s="52" t="s">
        <v>1</v>
      </c>
      <c r="AE3456" s="52" t="s">
        <v>373</v>
      </c>
      <c r="AF3456" s="155" t="s">
        <v>559</v>
      </c>
      <c r="AG3456" s="155">
        <v>5</v>
      </c>
    </row>
    <row r="3457" spans="25:33">
      <c r="Y3457" s="47">
        <v>3431</v>
      </c>
      <c r="Z3457" s="52" t="s">
        <v>407</v>
      </c>
      <c r="AA3457" s="52" t="s">
        <v>247</v>
      </c>
      <c r="AB3457" s="52" t="s">
        <v>247</v>
      </c>
      <c r="AC3457" s="52">
        <v>5</v>
      </c>
      <c r="AD3457" s="52" t="s">
        <v>1</v>
      </c>
      <c r="AE3457" s="52" t="s">
        <v>373</v>
      </c>
      <c r="AF3457" s="155" t="s">
        <v>560</v>
      </c>
      <c r="AG3457" s="155">
        <v>5</v>
      </c>
    </row>
    <row r="3458" spans="25:33">
      <c r="Y3458" s="47">
        <v>3432</v>
      </c>
      <c r="Z3458" s="52" t="s">
        <v>407</v>
      </c>
      <c r="AA3458" s="52" t="s">
        <v>247</v>
      </c>
      <c r="AB3458" s="52" t="s">
        <v>247</v>
      </c>
      <c r="AC3458" s="52">
        <v>5</v>
      </c>
      <c r="AD3458" s="52" t="s">
        <v>1</v>
      </c>
      <c r="AE3458" s="52" t="s">
        <v>373</v>
      </c>
      <c r="AF3458" s="155" t="s">
        <v>560</v>
      </c>
      <c r="AG3458" s="155">
        <v>5</v>
      </c>
    </row>
    <row r="3459" spans="25:33">
      <c r="Y3459" s="47">
        <v>3433</v>
      </c>
      <c r="Z3459" s="52" t="s">
        <v>407</v>
      </c>
      <c r="AA3459" s="52" t="s">
        <v>247</v>
      </c>
      <c r="AB3459" s="52" t="s">
        <v>247</v>
      </c>
      <c r="AC3459" s="52">
        <v>5</v>
      </c>
      <c r="AD3459" s="52" t="s">
        <v>1</v>
      </c>
      <c r="AE3459" s="52" t="s">
        <v>373</v>
      </c>
      <c r="AF3459" s="155" t="s">
        <v>560</v>
      </c>
      <c r="AG3459" s="155">
        <v>5</v>
      </c>
    </row>
    <row r="3460" spans="25:33">
      <c r="Y3460" s="47">
        <v>3434</v>
      </c>
      <c r="Z3460" s="52" t="s">
        <v>407</v>
      </c>
      <c r="AA3460" s="52" t="s">
        <v>247</v>
      </c>
      <c r="AB3460" s="52" t="s">
        <v>247</v>
      </c>
      <c r="AC3460" s="52">
        <v>5</v>
      </c>
      <c r="AD3460" s="52" t="s">
        <v>1</v>
      </c>
      <c r="AE3460" s="52" t="s">
        <v>373</v>
      </c>
      <c r="AF3460" s="155" t="s">
        <v>560</v>
      </c>
      <c r="AG3460" s="155">
        <v>5</v>
      </c>
    </row>
    <row r="3461" spans="25:33">
      <c r="Y3461" s="47">
        <v>3435</v>
      </c>
      <c r="Z3461" s="52" t="s">
        <v>407</v>
      </c>
      <c r="AA3461" s="52" t="s">
        <v>247</v>
      </c>
      <c r="AB3461" s="52" t="s">
        <v>247</v>
      </c>
      <c r="AC3461" s="52">
        <v>5</v>
      </c>
      <c r="AD3461" s="52" t="s">
        <v>2</v>
      </c>
      <c r="AE3461" s="52" t="s">
        <v>373</v>
      </c>
      <c r="AF3461" s="155" t="s">
        <v>560</v>
      </c>
      <c r="AG3461" s="155">
        <v>5</v>
      </c>
    </row>
    <row r="3462" spans="25:33">
      <c r="Y3462" s="47">
        <v>3436</v>
      </c>
      <c r="Z3462" s="52" t="s">
        <v>407</v>
      </c>
      <c r="AA3462" s="52" t="s">
        <v>247</v>
      </c>
      <c r="AB3462" s="52" t="s">
        <v>247</v>
      </c>
      <c r="AC3462" s="52" t="s">
        <v>247</v>
      </c>
      <c r="AD3462" s="52" t="s">
        <v>1</v>
      </c>
      <c r="AE3462" s="52" t="s">
        <v>373</v>
      </c>
      <c r="AF3462" s="155" t="s">
        <v>247</v>
      </c>
      <c r="AG3462" s="155" t="s">
        <v>247</v>
      </c>
    </row>
    <row r="3463" spans="25:33">
      <c r="Y3463" s="47">
        <v>3437</v>
      </c>
      <c r="Z3463" s="52" t="s">
        <v>407</v>
      </c>
      <c r="AA3463" s="52" t="s">
        <v>247</v>
      </c>
      <c r="AB3463" s="52" t="s">
        <v>247</v>
      </c>
      <c r="AC3463" s="52">
        <v>5</v>
      </c>
      <c r="AD3463" s="52" t="s">
        <v>2</v>
      </c>
      <c r="AE3463" s="52" t="s">
        <v>373</v>
      </c>
      <c r="AF3463" s="155" t="s">
        <v>560</v>
      </c>
      <c r="AG3463" s="155">
        <v>5</v>
      </c>
    </row>
    <row r="3464" spans="25:33">
      <c r="Y3464" s="47">
        <v>3438</v>
      </c>
      <c r="Z3464" s="52" t="s">
        <v>407</v>
      </c>
      <c r="AA3464" s="52" t="s">
        <v>247</v>
      </c>
      <c r="AB3464" s="52" t="s">
        <v>247</v>
      </c>
      <c r="AC3464" s="52">
        <v>5</v>
      </c>
      <c r="AD3464" s="52" t="s">
        <v>1</v>
      </c>
      <c r="AE3464" s="52" t="s">
        <v>373</v>
      </c>
      <c r="AF3464" s="155" t="s">
        <v>560</v>
      </c>
      <c r="AG3464" s="155">
        <v>5</v>
      </c>
    </row>
    <row r="3465" spans="25:33">
      <c r="Y3465" s="47">
        <v>3439</v>
      </c>
      <c r="Z3465" s="52" t="s">
        <v>407</v>
      </c>
      <c r="AA3465" s="52" t="s">
        <v>247</v>
      </c>
      <c r="AB3465" s="52" t="s">
        <v>247</v>
      </c>
      <c r="AC3465" s="52" t="s">
        <v>247</v>
      </c>
      <c r="AD3465" s="52" t="s">
        <v>1</v>
      </c>
      <c r="AE3465" s="52" t="s">
        <v>373</v>
      </c>
      <c r="AF3465" s="155" t="s">
        <v>247</v>
      </c>
      <c r="AG3465" s="155" t="s">
        <v>247</v>
      </c>
    </row>
    <row r="3466" spans="25:33">
      <c r="Y3466" s="47">
        <v>3440</v>
      </c>
      <c r="Z3466" s="52" t="s">
        <v>407</v>
      </c>
      <c r="AA3466" s="52" t="s">
        <v>247</v>
      </c>
      <c r="AB3466" s="52" t="s">
        <v>247</v>
      </c>
      <c r="AC3466" s="52">
        <v>4</v>
      </c>
      <c r="AD3466" s="52" t="s">
        <v>2</v>
      </c>
      <c r="AE3466" s="52" t="s">
        <v>373</v>
      </c>
      <c r="AF3466" s="155" t="s">
        <v>560</v>
      </c>
      <c r="AG3466" s="155">
        <v>4</v>
      </c>
    </row>
    <row r="3467" spans="25:33">
      <c r="Y3467" s="47">
        <v>3441</v>
      </c>
      <c r="Z3467" s="52" t="s">
        <v>407</v>
      </c>
      <c r="AA3467" s="52" t="s">
        <v>247</v>
      </c>
      <c r="AB3467" s="52" t="s">
        <v>247</v>
      </c>
      <c r="AC3467" s="52">
        <v>4</v>
      </c>
      <c r="AD3467" s="52" t="s">
        <v>1</v>
      </c>
      <c r="AE3467" s="52" t="s">
        <v>373</v>
      </c>
      <c r="AF3467" s="155" t="s">
        <v>560</v>
      </c>
      <c r="AG3467" s="155">
        <v>4</v>
      </c>
    </row>
    <row r="3468" spans="25:33">
      <c r="Y3468" s="47">
        <v>3442</v>
      </c>
      <c r="Z3468" s="52" t="s">
        <v>407</v>
      </c>
      <c r="AA3468" s="52" t="s">
        <v>247</v>
      </c>
      <c r="AB3468" s="52" t="s">
        <v>247</v>
      </c>
      <c r="AC3468" s="52">
        <v>4</v>
      </c>
      <c r="AD3468" s="52" t="s">
        <v>2</v>
      </c>
      <c r="AE3468" s="52" t="s">
        <v>373</v>
      </c>
      <c r="AF3468" s="155" t="s">
        <v>560</v>
      </c>
      <c r="AG3468" s="155">
        <v>4</v>
      </c>
    </row>
    <row r="3469" spans="25:33">
      <c r="Y3469" s="47">
        <v>3443</v>
      </c>
      <c r="Z3469" s="52" t="s">
        <v>407</v>
      </c>
      <c r="AA3469" s="52" t="s">
        <v>247</v>
      </c>
      <c r="AB3469" s="52" t="s">
        <v>247</v>
      </c>
      <c r="AC3469" s="52" t="s">
        <v>247</v>
      </c>
      <c r="AD3469" s="52" t="s">
        <v>1</v>
      </c>
      <c r="AE3469" s="52" t="s">
        <v>373</v>
      </c>
      <c r="AF3469" s="155" t="s">
        <v>247</v>
      </c>
      <c r="AG3469" s="155" t="s">
        <v>247</v>
      </c>
    </row>
    <row r="3470" spans="25:33">
      <c r="Y3470" s="47">
        <v>3444</v>
      </c>
      <c r="Z3470" s="52" t="s">
        <v>407</v>
      </c>
      <c r="AA3470" s="52" t="s">
        <v>247</v>
      </c>
      <c r="AB3470" s="52" t="s">
        <v>247</v>
      </c>
      <c r="AC3470" s="52">
        <v>4</v>
      </c>
      <c r="AD3470" s="52" t="s">
        <v>2</v>
      </c>
      <c r="AE3470" s="52" t="s">
        <v>373</v>
      </c>
      <c r="AF3470" s="155" t="s">
        <v>560</v>
      </c>
      <c r="AG3470" s="155">
        <v>4</v>
      </c>
    </row>
    <row r="3471" spans="25:33">
      <c r="Y3471" s="47">
        <v>3445</v>
      </c>
      <c r="Z3471" s="52" t="s">
        <v>407</v>
      </c>
      <c r="AA3471" s="52" t="s">
        <v>247</v>
      </c>
      <c r="AB3471" s="52" t="s">
        <v>247</v>
      </c>
      <c r="AC3471" s="52" t="s">
        <v>247</v>
      </c>
      <c r="AD3471" s="52" t="s">
        <v>1</v>
      </c>
      <c r="AE3471" s="52" t="s">
        <v>373</v>
      </c>
      <c r="AF3471" s="155" t="s">
        <v>247</v>
      </c>
      <c r="AG3471" s="155" t="s">
        <v>247</v>
      </c>
    </row>
    <row r="3472" spans="25:33">
      <c r="Y3472" s="47">
        <v>3446</v>
      </c>
      <c r="Z3472" s="52" t="s">
        <v>407</v>
      </c>
      <c r="AA3472" s="52" t="s">
        <v>247</v>
      </c>
      <c r="AB3472" s="52" t="s">
        <v>247</v>
      </c>
      <c r="AC3472" s="52">
        <v>4</v>
      </c>
      <c r="AD3472" s="52" t="s">
        <v>2</v>
      </c>
      <c r="AE3472" s="52" t="s">
        <v>373</v>
      </c>
      <c r="AF3472" s="155" t="s">
        <v>560</v>
      </c>
      <c r="AG3472" s="155">
        <v>4</v>
      </c>
    </row>
    <row r="3473" spans="25:33">
      <c r="Y3473" s="47">
        <v>3447</v>
      </c>
      <c r="Z3473" s="52" t="s">
        <v>407</v>
      </c>
      <c r="AA3473" s="52" t="s">
        <v>247</v>
      </c>
      <c r="AB3473" s="52" t="s">
        <v>247</v>
      </c>
      <c r="AC3473" s="52">
        <v>4</v>
      </c>
      <c r="AD3473" s="52" t="s">
        <v>2</v>
      </c>
      <c r="AE3473" s="52" t="s">
        <v>373</v>
      </c>
      <c r="AF3473" s="155" t="s">
        <v>560</v>
      </c>
      <c r="AG3473" s="155">
        <v>4</v>
      </c>
    </row>
    <row r="3474" spans="25:33">
      <c r="Y3474" s="47">
        <v>3448</v>
      </c>
      <c r="Z3474" s="52" t="s">
        <v>407</v>
      </c>
      <c r="AA3474" s="52" t="s">
        <v>247</v>
      </c>
      <c r="AB3474" s="52" t="s">
        <v>247</v>
      </c>
      <c r="AC3474" s="52">
        <v>4</v>
      </c>
      <c r="AD3474" s="52" t="s">
        <v>2</v>
      </c>
      <c r="AE3474" s="52" t="s">
        <v>373</v>
      </c>
      <c r="AF3474" s="155" t="s">
        <v>560</v>
      </c>
      <c r="AG3474" s="155">
        <v>4</v>
      </c>
    </row>
    <row r="3475" spans="25:33">
      <c r="Y3475" s="47">
        <v>3449</v>
      </c>
      <c r="Z3475" s="52" t="s">
        <v>407</v>
      </c>
      <c r="AA3475" s="52" t="s">
        <v>247</v>
      </c>
      <c r="AB3475" s="52" t="s">
        <v>247</v>
      </c>
      <c r="AC3475" s="52" t="s">
        <v>247</v>
      </c>
      <c r="AD3475" s="52" t="s">
        <v>1</v>
      </c>
      <c r="AE3475" s="52" t="s">
        <v>373</v>
      </c>
      <c r="AF3475" s="155" t="s">
        <v>247</v>
      </c>
      <c r="AG3475" s="155" t="s">
        <v>247</v>
      </c>
    </row>
    <row r="3476" spans="25:33">
      <c r="Y3476" s="47">
        <v>3450</v>
      </c>
      <c r="Z3476" s="52" t="s">
        <v>407</v>
      </c>
      <c r="AA3476" s="52" t="s">
        <v>247</v>
      </c>
      <c r="AB3476" s="52" t="s">
        <v>247</v>
      </c>
      <c r="AC3476" s="52">
        <v>5</v>
      </c>
      <c r="AD3476" s="52" t="s">
        <v>2</v>
      </c>
      <c r="AE3476" s="52" t="s">
        <v>373</v>
      </c>
      <c r="AF3476" s="155" t="s">
        <v>560</v>
      </c>
      <c r="AG3476" s="155">
        <v>5</v>
      </c>
    </row>
    <row r="3477" spans="25:33">
      <c r="Y3477" s="47">
        <v>3451</v>
      </c>
      <c r="Z3477" s="52" t="s">
        <v>407</v>
      </c>
      <c r="AA3477" s="52" t="s">
        <v>247</v>
      </c>
      <c r="AB3477" s="52" t="s">
        <v>247</v>
      </c>
      <c r="AC3477" s="52">
        <v>5</v>
      </c>
      <c r="AD3477" s="52" t="s">
        <v>2</v>
      </c>
      <c r="AE3477" s="52" t="s">
        <v>373</v>
      </c>
      <c r="AF3477" s="155" t="s">
        <v>560</v>
      </c>
      <c r="AG3477" s="155">
        <v>5</v>
      </c>
    </row>
    <row r="3478" spans="25:33">
      <c r="Y3478" s="47">
        <v>3452</v>
      </c>
      <c r="Z3478" s="52" t="s">
        <v>407</v>
      </c>
      <c r="AA3478" s="52" t="s">
        <v>247</v>
      </c>
      <c r="AB3478" s="52" t="s">
        <v>247</v>
      </c>
      <c r="AC3478" s="52" t="s">
        <v>247</v>
      </c>
      <c r="AD3478" s="52" t="s">
        <v>1</v>
      </c>
      <c r="AE3478" s="52" t="s">
        <v>373</v>
      </c>
      <c r="AF3478" s="155" t="s">
        <v>247</v>
      </c>
      <c r="AG3478" s="155" t="s">
        <v>247</v>
      </c>
    </row>
    <row r="3479" spans="25:33">
      <c r="Y3479" s="47">
        <v>3453</v>
      </c>
      <c r="Z3479" s="52" t="s">
        <v>407</v>
      </c>
      <c r="AA3479" s="52" t="s">
        <v>247</v>
      </c>
      <c r="AB3479" s="52" t="s">
        <v>247</v>
      </c>
      <c r="AC3479" s="52">
        <v>5</v>
      </c>
      <c r="AD3479" s="52" t="s">
        <v>2</v>
      </c>
      <c r="AE3479" s="52" t="s">
        <v>373</v>
      </c>
      <c r="AF3479" s="155" t="s">
        <v>560</v>
      </c>
      <c r="AG3479" s="155">
        <v>5</v>
      </c>
    </row>
    <row r="3480" spans="25:33">
      <c r="Y3480" s="47">
        <v>3454</v>
      </c>
      <c r="Z3480" s="52" t="s">
        <v>407</v>
      </c>
      <c r="AA3480" s="52" t="s">
        <v>247</v>
      </c>
      <c r="AB3480" s="52" t="s">
        <v>247</v>
      </c>
      <c r="AC3480" s="52" t="s">
        <v>247</v>
      </c>
      <c r="AD3480" s="52" t="s">
        <v>1</v>
      </c>
      <c r="AE3480" s="52" t="s">
        <v>373</v>
      </c>
      <c r="AF3480" s="155" t="s">
        <v>247</v>
      </c>
      <c r="AG3480" s="155" t="s">
        <v>247</v>
      </c>
    </row>
    <row r="3481" spans="25:33">
      <c r="Y3481" s="47">
        <v>3455</v>
      </c>
      <c r="Z3481" s="52" t="s">
        <v>407</v>
      </c>
      <c r="AA3481" s="52" t="s">
        <v>247</v>
      </c>
      <c r="AB3481" s="52" t="s">
        <v>247</v>
      </c>
      <c r="AC3481" s="52" t="s">
        <v>247</v>
      </c>
      <c r="AD3481" s="52" t="s">
        <v>1</v>
      </c>
      <c r="AE3481" s="52" t="s">
        <v>373</v>
      </c>
      <c r="AF3481" s="155" t="s">
        <v>247</v>
      </c>
      <c r="AG3481" s="155" t="s">
        <v>247</v>
      </c>
    </row>
    <row r="3482" spans="25:33">
      <c r="Y3482" s="47">
        <v>3456</v>
      </c>
      <c r="Z3482" s="52" t="s">
        <v>407</v>
      </c>
      <c r="AA3482" s="52" t="s">
        <v>247</v>
      </c>
      <c r="AB3482" s="52" t="s">
        <v>247</v>
      </c>
      <c r="AC3482" s="52" t="s">
        <v>247</v>
      </c>
      <c r="AD3482" s="52" t="s">
        <v>1</v>
      </c>
      <c r="AE3482" s="52" t="s">
        <v>373</v>
      </c>
      <c r="AF3482" s="155" t="s">
        <v>247</v>
      </c>
      <c r="AG3482" s="155" t="s">
        <v>247</v>
      </c>
    </row>
    <row r="3483" spans="25:33">
      <c r="Y3483" s="47">
        <v>3457</v>
      </c>
      <c r="Z3483" s="52" t="s">
        <v>407</v>
      </c>
      <c r="AA3483" s="52" t="s">
        <v>247</v>
      </c>
      <c r="AB3483" s="52" t="s">
        <v>247</v>
      </c>
      <c r="AC3483" s="52" t="s">
        <v>247</v>
      </c>
      <c r="AD3483" s="52" t="s">
        <v>1</v>
      </c>
      <c r="AE3483" s="52" t="s">
        <v>373</v>
      </c>
      <c r="AF3483" s="155" t="s">
        <v>247</v>
      </c>
      <c r="AG3483" s="155" t="s">
        <v>247</v>
      </c>
    </row>
    <row r="3484" spans="25:33">
      <c r="Y3484" s="47">
        <v>3458</v>
      </c>
      <c r="Z3484" s="52" t="s">
        <v>407</v>
      </c>
      <c r="AA3484" s="52" t="s">
        <v>247</v>
      </c>
      <c r="AB3484" s="52" t="s">
        <v>247</v>
      </c>
      <c r="AC3484" s="52">
        <v>5</v>
      </c>
      <c r="AD3484" s="52" t="s">
        <v>2</v>
      </c>
      <c r="AE3484" s="52" t="s">
        <v>373</v>
      </c>
      <c r="AF3484" s="155" t="s">
        <v>560</v>
      </c>
      <c r="AG3484" s="155">
        <v>5</v>
      </c>
    </row>
    <row r="3485" spans="25:33">
      <c r="Y3485" s="47">
        <v>3459</v>
      </c>
      <c r="Z3485" s="52" t="s">
        <v>407</v>
      </c>
      <c r="AA3485" s="52" t="s">
        <v>247</v>
      </c>
      <c r="AB3485" s="52" t="s">
        <v>247</v>
      </c>
      <c r="AC3485" s="52" t="s">
        <v>247</v>
      </c>
      <c r="AD3485" s="52" t="s">
        <v>1</v>
      </c>
      <c r="AE3485" s="52" t="s">
        <v>373</v>
      </c>
      <c r="AF3485" s="155" t="s">
        <v>247</v>
      </c>
      <c r="AG3485" s="155" t="s">
        <v>247</v>
      </c>
    </row>
    <row r="3486" spans="25:33">
      <c r="Y3486" s="47">
        <v>3460</v>
      </c>
      <c r="Z3486" s="52" t="s">
        <v>407</v>
      </c>
      <c r="AA3486" s="52" t="s">
        <v>247</v>
      </c>
      <c r="AB3486" s="52" t="s">
        <v>247</v>
      </c>
      <c r="AC3486" s="52">
        <v>5</v>
      </c>
      <c r="AD3486" s="52" t="s">
        <v>2</v>
      </c>
      <c r="AE3486" s="52" t="s">
        <v>373</v>
      </c>
      <c r="AF3486" s="155" t="s">
        <v>560</v>
      </c>
      <c r="AG3486" s="155">
        <v>5</v>
      </c>
    </row>
    <row r="3487" spans="25:33">
      <c r="Y3487" s="47">
        <v>3461</v>
      </c>
      <c r="Z3487" s="52" t="s">
        <v>407</v>
      </c>
      <c r="AA3487" s="52" t="s">
        <v>247</v>
      </c>
      <c r="AB3487" s="52" t="s">
        <v>247</v>
      </c>
      <c r="AC3487" s="52">
        <v>5</v>
      </c>
      <c r="AD3487" s="52" t="s">
        <v>2</v>
      </c>
      <c r="AE3487" s="52" t="s">
        <v>373</v>
      </c>
      <c r="AF3487" s="155" t="s">
        <v>560</v>
      </c>
      <c r="AG3487" s="155">
        <v>5</v>
      </c>
    </row>
    <row r="3488" spans="25:33">
      <c r="Y3488" s="47">
        <v>3462</v>
      </c>
      <c r="Z3488" s="52" t="s">
        <v>407</v>
      </c>
      <c r="AA3488" s="52" t="s">
        <v>247</v>
      </c>
      <c r="AB3488" s="52" t="s">
        <v>247</v>
      </c>
      <c r="AC3488" s="52">
        <v>5</v>
      </c>
      <c r="AD3488" s="52" t="s">
        <v>2</v>
      </c>
      <c r="AE3488" s="52" t="s">
        <v>373</v>
      </c>
      <c r="AF3488" s="155" t="s">
        <v>560</v>
      </c>
      <c r="AG3488" s="155">
        <v>5</v>
      </c>
    </row>
    <row r="3489" spans="25:33">
      <c r="Y3489" s="47">
        <v>3463</v>
      </c>
      <c r="Z3489" s="52" t="s">
        <v>407</v>
      </c>
      <c r="AA3489" s="52" t="s">
        <v>247</v>
      </c>
      <c r="AB3489" s="52" t="s">
        <v>247</v>
      </c>
      <c r="AC3489" s="52">
        <v>5</v>
      </c>
      <c r="AD3489" s="52" t="s">
        <v>2</v>
      </c>
      <c r="AE3489" s="52" t="s">
        <v>373</v>
      </c>
      <c r="AF3489" s="155" t="s">
        <v>560</v>
      </c>
      <c r="AG3489" s="155">
        <v>5</v>
      </c>
    </row>
    <row r="3490" spans="25:33">
      <c r="Y3490" s="47">
        <v>3464</v>
      </c>
      <c r="Z3490" s="52" t="s">
        <v>410</v>
      </c>
      <c r="AA3490" s="52" t="s">
        <v>247</v>
      </c>
      <c r="AB3490" s="52" t="s">
        <v>247</v>
      </c>
      <c r="AC3490" s="52">
        <v>4</v>
      </c>
      <c r="AD3490" s="52" t="s">
        <v>2</v>
      </c>
      <c r="AE3490" s="52" t="s">
        <v>373</v>
      </c>
      <c r="AF3490" s="155" t="s">
        <v>560</v>
      </c>
      <c r="AG3490" s="155">
        <v>4</v>
      </c>
    </row>
    <row r="3491" spans="25:33">
      <c r="Y3491" s="47">
        <v>3465</v>
      </c>
      <c r="Z3491" s="52" t="s">
        <v>410</v>
      </c>
      <c r="AA3491" s="52" t="s">
        <v>247</v>
      </c>
      <c r="AB3491" s="52" t="s">
        <v>247</v>
      </c>
      <c r="AC3491" s="52">
        <v>4</v>
      </c>
      <c r="AD3491" s="52" t="s">
        <v>2</v>
      </c>
      <c r="AE3491" s="52" t="s">
        <v>373</v>
      </c>
      <c r="AF3491" s="155" t="s">
        <v>560</v>
      </c>
      <c r="AG3491" s="155">
        <v>4</v>
      </c>
    </row>
    <row r="3492" spans="25:33">
      <c r="Y3492" s="47">
        <v>3467</v>
      </c>
      <c r="Z3492" s="52" t="s">
        <v>407</v>
      </c>
      <c r="AA3492" s="52" t="s">
        <v>247</v>
      </c>
      <c r="AB3492" s="52" t="s">
        <v>247</v>
      </c>
      <c r="AC3492" s="52">
        <v>5</v>
      </c>
      <c r="AD3492" s="52" t="s">
        <v>2</v>
      </c>
      <c r="AE3492" s="52" t="s">
        <v>373</v>
      </c>
      <c r="AF3492" s="155" t="s">
        <v>560</v>
      </c>
      <c r="AG3492" s="155">
        <v>5</v>
      </c>
    </row>
    <row r="3493" spans="25:33">
      <c r="Y3493" s="47">
        <v>3468</v>
      </c>
      <c r="Z3493" s="52" t="s">
        <v>407</v>
      </c>
      <c r="AA3493" s="52" t="s">
        <v>247</v>
      </c>
      <c r="AB3493" s="52" t="s">
        <v>247</v>
      </c>
      <c r="AC3493" s="52">
        <v>5</v>
      </c>
      <c r="AD3493" s="52" t="s">
        <v>2</v>
      </c>
      <c r="AE3493" s="52" t="s">
        <v>373</v>
      </c>
      <c r="AF3493" s="155" t="s">
        <v>560</v>
      </c>
      <c r="AG3493" s="155">
        <v>5</v>
      </c>
    </row>
    <row r="3494" spans="25:33">
      <c r="Y3494" s="47">
        <v>3469</v>
      </c>
      <c r="Z3494" s="52" t="s">
        <v>407</v>
      </c>
      <c r="AA3494" s="52" t="s">
        <v>247</v>
      </c>
      <c r="AB3494" s="52" t="s">
        <v>247</v>
      </c>
      <c r="AC3494" s="52">
        <v>5</v>
      </c>
      <c r="AD3494" s="52" t="s">
        <v>2</v>
      </c>
      <c r="AE3494" s="52" t="s">
        <v>373</v>
      </c>
      <c r="AF3494" s="155" t="s">
        <v>560</v>
      </c>
      <c r="AG3494" s="155">
        <v>5</v>
      </c>
    </row>
    <row r="3495" spans="25:33">
      <c r="Y3495" s="47">
        <v>3472</v>
      </c>
      <c r="Z3495" s="52" t="s">
        <v>410</v>
      </c>
      <c r="AA3495" s="52" t="s">
        <v>247</v>
      </c>
      <c r="AB3495" s="52" t="s">
        <v>247</v>
      </c>
      <c r="AC3495" s="52">
        <v>4</v>
      </c>
      <c r="AD3495" s="52" t="s">
        <v>2</v>
      </c>
      <c r="AE3495" s="52" t="s">
        <v>373</v>
      </c>
      <c r="AF3495" s="155" t="s">
        <v>560</v>
      </c>
      <c r="AG3495" s="155">
        <v>4</v>
      </c>
    </row>
    <row r="3496" spans="25:33">
      <c r="Y3496" s="47">
        <v>3473</v>
      </c>
      <c r="Z3496" s="52" t="s">
        <v>410</v>
      </c>
      <c r="AA3496" s="52" t="s">
        <v>247</v>
      </c>
      <c r="AB3496" s="52" t="s">
        <v>247</v>
      </c>
      <c r="AC3496" s="52" t="s">
        <v>247</v>
      </c>
      <c r="AD3496" s="52" t="s">
        <v>1</v>
      </c>
      <c r="AE3496" s="52" t="s">
        <v>373</v>
      </c>
      <c r="AF3496" s="155" t="s">
        <v>247</v>
      </c>
      <c r="AG3496" s="155" t="s">
        <v>247</v>
      </c>
    </row>
    <row r="3497" spans="25:33">
      <c r="Y3497" s="47">
        <v>3474</v>
      </c>
      <c r="Z3497" s="52" t="s">
        <v>410</v>
      </c>
      <c r="AA3497" s="52" t="s">
        <v>247</v>
      </c>
      <c r="AB3497" s="52" t="s">
        <v>247</v>
      </c>
      <c r="AC3497" s="52" t="s">
        <v>247</v>
      </c>
      <c r="AD3497" s="52" t="s">
        <v>1</v>
      </c>
      <c r="AE3497" s="52" t="s">
        <v>373</v>
      </c>
      <c r="AF3497" s="155" t="s">
        <v>247</v>
      </c>
      <c r="AG3497" s="155" t="s">
        <v>247</v>
      </c>
    </row>
    <row r="3498" spans="25:33">
      <c r="Y3498" s="47">
        <v>3475</v>
      </c>
      <c r="Z3498" s="52" t="s">
        <v>410</v>
      </c>
      <c r="AA3498" s="52" t="s">
        <v>247</v>
      </c>
      <c r="AB3498" s="52" t="s">
        <v>247</v>
      </c>
      <c r="AC3498" s="52">
        <v>4</v>
      </c>
      <c r="AD3498" s="52" t="s">
        <v>2</v>
      </c>
      <c r="AE3498" s="52" t="s">
        <v>373</v>
      </c>
      <c r="AF3498" s="155" t="s">
        <v>560</v>
      </c>
      <c r="AG3498" s="155">
        <v>4</v>
      </c>
    </row>
    <row r="3499" spans="25:33">
      <c r="Y3499" s="47">
        <v>3476</v>
      </c>
      <c r="Z3499" s="52" t="s">
        <v>410</v>
      </c>
      <c r="AA3499" s="52" t="s">
        <v>247</v>
      </c>
      <c r="AB3499" s="52" t="s">
        <v>247</v>
      </c>
      <c r="AC3499" s="52" t="s">
        <v>247</v>
      </c>
      <c r="AD3499" s="52" t="s">
        <v>1</v>
      </c>
      <c r="AE3499" s="52" t="s">
        <v>373</v>
      </c>
      <c r="AF3499" s="155" t="s">
        <v>247</v>
      </c>
      <c r="AG3499" s="155" t="s">
        <v>247</v>
      </c>
    </row>
    <row r="3500" spans="25:33">
      <c r="Y3500" s="47">
        <v>3477</v>
      </c>
      <c r="Z3500" s="52" t="s">
        <v>410</v>
      </c>
      <c r="AA3500" s="52" t="s">
        <v>247</v>
      </c>
      <c r="AB3500" s="52" t="s">
        <v>247</v>
      </c>
      <c r="AC3500" s="52">
        <v>4</v>
      </c>
      <c r="AD3500" s="52" t="s">
        <v>2</v>
      </c>
      <c r="AE3500" s="52" t="s">
        <v>373</v>
      </c>
      <c r="AF3500" s="155" t="s">
        <v>560</v>
      </c>
      <c r="AG3500" s="155">
        <v>4</v>
      </c>
    </row>
    <row r="3501" spans="25:33">
      <c r="Y3501" s="47">
        <v>3478</v>
      </c>
      <c r="Z3501" s="52" t="s">
        <v>410</v>
      </c>
      <c r="AA3501" s="52" t="s">
        <v>247</v>
      </c>
      <c r="AB3501" s="52" t="s">
        <v>247</v>
      </c>
      <c r="AC3501" s="52">
        <v>4</v>
      </c>
      <c r="AD3501" s="52" t="s">
        <v>2</v>
      </c>
      <c r="AE3501" s="52" t="s">
        <v>373</v>
      </c>
      <c r="AF3501" s="155" t="s">
        <v>560</v>
      </c>
      <c r="AG3501" s="155">
        <v>4</v>
      </c>
    </row>
    <row r="3502" spans="25:33">
      <c r="Y3502" s="47">
        <v>3479</v>
      </c>
      <c r="Z3502" s="52" t="s">
        <v>410</v>
      </c>
      <c r="AA3502" s="52" t="s">
        <v>247</v>
      </c>
      <c r="AB3502" s="52" t="s">
        <v>247</v>
      </c>
      <c r="AC3502" s="52" t="s">
        <v>247</v>
      </c>
      <c r="AD3502" s="52" t="s">
        <v>1</v>
      </c>
      <c r="AE3502" s="52" t="s">
        <v>373</v>
      </c>
      <c r="AF3502" s="155" t="s">
        <v>247</v>
      </c>
      <c r="AG3502" s="155" t="s">
        <v>247</v>
      </c>
    </row>
    <row r="3503" spans="25:33">
      <c r="Y3503" s="47">
        <v>3480</v>
      </c>
      <c r="Z3503" s="52" t="s">
        <v>410</v>
      </c>
      <c r="AA3503" s="52" t="s">
        <v>247</v>
      </c>
      <c r="AB3503" s="52" t="s">
        <v>247</v>
      </c>
      <c r="AC3503" s="52">
        <v>4</v>
      </c>
      <c r="AD3503" s="52" t="s">
        <v>2</v>
      </c>
      <c r="AE3503" s="52" t="s">
        <v>373</v>
      </c>
      <c r="AF3503" s="155" t="s">
        <v>560</v>
      </c>
      <c r="AG3503" s="155">
        <v>4</v>
      </c>
    </row>
    <row r="3504" spans="25:33">
      <c r="Y3504" s="47">
        <v>3481</v>
      </c>
      <c r="Z3504" s="52" t="s">
        <v>410</v>
      </c>
      <c r="AA3504" s="52" t="s">
        <v>247</v>
      </c>
      <c r="AB3504" s="52" t="s">
        <v>247</v>
      </c>
      <c r="AC3504" s="52" t="s">
        <v>247</v>
      </c>
      <c r="AD3504" s="52" t="s">
        <v>1</v>
      </c>
      <c r="AE3504" s="52" t="s">
        <v>373</v>
      </c>
      <c r="AF3504" s="155" t="s">
        <v>247</v>
      </c>
      <c r="AG3504" s="155" t="s">
        <v>247</v>
      </c>
    </row>
    <row r="3505" spans="25:33">
      <c r="Y3505" s="47">
        <v>3482</v>
      </c>
      <c r="Z3505" s="52" t="s">
        <v>410</v>
      </c>
      <c r="AA3505" s="52" t="s">
        <v>247</v>
      </c>
      <c r="AB3505" s="52" t="s">
        <v>247</v>
      </c>
      <c r="AC3505" s="52">
        <v>4</v>
      </c>
      <c r="AD3505" s="52" t="s">
        <v>2</v>
      </c>
      <c r="AE3505" s="52" t="s">
        <v>373</v>
      </c>
      <c r="AF3505" s="155" t="s">
        <v>560</v>
      </c>
      <c r="AG3505" s="155">
        <v>4</v>
      </c>
    </row>
    <row r="3506" spans="25:33">
      <c r="Y3506" s="47">
        <v>3483</v>
      </c>
      <c r="Z3506" s="52" t="s">
        <v>410</v>
      </c>
      <c r="AA3506" s="52" t="s">
        <v>247</v>
      </c>
      <c r="AB3506" s="52" t="s">
        <v>247</v>
      </c>
      <c r="AC3506" s="52">
        <v>4</v>
      </c>
      <c r="AD3506" s="52" t="s">
        <v>2</v>
      </c>
      <c r="AE3506" s="52" t="s">
        <v>373</v>
      </c>
      <c r="AF3506" s="155" t="s">
        <v>560</v>
      </c>
      <c r="AG3506" s="155">
        <v>4</v>
      </c>
    </row>
    <row r="3507" spans="25:33">
      <c r="Y3507" s="47">
        <v>3484</v>
      </c>
      <c r="Z3507" s="52" t="s">
        <v>410</v>
      </c>
      <c r="AA3507" s="52" t="s">
        <v>247</v>
      </c>
      <c r="AB3507" s="52" t="s">
        <v>247</v>
      </c>
      <c r="AC3507" s="52" t="s">
        <v>247</v>
      </c>
      <c r="AD3507" s="52" t="s">
        <v>1</v>
      </c>
      <c r="AE3507" s="52" t="s">
        <v>373</v>
      </c>
      <c r="AF3507" s="155" t="s">
        <v>247</v>
      </c>
      <c r="AG3507" s="155" t="s">
        <v>247</v>
      </c>
    </row>
    <row r="3508" spans="25:33">
      <c r="Y3508" s="47">
        <v>3485</v>
      </c>
      <c r="Z3508" s="52" t="s">
        <v>410</v>
      </c>
      <c r="AA3508" s="52" t="s">
        <v>247</v>
      </c>
      <c r="AB3508" s="52" t="s">
        <v>247</v>
      </c>
      <c r="AC3508" s="52">
        <v>4</v>
      </c>
      <c r="AD3508" s="52" t="s">
        <v>2</v>
      </c>
      <c r="AE3508" s="52" t="s">
        <v>373</v>
      </c>
      <c r="AF3508" s="155" t="s">
        <v>560</v>
      </c>
      <c r="AG3508" s="155">
        <v>4</v>
      </c>
    </row>
    <row r="3509" spans="25:33">
      <c r="Y3509" s="47">
        <v>3486</v>
      </c>
      <c r="Z3509" s="52" t="s">
        <v>410</v>
      </c>
      <c r="AA3509" s="52" t="s">
        <v>247</v>
      </c>
      <c r="AB3509" s="52" t="s">
        <v>247</v>
      </c>
      <c r="AC3509" s="52" t="s">
        <v>247</v>
      </c>
      <c r="AD3509" s="52" t="s">
        <v>1</v>
      </c>
      <c r="AE3509" s="52" t="s">
        <v>373</v>
      </c>
      <c r="AF3509" s="155" t="s">
        <v>247</v>
      </c>
      <c r="AG3509" s="155" t="s">
        <v>247</v>
      </c>
    </row>
    <row r="3510" spans="25:33">
      <c r="Y3510" s="47">
        <v>3487</v>
      </c>
      <c r="Z3510" s="52" t="s">
        <v>410</v>
      </c>
      <c r="AA3510" s="52" t="s">
        <v>247</v>
      </c>
      <c r="AB3510" s="52" t="s">
        <v>247</v>
      </c>
      <c r="AC3510" s="52">
        <v>4</v>
      </c>
      <c r="AD3510" s="52" t="s">
        <v>2</v>
      </c>
      <c r="AE3510" s="52" t="s">
        <v>373</v>
      </c>
      <c r="AF3510" s="155" t="s">
        <v>561</v>
      </c>
      <c r="AG3510" s="155">
        <v>4</v>
      </c>
    </row>
    <row r="3511" spans="25:33">
      <c r="Y3511" s="47">
        <v>3488</v>
      </c>
      <c r="Z3511" s="52" t="s">
        <v>410</v>
      </c>
      <c r="AA3511" s="52" t="s">
        <v>247</v>
      </c>
      <c r="AB3511" s="52" t="s">
        <v>247</v>
      </c>
      <c r="AC3511" s="52">
        <v>4</v>
      </c>
      <c r="AD3511" s="52" t="s">
        <v>2</v>
      </c>
      <c r="AE3511" s="52" t="s">
        <v>373</v>
      </c>
      <c r="AF3511" s="155" t="s">
        <v>561</v>
      </c>
      <c r="AG3511" s="155">
        <v>4</v>
      </c>
    </row>
    <row r="3512" spans="25:33">
      <c r="Y3512" s="47">
        <v>3489</v>
      </c>
      <c r="Z3512" s="52" t="s">
        <v>410</v>
      </c>
      <c r="AA3512" s="52" t="s">
        <v>247</v>
      </c>
      <c r="AB3512" s="52" t="s">
        <v>247</v>
      </c>
      <c r="AC3512" s="52">
        <v>4</v>
      </c>
      <c r="AD3512" s="52" t="s">
        <v>2</v>
      </c>
      <c r="AE3512" s="52" t="s">
        <v>373</v>
      </c>
      <c r="AF3512" s="155" t="s">
        <v>561</v>
      </c>
      <c r="AG3512" s="155">
        <v>4</v>
      </c>
    </row>
    <row r="3513" spans="25:33">
      <c r="Y3513" s="47">
        <v>3490</v>
      </c>
      <c r="Z3513" s="52" t="s">
        <v>410</v>
      </c>
      <c r="AA3513" s="52" t="s">
        <v>247</v>
      </c>
      <c r="AB3513" s="52" t="s">
        <v>247</v>
      </c>
      <c r="AC3513" s="52">
        <v>4</v>
      </c>
      <c r="AD3513" s="52" t="s">
        <v>2</v>
      </c>
      <c r="AE3513" s="52" t="s">
        <v>373</v>
      </c>
      <c r="AF3513" s="155" t="s">
        <v>561</v>
      </c>
      <c r="AG3513" s="155">
        <v>4</v>
      </c>
    </row>
    <row r="3514" spans="25:33">
      <c r="Y3514" s="47">
        <v>3491</v>
      </c>
      <c r="Z3514" s="52" t="s">
        <v>410</v>
      </c>
      <c r="AA3514" s="52" t="s">
        <v>247</v>
      </c>
      <c r="AB3514" s="52" t="s">
        <v>247</v>
      </c>
      <c r="AC3514" s="52">
        <v>4</v>
      </c>
      <c r="AD3514" s="52" t="s">
        <v>2</v>
      </c>
      <c r="AE3514" s="52" t="s">
        <v>373</v>
      </c>
      <c r="AF3514" s="155" t="s">
        <v>561</v>
      </c>
      <c r="AG3514" s="155">
        <v>4</v>
      </c>
    </row>
    <row r="3515" spans="25:33">
      <c r="Y3515" s="47">
        <v>3492</v>
      </c>
      <c r="Z3515" s="52" t="s">
        <v>410</v>
      </c>
      <c r="AA3515" s="52" t="s">
        <v>247</v>
      </c>
      <c r="AB3515" s="52" t="s">
        <v>247</v>
      </c>
      <c r="AC3515" s="52" t="s">
        <v>247</v>
      </c>
      <c r="AD3515" s="52" t="s">
        <v>1</v>
      </c>
      <c r="AE3515" s="52" t="s">
        <v>373</v>
      </c>
      <c r="AF3515" s="155" t="s">
        <v>247</v>
      </c>
      <c r="AG3515" s="155" t="s">
        <v>247</v>
      </c>
    </row>
    <row r="3516" spans="25:33">
      <c r="Y3516" s="47">
        <v>3493</v>
      </c>
      <c r="Z3516" s="52" t="s">
        <v>410</v>
      </c>
      <c r="AA3516" s="52" t="s">
        <v>247</v>
      </c>
      <c r="AB3516" s="52" t="s">
        <v>247</v>
      </c>
      <c r="AC3516" s="52" t="s">
        <v>247</v>
      </c>
      <c r="AD3516" s="52" t="s">
        <v>1</v>
      </c>
      <c r="AE3516" s="52" t="s">
        <v>373</v>
      </c>
      <c r="AF3516" s="155" t="s">
        <v>247</v>
      </c>
      <c r="AG3516" s="155" t="s">
        <v>247</v>
      </c>
    </row>
    <row r="3517" spans="25:33">
      <c r="Y3517" s="47">
        <v>3494</v>
      </c>
      <c r="Z3517" s="52" t="s">
        <v>410</v>
      </c>
      <c r="AA3517" s="52" t="s">
        <v>247</v>
      </c>
      <c r="AB3517" s="52" t="s">
        <v>247</v>
      </c>
      <c r="AC3517" s="52">
        <v>4</v>
      </c>
      <c r="AD3517" s="52" t="s">
        <v>2</v>
      </c>
      <c r="AE3517" s="52" t="s">
        <v>373</v>
      </c>
      <c r="AF3517" s="155" t="s">
        <v>561</v>
      </c>
      <c r="AG3517" s="155">
        <v>4</v>
      </c>
    </row>
    <row r="3518" spans="25:33">
      <c r="Y3518" s="47">
        <v>3495</v>
      </c>
      <c r="Z3518" s="52" t="s">
        <v>410</v>
      </c>
      <c r="AA3518" s="52" t="s">
        <v>247</v>
      </c>
      <c r="AB3518" s="52" t="s">
        <v>247</v>
      </c>
      <c r="AC3518" s="52" t="s">
        <v>247</v>
      </c>
      <c r="AD3518" s="52" t="s">
        <v>1</v>
      </c>
      <c r="AE3518" s="52" t="s">
        <v>373</v>
      </c>
      <c r="AF3518" s="155" t="s">
        <v>247</v>
      </c>
      <c r="AG3518" s="155" t="s">
        <v>247</v>
      </c>
    </row>
    <row r="3519" spans="25:33">
      <c r="Y3519" s="47">
        <v>3496</v>
      </c>
      <c r="Z3519" s="52" t="s">
        <v>410</v>
      </c>
      <c r="AA3519" s="52" t="s">
        <v>247</v>
      </c>
      <c r="AB3519" s="52" t="s">
        <v>247</v>
      </c>
      <c r="AC3519" s="52">
        <v>4</v>
      </c>
      <c r="AD3519" s="52" t="s">
        <v>2</v>
      </c>
      <c r="AE3519" s="52" t="s">
        <v>373</v>
      </c>
      <c r="AF3519" s="155" t="s">
        <v>561</v>
      </c>
      <c r="AG3519" s="155">
        <v>4</v>
      </c>
    </row>
    <row r="3520" spans="25:33">
      <c r="Y3520" s="47">
        <v>3497</v>
      </c>
      <c r="Z3520" s="52" t="s">
        <v>410</v>
      </c>
      <c r="AA3520" s="52" t="s">
        <v>247</v>
      </c>
      <c r="AB3520" s="52" t="s">
        <v>247</v>
      </c>
      <c r="AC3520" s="52" t="s">
        <v>247</v>
      </c>
      <c r="AD3520" s="52" t="s">
        <v>1</v>
      </c>
      <c r="AE3520" s="52" t="s">
        <v>373</v>
      </c>
      <c r="AF3520" s="155" t="s">
        <v>247</v>
      </c>
      <c r="AG3520" s="155" t="s">
        <v>247</v>
      </c>
    </row>
    <row r="3521" spans="25:33">
      <c r="Y3521" s="47">
        <v>3498</v>
      </c>
      <c r="Z3521" s="52" t="s">
        <v>410</v>
      </c>
      <c r="AA3521" s="52" t="s">
        <v>247</v>
      </c>
      <c r="AB3521" s="52" t="s">
        <v>247</v>
      </c>
      <c r="AC3521" s="52">
        <v>4</v>
      </c>
      <c r="AD3521" s="52" t="s">
        <v>2</v>
      </c>
      <c r="AE3521" s="52" t="s">
        <v>373</v>
      </c>
      <c r="AF3521" s="155" t="s">
        <v>561</v>
      </c>
      <c r="AG3521" s="155">
        <v>4</v>
      </c>
    </row>
    <row r="3522" spans="25:33">
      <c r="Y3522" s="47">
        <v>3499</v>
      </c>
      <c r="Z3522" s="52" t="s">
        <v>410</v>
      </c>
      <c r="AA3522" s="52" t="s">
        <v>247</v>
      </c>
      <c r="AB3522" s="52" t="s">
        <v>247</v>
      </c>
      <c r="AC3522" s="52" t="s">
        <v>247</v>
      </c>
      <c r="AD3522" s="52" t="s">
        <v>1</v>
      </c>
      <c r="AE3522" s="52" t="s">
        <v>373</v>
      </c>
      <c r="AF3522" s="155" t="s">
        <v>247</v>
      </c>
      <c r="AG3522" s="155" t="s">
        <v>247</v>
      </c>
    </row>
    <row r="3523" spans="25:33">
      <c r="Y3523" s="47">
        <v>3500</v>
      </c>
      <c r="Z3523" s="52" t="s">
        <v>410</v>
      </c>
      <c r="AA3523" s="52" t="s">
        <v>247</v>
      </c>
      <c r="AB3523" s="52" t="s">
        <v>247</v>
      </c>
      <c r="AC3523" s="52">
        <v>4</v>
      </c>
      <c r="AD3523" s="52" t="s">
        <v>2</v>
      </c>
      <c r="AE3523" s="52" t="s">
        <v>373</v>
      </c>
      <c r="AF3523" s="155" t="s">
        <v>561</v>
      </c>
      <c r="AG3523" s="155">
        <v>4</v>
      </c>
    </row>
    <row r="3524" spans="25:33">
      <c r="Y3524" s="47">
        <v>3501</v>
      </c>
      <c r="Z3524" s="52" t="s">
        <v>410</v>
      </c>
      <c r="AA3524" s="52" t="s">
        <v>247</v>
      </c>
      <c r="AB3524" s="52" t="s">
        <v>247</v>
      </c>
      <c r="AC3524" s="52">
        <v>4</v>
      </c>
      <c r="AD3524" s="52" t="s">
        <v>2</v>
      </c>
      <c r="AE3524" s="52" t="s">
        <v>373</v>
      </c>
      <c r="AF3524" s="155" t="s">
        <v>561</v>
      </c>
      <c r="AG3524" s="155">
        <v>4</v>
      </c>
    </row>
    <row r="3525" spans="25:33">
      <c r="Y3525" s="47">
        <v>3502</v>
      </c>
      <c r="Z3525" s="52" t="s">
        <v>410</v>
      </c>
      <c r="AA3525" s="52" t="s">
        <v>247</v>
      </c>
      <c r="AB3525" s="52" t="s">
        <v>247</v>
      </c>
      <c r="AC3525" s="52">
        <v>4</v>
      </c>
      <c r="AD3525" s="52" t="s">
        <v>2</v>
      </c>
      <c r="AE3525" s="52" t="s">
        <v>373</v>
      </c>
      <c r="AF3525" s="155" t="s">
        <v>561</v>
      </c>
      <c r="AG3525" s="155">
        <v>4</v>
      </c>
    </row>
    <row r="3526" spans="25:33">
      <c r="Y3526" s="47">
        <v>3503</v>
      </c>
      <c r="Z3526" s="52" t="s">
        <v>410</v>
      </c>
      <c r="AA3526" s="52" t="s">
        <v>247</v>
      </c>
      <c r="AB3526" s="52" t="s">
        <v>247</v>
      </c>
      <c r="AC3526" s="52" t="s">
        <v>247</v>
      </c>
      <c r="AD3526" s="52" t="s">
        <v>1</v>
      </c>
      <c r="AE3526" s="52" t="s">
        <v>373</v>
      </c>
      <c r="AF3526" s="155" t="s">
        <v>247</v>
      </c>
      <c r="AG3526" s="155" t="s">
        <v>247</v>
      </c>
    </row>
    <row r="3527" spans="25:33">
      <c r="Y3527" s="47">
        <v>3504</v>
      </c>
      <c r="Z3527" s="52" t="s">
        <v>410</v>
      </c>
      <c r="AA3527" s="52" t="s">
        <v>247</v>
      </c>
      <c r="AB3527" s="52" t="s">
        <v>247</v>
      </c>
      <c r="AC3527" s="52" t="s">
        <v>247</v>
      </c>
      <c r="AD3527" s="52" t="s">
        <v>1</v>
      </c>
      <c r="AE3527" s="52" t="s">
        <v>373</v>
      </c>
      <c r="AF3527" s="155" t="s">
        <v>247</v>
      </c>
      <c r="AG3527" s="155" t="s">
        <v>247</v>
      </c>
    </row>
    <row r="3528" spans="25:33">
      <c r="Y3528" s="47">
        <v>3505</v>
      </c>
      <c r="Z3528" s="52" t="s">
        <v>410</v>
      </c>
      <c r="AA3528" s="52" t="s">
        <v>247</v>
      </c>
      <c r="AB3528" s="52" t="s">
        <v>247</v>
      </c>
      <c r="AC3528" s="52">
        <v>4</v>
      </c>
      <c r="AD3528" s="52" t="s">
        <v>2</v>
      </c>
      <c r="AE3528" s="52" t="s">
        <v>373</v>
      </c>
      <c r="AF3528" s="155" t="s">
        <v>561</v>
      </c>
      <c r="AG3528" s="155">
        <v>4</v>
      </c>
    </row>
    <row r="3529" spans="25:33">
      <c r="Y3529" s="47">
        <v>3506</v>
      </c>
      <c r="Z3529" s="52" t="s">
        <v>410</v>
      </c>
      <c r="AA3529" s="52" t="s">
        <v>247</v>
      </c>
      <c r="AB3529" s="52" t="s">
        <v>247</v>
      </c>
      <c r="AC3529" s="52">
        <v>4</v>
      </c>
      <c r="AD3529" s="52" t="s">
        <v>2</v>
      </c>
      <c r="AE3529" s="52" t="s">
        <v>373</v>
      </c>
      <c r="AF3529" s="155" t="s">
        <v>561</v>
      </c>
      <c r="AG3529" s="155">
        <v>4</v>
      </c>
    </row>
    <row r="3530" spans="25:33">
      <c r="Y3530" s="47">
        <v>3507</v>
      </c>
      <c r="Z3530" s="52" t="s">
        <v>410</v>
      </c>
      <c r="AA3530" s="52" t="s">
        <v>247</v>
      </c>
      <c r="AB3530" s="52" t="s">
        <v>247</v>
      </c>
      <c r="AC3530" s="52">
        <v>4</v>
      </c>
      <c r="AD3530" s="52" t="s">
        <v>2</v>
      </c>
      <c r="AE3530" s="52" t="s">
        <v>373</v>
      </c>
      <c r="AF3530" s="155" t="s">
        <v>561</v>
      </c>
      <c r="AG3530" s="155">
        <v>4</v>
      </c>
    </row>
    <row r="3531" spans="25:33">
      <c r="Y3531" s="47">
        <v>3508</v>
      </c>
      <c r="Z3531" s="52" t="s">
        <v>410</v>
      </c>
      <c r="AA3531" s="52" t="s">
        <v>247</v>
      </c>
      <c r="AB3531" s="52" t="s">
        <v>247</v>
      </c>
      <c r="AC3531" s="52" t="s">
        <v>247</v>
      </c>
      <c r="AD3531" s="52" t="s">
        <v>1</v>
      </c>
      <c r="AE3531" s="52" t="s">
        <v>373</v>
      </c>
      <c r="AF3531" s="155" t="s">
        <v>247</v>
      </c>
      <c r="AG3531" s="155" t="s">
        <v>247</v>
      </c>
    </row>
    <row r="3532" spans="25:33">
      <c r="Y3532" s="47">
        <v>3509</v>
      </c>
      <c r="Z3532" s="52" t="s">
        <v>410</v>
      </c>
      <c r="AA3532" s="52" t="s">
        <v>247</v>
      </c>
      <c r="AB3532" s="52" t="s">
        <v>247</v>
      </c>
      <c r="AC3532" s="52">
        <v>4</v>
      </c>
      <c r="AD3532" s="52" t="s">
        <v>2</v>
      </c>
      <c r="AE3532" s="52" t="s">
        <v>373</v>
      </c>
      <c r="AF3532" s="155" t="s">
        <v>561</v>
      </c>
      <c r="AG3532" s="155">
        <v>4</v>
      </c>
    </row>
    <row r="3533" spans="25:33">
      <c r="Y3533" s="47">
        <v>3510</v>
      </c>
      <c r="Z3533" s="52" t="s">
        <v>410</v>
      </c>
      <c r="AA3533" s="52" t="s">
        <v>247</v>
      </c>
      <c r="AB3533" s="52" t="s">
        <v>247</v>
      </c>
      <c r="AC3533" s="52" t="s">
        <v>247</v>
      </c>
      <c r="AD3533" s="52" t="s">
        <v>1</v>
      </c>
      <c r="AE3533" s="52" t="s">
        <v>373</v>
      </c>
      <c r="AF3533" s="155" t="s">
        <v>247</v>
      </c>
      <c r="AG3533" s="155" t="s">
        <v>247</v>
      </c>
    </row>
    <row r="3534" spans="25:33">
      <c r="Y3534" s="47">
        <v>3511</v>
      </c>
      <c r="Z3534" s="52" t="s">
        <v>410</v>
      </c>
      <c r="AA3534" s="52" t="s">
        <v>247</v>
      </c>
      <c r="AB3534" s="52" t="s">
        <v>247</v>
      </c>
      <c r="AC3534" s="52" t="s">
        <v>247</v>
      </c>
      <c r="AD3534" s="52" t="s">
        <v>1</v>
      </c>
      <c r="AE3534" s="52" t="s">
        <v>373</v>
      </c>
      <c r="AF3534" s="155" t="s">
        <v>247</v>
      </c>
      <c r="AG3534" s="155" t="s">
        <v>247</v>
      </c>
    </row>
    <row r="3535" spans="25:33">
      <c r="Y3535" s="47">
        <v>3512</v>
      </c>
      <c r="Z3535" s="52" t="s">
        <v>410</v>
      </c>
      <c r="AA3535" s="52" t="s">
        <v>247</v>
      </c>
      <c r="AB3535" s="52" t="s">
        <v>247</v>
      </c>
      <c r="AC3535" s="52">
        <v>4</v>
      </c>
      <c r="AD3535" s="52" t="s">
        <v>2</v>
      </c>
      <c r="AE3535" s="52" t="s">
        <v>373</v>
      </c>
      <c r="AF3535" s="155" t="s">
        <v>561</v>
      </c>
      <c r="AG3535" s="155">
        <v>4</v>
      </c>
    </row>
    <row r="3536" spans="25:33">
      <c r="Y3536" s="47">
        <v>3513</v>
      </c>
      <c r="Z3536" s="52" t="s">
        <v>410</v>
      </c>
      <c r="AA3536" s="52" t="s">
        <v>247</v>
      </c>
      <c r="AB3536" s="52" t="s">
        <v>247</v>
      </c>
      <c r="AC3536" s="52" t="s">
        <v>247</v>
      </c>
      <c r="AD3536" s="52" t="s">
        <v>1</v>
      </c>
      <c r="AE3536" s="52" t="s">
        <v>373</v>
      </c>
      <c r="AF3536" s="155" t="s">
        <v>247</v>
      </c>
      <c r="AG3536" s="155" t="s">
        <v>247</v>
      </c>
    </row>
    <row r="3537" spans="25:33">
      <c r="Y3537" s="47">
        <v>3514</v>
      </c>
      <c r="Z3537" s="52" t="s">
        <v>410</v>
      </c>
      <c r="AA3537" s="52" t="s">
        <v>247</v>
      </c>
      <c r="AB3537" s="52" t="s">
        <v>247</v>
      </c>
      <c r="AC3537" s="52" t="s">
        <v>247</v>
      </c>
      <c r="AD3537" s="52" t="s">
        <v>1</v>
      </c>
      <c r="AE3537" s="52" t="s">
        <v>373</v>
      </c>
      <c r="AF3537" s="155" t="s">
        <v>247</v>
      </c>
      <c r="AG3537" s="155" t="s">
        <v>247</v>
      </c>
    </row>
    <row r="3538" spans="25:33">
      <c r="Y3538" s="47">
        <v>3515</v>
      </c>
      <c r="Z3538" s="52" t="s">
        <v>410</v>
      </c>
      <c r="AA3538" s="52" t="s">
        <v>247</v>
      </c>
      <c r="AB3538" s="52" t="s">
        <v>247</v>
      </c>
      <c r="AC3538" s="52">
        <v>4</v>
      </c>
      <c r="AD3538" s="52" t="s">
        <v>2</v>
      </c>
      <c r="AE3538" s="52" t="s">
        <v>373</v>
      </c>
      <c r="AF3538" s="155" t="s">
        <v>560</v>
      </c>
      <c r="AG3538" s="155">
        <v>4</v>
      </c>
    </row>
    <row r="3539" spans="25:33">
      <c r="Y3539" s="47">
        <v>3516</v>
      </c>
      <c r="Z3539" s="52" t="s">
        <v>410</v>
      </c>
      <c r="AA3539" s="52" t="s">
        <v>247</v>
      </c>
      <c r="AB3539" s="52" t="s">
        <v>247</v>
      </c>
      <c r="AC3539" s="52">
        <v>4</v>
      </c>
      <c r="AD3539" s="52" t="s">
        <v>2</v>
      </c>
      <c r="AE3539" s="52" t="s">
        <v>373</v>
      </c>
      <c r="AF3539" s="155" t="s">
        <v>560</v>
      </c>
      <c r="AG3539" s="155">
        <v>4</v>
      </c>
    </row>
    <row r="3540" spans="25:33">
      <c r="Y3540" s="47">
        <v>3517</v>
      </c>
      <c r="Z3540" s="52" t="s">
        <v>410</v>
      </c>
      <c r="AA3540" s="52" t="s">
        <v>247</v>
      </c>
      <c r="AB3540" s="52" t="s">
        <v>247</v>
      </c>
      <c r="AC3540" s="52">
        <v>4</v>
      </c>
      <c r="AD3540" s="52" t="s">
        <v>2</v>
      </c>
      <c r="AE3540" s="52" t="s">
        <v>373</v>
      </c>
      <c r="AF3540" s="155" t="s">
        <v>560</v>
      </c>
      <c r="AG3540" s="155">
        <v>4</v>
      </c>
    </row>
    <row r="3541" spans="25:33">
      <c r="Y3541" s="47">
        <v>3518</v>
      </c>
      <c r="Z3541" s="52" t="s">
        <v>410</v>
      </c>
      <c r="AA3541" s="52" t="s">
        <v>247</v>
      </c>
      <c r="AB3541" s="52" t="s">
        <v>247</v>
      </c>
      <c r="AC3541" s="52">
        <v>4</v>
      </c>
      <c r="AD3541" s="52" t="s">
        <v>2</v>
      </c>
      <c r="AE3541" s="52" t="s">
        <v>373</v>
      </c>
      <c r="AF3541" s="155" t="s">
        <v>560</v>
      </c>
      <c r="AG3541" s="155">
        <v>4</v>
      </c>
    </row>
    <row r="3542" spans="25:33">
      <c r="Y3542" s="47">
        <v>3519</v>
      </c>
      <c r="Z3542" s="52" t="s">
        <v>410</v>
      </c>
      <c r="AA3542" s="52" t="s">
        <v>247</v>
      </c>
      <c r="AB3542" s="52" t="s">
        <v>247</v>
      </c>
      <c r="AC3542" s="52" t="s">
        <v>247</v>
      </c>
      <c r="AD3542" s="52" t="s">
        <v>1</v>
      </c>
      <c r="AE3542" s="52" t="s">
        <v>373</v>
      </c>
      <c r="AF3542" s="155" t="s">
        <v>247</v>
      </c>
      <c r="AG3542" s="155" t="s">
        <v>247</v>
      </c>
    </row>
    <row r="3543" spans="25:33">
      <c r="Y3543" s="47">
        <v>3520</v>
      </c>
      <c r="Z3543" s="52" t="s">
        <v>410</v>
      </c>
      <c r="AA3543" s="52" t="s">
        <v>247</v>
      </c>
      <c r="AB3543" s="52" t="s">
        <v>247</v>
      </c>
      <c r="AC3543" s="52">
        <v>4</v>
      </c>
      <c r="AD3543" s="52" t="s">
        <v>2</v>
      </c>
      <c r="AE3543" s="52" t="s">
        <v>373</v>
      </c>
      <c r="AF3543" s="155" t="s">
        <v>560</v>
      </c>
      <c r="AG3543" s="155">
        <v>4</v>
      </c>
    </row>
    <row r="3544" spans="25:33">
      <c r="Y3544" s="47">
        <v>3521</v>
      </c>
      <c r="Z3544" s="52" t="s">
        <v>411</v>
      </c>
      <c r="AA3544" s="52" t="s">
        <v>247</v>
      </c>
      <c r="AB3544" s="52" t="s">
        <v>247</v>
      </c>
      <c r="AC3544" s="52">
        <v>4</v>
      </c>
      <c r="AD3544" s="52" t="s">
        <v>2</v>
      </c>
      <c r="AE3544" s="52" t="s">
        <v>373</v>
      </c>
      <c r="AF3544" s="155" t="s">
        <v>560</v>
      </c>
      <c r="AG3544" s="155">
        <v>4</v>
      </c>
    </row>
    <row r="3545" spans="25:33">
      <c r="Y3545" s="47">
        <v>3522</v>
      </c>
      <c r="Z3545" s="52" t="s">
        <v>411</v>
      </c>
      <c r="AA3545" s="52" t="s">
        <v>247</v>
      </c>
      <c r="AB3545" s="52" t="s">
        <v>247</v>
      </c>
      <c r="AC3545" s="52">
        <v>4</v>
      </c>
      <c r="AD3545" s="52" t="s">
        <v>2</v>
      </c>
      <c r="AE3545" s="52" t="s">
        <v>373</v>
      </c>
      <c r="AF3545" s="155" t="s">
        <v>560</v>
      </c>
      <c r="AG3545" s="155">
        <v>4</v>
      </c>
    </row>
    <row r="3546" spans="25:33">
      <c r="Y3546" s="47">
        <v>3523</v>
      </c>
      <c r="Z3546" s="52" t="s">
        <v>410</v>
      </c>
      <c r="AA3546" s="52" t="s">
        <v>247</v>
      </c>
      <c r="AB3546" s="52" t="s">
        <v>247</v>
      </c>
      <c r="AC3546" s="52">
        <v>4</v>
      </c>
      <c r="AD3546" s="52" t="s">
        <v>2</v>
      </c>
      <c r="AE3546" s="52" t="s">
        <v>373</v>
      </c>
      <c r="AF3546" s="155" t="s">
        <v>560</v>
      </c>
      <c r="AG3546" s="155">
        <v>4</v>
      </c>
    </row>
    <row r="3547" spans="25:33">
      <c r="Y3547" s="47">
        <v>3524</v>
      </c>
      <c r="Z3547" s="52" t="s">
        <v>410</v>
      </c>
      <c r="AA3547" s="52" t="s">
        <v>247</v>
      </c>
      <c r="AB3547" s="52" t="s">
        <v>247</v>
      </c>
      <c r="AC3547" s="52" t="s">
        <v>247</v>
      </c>
      <c r="AD3547" s="52" t="s">
        <v>1</v>
      </c>
      <c r="AE3547" s="52" t="s">
        <v>373</v>
      </c>
      <c r="AF3547" s="155" t="s">
        <v>247</v>
      </c>
      <c r="AG3547" s="155" t="s">
        <v>247</v>
      </c>
    </row>
    <row r="3548" spans="25:33">
      <c r="Y3548" s="47">
        <v>3525</v>
      </c>
      <c r="Z3548" s="52" t="s">
        <v>410</v>
      </c>
      <c r="AA3548" s="52" t="s">
        <v>247</v>
      </c>
      <c r="AB3548" s="52" t="s">
        <v>247</v>
      </c>
      <c r="AC3548" s="52">
        <v>4</v>
      </c>
      <c r="AD3548" s="52" t="s">
        <v>2</v>
      </c>
      <c r="AE3548" s="52" t="s">
        <v>373</v>
      </c>
      <c r="AF3548" s="155" t="s">
        <v>560</v>
      </c>
      <c r="AG3548" s="155">
        <v>4</v>
      </c>
    </row>
    <row r="3549" spans="25:33">
      <c r="Y3549" s="47">
        <v>3526</v>
      </c>
      <c r="Z3549" s="52" t="s">
        <v>410</v>
      </c>
      <c r="AA3549" s="52" t="s">
        <v>247</v>
      </c>
      <c r="AB3549" s="52" t="s">
        <v>247</v>
      </c>
      <c r="AC3549" s="52" t="s">
        <v>247</v>
      </c>
      <c r="AD3549" s="52" t="s">
        <v>1</v>
      </c>
      <c r="AE3549" s="52" t="s">
        <v>373</v>
      </c>
      <c r="AF3549" s="155" t="s">
        <v>247</v>
      </c>
      <c r="AG3549" s="155" t="s">
        <v>247</v>
      </c>
    </row>
    <row r="3550" spans="25:33">
      <c r="Y3550" s="47">
        <v>3527</v>
      </c>
      <c r="Z3550" s="52" t="s">
        <v>410</v>
      </c>
      <c r="AA3550" s="52" t="s">
        <v>247</v>
      </c>
      <c r="AB3550" s="52" t="s">
        <v>247</v>
      </c>
      <c r="AC3550" s="52">
        <v>4</v>
      </c>
      <c r="AD3550" s="52" t="s">
        <v>2</v>
      </c>
      <c r="AE3550" s="52" t="s">
        <v>373</v>
      </c>
      <c r="AF3550" s="155" t="s">
        <v>560</v>
      </c>
      <c r="AG3550" s="155">
        <v>4</v>
      </c>
    </row>
    <row r="3551" spans="25:33">
      <c r="Y3551" s="47">
        <v>3528</v>
      </c>
      <c r="Z3551" s="52" t="s">
        <v>410</v>
      </c>
      <c r="AA3551" s="52" t="s">
        <v>247</v>
      </c>
      <c r="AB3551" s="52" t="s">
        <v>247</v>
      </c>
      <c r="AC3551" s="52" t="s">
        <v>247</v>
      </c>
      <c r="AD3551" s="52" t="s">
        <v>1</v>
      </c>
      <c r="AE3551" s="52" t="s">
        <v>373</v>
      </c>
      <c r="AF3551" s="155" t="s">
        <v>247</v>
      </c>
      <c r="AG3551" s="155" t="s">
        <v>247</v>
      </c>
    </row>
    <row r="3552" spans="25:33">
      <c r="Y3552" s="47">
        <v>3529</v>
      </c>
      <c r="Z3552" s="52" t="s">
        <v>410</v>
      </c>
      <c r="AA3552" s="52" t="s">
        <v>247</v>
      </c>
      <c r="AB3552" s="52" t="s">
        <v>247</v>
      </c>
      <c r="AC3552" s="52">
        <v>4</v>
      </c>
      <c r="AD3552" s="52" t="s">
        <v>2</v>
      </c>
      <c r="AE3552" s="52" t="s">
        <v>373</v>
      </c>
      <c r="AF3552" s="155" t="s">
        <v>561</v>
      </c>
      <c r="AG3552" s="155">
        <v>4</v>
      </c>
    </row>
    <row r="3553" spans="25:33">
      <c r="Y3553" s="47">
        <v>3530</v>
      </c>
      <c r="Z3553" s="52" t="s">
        <v>410</v>
      </c>
      <c r="AA3553" s="52" t="s">
        <v>247</v>
      </c>
      <c r="AB3553" s="52" t="s">
        <v>247</v>
      </c>
      <c r="AC3553" s="52">
        <v>4</v>
      </c>
      <c r="AD3553" s="52" t="s">
        <v>2</v>
      </c>
      <c r="AE3553" s="52" t="s">
        <v>373</v>
      </c>
      <c r="AF3553" s="155" t="s">
        <v>561</v>
      </c>
      <c r="AG3553" s="155">
        <v>4</v>
      </c>
    </row>
    <row r="3554" spans="25:33">
      <c r="Y3554" s="47">
        <v>3531</v>
      </c>
      <c r="Z3554" s="52" t="s">
        <v>410</v>
      </c>
      <c r="AA3554" s="52" t="s">
        <v>247</v>
      </c>
      <c r="AB3554" s="52" t="s">
        <v>247</v>
      </c>
      <c r="AC3554" s="52">
        <v>4</v>
      </c>
      <c r="AD3554" s="52" t="s">
        <v>2</v>
      </c>
      <c r="AE3554" s="52" t="s">
        <v>373</v>
      </c>
      <c r="AF3554" s="155" t="s">
        <v>561</v>
      </c>
      <c r="AG3554" s="155">
        <v>4</v>
      </c>
    </row>
    <row r="3555" spans="25:33">
      <c r="Y3555" s="47">
        <v>3532</v>
      </c>
      <c r="Z3555" s="52" t="s">
        <v>410</v>
      </c>
      <c r="AA3555" s="52" t="s">
        <v>247</v>
      </c>
      <c r="AB3555" s="52" t="s">
        <v>247</v>
      </c>
      <c r="AC3555" s="52" t="s">
        <v>247</v>
      </c>
      <c r="AD3555" s="52" t="s">
        <v>1</v>
      </c>
      <c r="AE3555" s="52" t="s">
        <v>373</v>
      </c>
      <c r="AF3555" s="155" t="s">
        <v>247</v>
      </c>
      <c r="AG3555" s="155" t="s">
        <v>247</v>
      </c>
    </row>
    <row r="3556" spans="25:33">
      <c r="Y3556" s="47">
        <v>3533</v>
      </c>
      <c r="Z3556" s="52" t="s">
        <v>410</v>
      </c>
      <c r="AA3556" s="52" t="s">
        <v>247</v>
      </c>
      <c r="AB3556" s="52" t="s">
        <v>247</v>
      </c>
      <c r="AC3556" s="52">
        <v>4</v>
      </c>
      <c r="AD3556" s="52" t="s">
        <v>2</v>
      </c>
      <c r="AE3556" s="52" t="s">
        <v>373</v>
      </c>
      <c r="AF3556" s="155" t="s">
        <v>561</v>
      </c>
      <c r="AG3556" s="155">
        <v>4</v>
      </c>
    </row>
    <row r="3557" spans="25:33">
      <c r="Y3557" s="47">
        <v>3534</v>
      </c>
      <c r="Z3557" s="52" t="s">
        <v>410</v>
      </c>
      <c r="AA3557" s="52" t="s">
        <v>247</v>
      </c>
      <c r="AB3557" s="52" t="s">
        <v>247</v>
      </c>
      <c r="AC3557" s="52" t="s">
        <v>247</v>
      </c>
      <c r="AD3557" s="52" t="s">
        <v>1</v>
      </c>
      <c r="AE3557" s="52" t="s">
        <v>373</v>
      </c>
      <c r="AF3557" s="155" t="s">
        <v>247</v>
      </c>
      <c r="AG3557" s="155" t="s">
        <v>247</v>
      </c>
    </row>
    <row r="3558" spans="25:33">
      <c r="Y3558" s="47">
        <v>3535</v>
      </c>
      <c r="Z3558" s="52" t="s">
        <v>410</v>
      </c>
      <c r="AA3558" s="52" t="s">
        <v>247</v>
      </c>
      <c r="AB3558" s="52" t="s">
        <v>247</v>
      </c>
      <c r="AC3558" s="52" t="s">
        <v>247</v>
      </c>
      <c r="AD3558" s="52" t="s">
        <v>1</v>
      </c>
      <c r="AE3558" s="52" t="s">
        <v>373</v>
      </c>
      <c r="AF3558" s="155" t="s">
        <v>247</v>
      </c>
      <c r="AG3558" s="155" t="s">
        <v>247</v>
      </c>
    </row>
    <row r="3559" spans="25:33">
      <c r="Y3559" s="47">
        <v>3536</v>
      </c>
      <c r="Z3559" s="52" t="s">
        <v>410</v>
      </c>
      <c r="AA3559" s="52" t="s">
        <v>247</v>
      </c>
      <c r="AB3559" s="52" t="s">
        <v>247</v>
      </c>
      <c r="AC3559" s="52" t="s">
        <v>247</v>
      </c>
      <c r="AD3559" s="52" t="s">
        <v>1</v>
      </c>
      <c r="AE3559" s="52" t="s">
        <v>373</v>
      </c>
      <c r="AF3559" s="155" t="s">
        <v>247</v>
      </c>
      <c r="AG3559" s="155" t="s">
        <v>247</v>
      </c>
    </row>
    <row r="3560" spans="25:33">
      <c r="Y3560" s="47">
        <v>3537</v>
      </c>
      <c r="Z3560" s="52" t="s">
        <v>410</v>
      </c>
      <c r="AA3560" s="52" t="s">
        <v>247</v>
      </c>
      <c r="AB3560" s="52" t="s">
        <v>247</v>
      </c>
      <c r="AC3560" s="52">
        <v>4</v>
      </c>
      <c r="AD3560" s="52" t="s">
        <v>2</v>
      </c>
      <c r="AE3560" s="52" t="s">
        <v>373</v>
      </c>
      <c r="AF3560" s="155" t="s">
        <v>561</v>
      </c>
      <c r="AG3560" s="155">
        <v>4</v>
      </c>
    </row>
    <row r="3561" spans="25:33">
      <c r="Y3561" s="47">
        <v>3538</v>
      </c>
      <c r="Z3561" s="52" t="s">
        <v>410</v>
      </c>
      <c r="AA3561" s="52" t="s">
        <v>247</v>
      </c>
      <c r="AB3561" s="52" t="s">
        <v>247</v>
      </c>
      <c r="AC3561" s="52" t="s">
        <v>247</v>
      </c>
      <c r="AD3561" s="52" t="s">
        <v>1</v>
      </c>
      <c r="AE3561" s="52" t="s">
        <v>373</v>
      </c>
      <c r="AF3561" s="155" t="s">
        <v>247</v>
      </c>
      <c r="AG3561" s="155" t="s">
        <v>247</v>
      </c>
    </row>
    <row r="3562" spans="25:33">
      <c r="Y3562" s="47">
        <v>3539</v>
      </c>
      <c r="Z3562" s="52" t="s">
        <v>410</v>
      </c>
      <c r="AA3562" s="52" t="s">
        <v>247</v>
      </c>
      <c r="AB3562" s="52" t="s">
        <v>247</v>
      </c>
      <c r="AC3562" s="52" t="s">
        <v>247</v>
      </c>
      <c r="AD3562" s="52" t="s">
        <v>1</v>
      </c>
      <c r="AE3562" s="52" t="s">
        <v>373</v>
      </c>
      <c r="AF3562" s="155" t="s">
        <v>247</v>
      </c>
      <c r="AG3562" s="155" t="s">
        <v>247</v>
      </c>
    </row>
    <row r="3563" spans="25:33">
      <c r="Y3563" s="47">
        <v>3540</v>
      </c>
      <c r="Z3563" s="52" t="s">
        <v>410</v>
      </c>
      <c r="AA3563" s="52" t="s">
        <v>247</v>
      </c>
      <c r="AB3563" s="52" t="s">
        <v>247</v>
      </c>
      <c r="AC3563" s="52">
        <v>4</v>
      </c>
      <c r="AD3563" s="52" t="s">
        <v>2</v>
      </c>
      <c r="AE3563" s="52" t="s">
        <v>373</v>
      </c>
      <c r="AF3563" s="155" t="s">
        <v>561</v>
      </c>
      <c r="AG3563" s="155">
        <v>4</v>
      </c>
    </row>
    <row r="3564" spans="25:33">
      <c r="Y3564" s="47">
        <v>3541</v>
      </c>
      <c r="Z3564" s="52" t="s">
        <v>410</v>
      </c>
      <c r="AA3564" s="52" t="s">
        <v>247</v>
      </c>
      <c r="AB3564" s="52" t="s">
        <v>247</v>
      </c>
      <c r="AC3564" s="52" t="s">
        <v>247</v>
      </c>
      <c r="AD3564" s="52" t="s">
        <v>1</v>
      </c>
      <c r="AE3564" s="52" t="s">
        <v>373</v>
      </c>
      <c r="AF3564" s="155" t="s">
        <v>247</v>
      </c>
      <c r="AG3564" s="155" t="s">
        <v>247</v>
      </c>
    </row>
    <row r="3565" spans="25:33">
      <c r="Y3565" s="47">
        <v>3542</v>
      </c>
      <c r="Z3565" s="52" t="s">
        <v>410</v>
      </c>
      <c r="AA3565" s="52" t="s">
        <v>247</v>
      </c>
      <c r="AB3565" s="52" t="s">
        <v>247</v>
      </c>
      <c r="AC3565" s="52">
        <v>4</v>
      </c>
      <c r="AD3565" s="52" t="s">
        <v>2</v>
      </c>
      <c r="AE3565" s="52" t="s">
        <v>373</v>
      </c>
      <c r="AF3565" s="155" t="s">
        <v>561</v>
      </c>
      <c r="AG3565" s="155">
        <v>4</v>
      </c>
    </row>
    <row r="3566" spans="25:33">
      <c r="Y3566" s="47">
        <v>3543</v>
      </c>
      <c r="Z3566" s="52" t="s">
        <v>410</v>
      </c>
      <c r="AA3566" s="52" t="s">
        <v>247</v>
      </c>
      <c r="AB3566" s="52" t="s">
        <v>247</v>
      </c>
      <c r="AC3566" s="52" t="s">
        <v>247</v>
      </c>
      <c r="AD3566" s="52" t="s">
        <v>1</v>
      </c>
      <c r="AE3566" s="52" t="s">
        <v>373</v>
      </c>
      <c r="AF3566" s="155" t="s">
        <v>247</v>
      </c>
      <c r="AG3566" s="155" t="s">
        <v>247</v>
      </c>
    </row>
    <row r="3567" spans="25:33">
      <c r="Y3567" s="47">
        <v>3544</v>
      </c>
      <c r="Z3567" s="52" t="s">
        <v>410</v>
      </c>
      <c r="AA3567" s="52" t="s">
        <v>247</v>
      </c>
      <c r="AB3567" s="52" t="s">
        <v>247</v>
      </c>
      <c r="AC3567" s="52">
        <v>4</v>
      </c>
      <c r="AD3567" s="52" t="s">
        <v>2</v>
      </c>
      <c r="AE3567" s="52" t="s">
        <v>373</v>
      </c>
      <c r="AF3567" s="155" t="s">
        <v>561</v>
      </c>
      <c r="AG3567" s="155">
        <v>4</v>
      </c>
    </row>
    <row r="3568" spans="25:33">
      <c r="Y3568" s="47">
        <v>3545</v>
      </c>
      <c r="Z3568" s="52" t="s">
        <v>410</v>
      </c>
      <c r="AA3568" s="52" t="s">
        <v>247</v>
      </c>
      <c r="AB3568" s="52" t="s">
        <v>247</v>
      </c>
      <c r="AC3568" s="52" t="s">
        <v>247</v>
      </c>
      <c r="AD3568" s="52" t="s">
        <v>1</v>
      </c>
      <c r="AE3568" s="52" t="s">
        <v>373</v>
      </c>
      <c r="AF3568" s="155" t="s">
        <v>247</v>
      </c>
      <c r="AG3568" s="155" t="s">
        <v>247</v>
      </c>
    </row>
    <row r="3569" spans="25:33">
      <c r="Y3569" s="47">
        <v>3546</v>
      </c>
      <c r="Z3569" s="52" t="s">
        <v>410</v>
      </c>
      <c r="AA3569" s="52" t="s">
        <v>247</v>
      </c>
      <c r="AB3569" s="52" t="s">
        <v>247</v>
      </c>
      <c r="AC3569" s="52">
        <v>4</v>
      </c>
      <c r="AD3569" s="52" t="s">
        <v>2</v>
      </c>
      <c r="AE3569" s="52" t="s">
        <v>373</v>
      </c>
      <c r="AF3569" s="155" t="s">
        <v>561</v>
      </c>
      <c r="AG3569" s="155">
        <v>4</v>
      </c>
    </row>
    <row r="3570" spans="25:33">
      <c r="Y3570" s="47">
        <v>3547</v>
      </c>
      <c r="Z3570" s="52" t="s">
        <v>410</v>
      </c>
      <c r="AA3570" s="52" t="s">
        <v>247</v>
      </c>
      <c r="AB3570" s="52" t="s">
        <v>247</v>
      </c>
      <c r="AC3570" s="52" t="s">
        <v>247</v>
      </c>
      <c r="AD3570" s="52" t="s">
        <v>1</v>
      </c>
      <c r="AE3570" s="52" t="s">
        <v>373</v>
      </c>
      <c r="AF3570" s="155" t="s">
        <v>247</v>
      </c>
      <c r="AG3570" s="155" t="s">
        <v>247</v>
      </c>
    </row>
    <row r="3571" spans="25:33">
      <c r="Y3571" s="47">
        <v>3548</v>
      </c>
      <c r="Z3571" s="52" t="s">
        <v>410</v>
      </c>
      <c r="AA3571" s="52" t="s">
        <v>247</v>
      </c>
      <c r="AB3571" s="52" t="s">
        <v>247</v>
      </c>
      <c r="AC3571" s="52" t="s">
        <v>247</v>
      </c>
      <c r="AD3571" s="52" t="s">
        <v>1</v>
      </c>
      <c r="AE3571" s="52" t="s">
        <v>373</v>
      </c>
      <c r="AF3571" s="155" t="s">
        <v>247</v>
      </c>
      <c r="AG3571" s="155" t="s">
        <v>247</v>
      </c>
    </row>
    <row r="3572" spans="25:33">
      <c r="Y3572" s="47">
        <v>3549</v>
      </c>
      <c r="Z3572" s="52" t="s">
        <v>410</v>
      </c>
      <c r="AA3572" s="52" t="s">
        <v>247</v>
      </c>
      <c r="AB3572" s="52" t="s">
        <v>247</v>
      </c>
      <c r="AC3572" s="52">
        <v>4</v>
      </c>
      <c r="AD3572" s="52" t="s">
        <v>2</v>
      </c>
      <c r="AE3572" s="52" t="s">
        <v>373</v>
      </c>
      <c r="AF3572" s="155" t="s">
        <v>561</v>
      </c>
      <c r="AG3572" s="155">
        <v>4</v>
      </c>
    </row>
    <row r="3573" spans="25:33">
      <c r="Y3573" s="47">
        <v>3550</v>
      </c>
      <c r="Z3573" s="52" t="s">
        <v>410</v>
      </c>
      <c r="AA3573" s="52" t="s">
        <v>247</v>
      </c>
      <c r="AB3573" s="52" t="s">
        <v>247</v>
      </c>
      <c r="AC3573" s="52">
        <v>4</v>
      </c>
      <c r="AD3573" s="52" t="s">
        <v>2</v>
      </c>
      <c r="AE3573" s="52" t="s">
        <v>373</v>
      </c>
      <c r="AF3573" s="155" t="s">
        <v>560</v>
      </c>
      <c r="AG3573" s="155">
        <v>4</v>
      </c>
    </row>
    <row r="3574" spans="25:33">
      <c r="Y3574" s="47">
        <v>3551</v>
      </c>
      <c r="Z3574" s="52" t="s">
        <v>410</v>
      </c>
      <c r="AA3574" s="52" t="s">
        <v>247</v>
      </c>
      <c r="AB3574" s="52" t="s">
        <v>247</v>
      </c>
      <c r="AC3574" s="52">
        <v>4</v>
      </c>
      <c r="AD3574" s="52" t="s">
        <v>2</v>
      </c>
      <c r="AE3574" s="52" t="s">
        <v>373</v>
      </c>
      <c r="AF3574" s="155" t="s">
        <v>560</v>
      </c>
      <c r="AG3574" s="155">
        <v>4</v>
      </c>
    </row>
    <row r="3575" spans="25:33">
      <c r="Y3575" s="47">
        <v>3552</v>
      </c>
      <c r="Z3575" s="52" t="s">
        <v>410</v>
      </c>
      <c r="AA3575" s="52" t="s">
        <v>247</v>
      </c>
      <c r="AB3575" s="52" t="s">
        <v>247</v>
      </c>
      <c r="AC3575" s="52">
        <v>4</v>
      </c>
      <c r="AD3575" s="52" t="s">
        <v>2</v>
      </c>
      <c r="AE3575" s="52" t="s">
        <v>373</v>
      </c>
      <c r="AF3575" s="155" t="s">
        <v>560</v>
      </c>
      <c r="AG3575" s="155">
        <v>4</v>
      </c>
    </row>
    <row r="3576" spans="25:33">
      <c r="Y3576" s="47">
        <v>3553</v>
      </c>
      <c r="Z3576" s="52" t="s">
        <v>410</v>
      </c>
      <c r="AA3576" s="52" t="s">
        <v>247</v>
      </c>
      <c r="AB3576" s="52" t="s">
        <v>247</v>
      </c>
      <c r="AC3576" s="52" t="s">
        <v>247</v>
      </c>
      <c r="AD3576" s="52" t="s">
        <v>1</v>
      </c>
      <c r="AE3576" s="52" t="s">
        <v>373</v>
      </c>
      <c r="AF3576" s="155" t="s">
        <v>247</v>
      </c>
      <c r="AG3576" s="155" t="s">
        <v>247</v>
      </c>
    </row>
    <row r="3577" spans="25:33">
      <c r="Y3577" s="47">
        <v>3554</v>
      </c>
      <c r="Z3577" s="52" t="s">
        <v>410</v>
      </c>
      <c r="AA3577" s="52" t="s">
        <v>247</v>
      </c>
      <c r="AB3577" s="52" t="s">
        <v>247</v>
      </c>
      <c r="AC3577" s="52">
        <v>4</v>
      </c>
      <c r="AD3577" s="52" t="s">
        <v>2</v>
      </c>
      <c r="AE3577" s="52" t="s">
        <v>373</v>
      </c>
      <c r="AF3577" s="155" t="s">
        <v>560</v>
      </c>
      <c r="AG3577" s="155">
        <v>4</v>
      </c>
    </row>
    <row r="3578" spans="25:33">
      <c r="Y3578" s="47">
        <v>3555</v>
      </c>
      <c r="Z3578" s="52" t="s">
        <v>410</v>
      </c>
      <c r="AA3578" s="52" t="s">
        <v>247</v>
      </c>
      <c r="AB3578" s="52" t="s">
        <v>247</v>
      </c>
      <c r="AC3578" s="52">
        <v>4</v>
      </c>
      <c r="AD3578" s="52" t="s">
        <v>2</v>
      </c>
      <c r="AE3578" s="52" t="s">
        <v>373</v>
      </c>
      <c r="AF3578" s="155" t="s">
        <v>560</v>
      </c>
      <c r="AG3578" s="155">
        <v>4</v>
      </c>
    </row>
    <row r="3579" spans="25:33">
      <c r="Y3579" s="47">
        <v>3556</v>
      </c>
      <c r="Z3579" s="52" t="s">
        <v>410</v>
      </c>
      <c r="AA3579" s="52" t="s">
        <v>247</v>
      </c>
      <c r="AB3579" s="52" t="s">
        <v>247</v>
      </c>
      <c r="AC3579" s="52">
        <v>4</v>
      </c>
      <c r="AD3579" s="52" t="s">
        <v>2</v>
      </c>
      <c r="AE3579" s="52" t="s">
        <v>373</v>
      </c>
      <c r="AF3579" s="155" t="s">
        <v>560</v>
      </c>
      <c r="AG3579" s="155">
        <v>4</v>
      </c>
    </row>
    <row r="3580" spans="25:33">
      <c r="Y3580" s="47">
        <v>3557</v>
      </c>
      <c r="Z3580" s="52" t="s">
        <v>410</v>
      </c>
      <c r="AA3580" s="52" t="s">
        <v>247</v>
      </c>
      <c r="AB3580" s="52" t="s">
        <v>247</v>
      </c>
      <c r="AC3580" s="52">
        <v>4</v>
      </c>
      <c r="AD3580" s="52" t="s">
        <v>2</v>
      </c>
      <c r="AE3580" s="52" t="s">
        <v>373</v>
      </c>
      <c r="AF3580" s="155" t="s">
        <v>560</v>
      </c>
      <c r="AG3580" s="155">
        <v>4</v>
      </c>
    </row>
    <row r="3581" spans="25:33">
      <c r="Y3581" s="47">
        <v>3558</v>
      </c>
      <c r="Z3581" s="52" t="s">
        <v>410</v>
      </c>
      <c r="AA3581" s="52" t="s">
        <v>247</v>
      </c>
      <c r="AB3581" s="52" t="s">
        <v>247</v>
      </c>
      <c r="AC3581" s="52">
        <v>4</v>
      </c>
      <c r="AD3581" s="52" t="s">
        <v>2</v>
      </c>
      <c r="AE3581" s="52" t="s">
        <v>373</v>
      </c>
      <c r="AF3581" s="155" t="s">
        <v>560</v>
      </c>
      <c r="AG3581" s="155">
        <v>4</v>
      </c>
    </row>
    <row r="3582" spans="25:33">
      <c r="Y3582" s="47">
        <v>3559</v>
      </c>
      <c r="Z3582" s="52" t="s">
        <v>410</v>
      </c>
      <c r="AA3582" s="52" t="s">
        <v>247</v>
      </c>
      <c r="AB3582" s="52" t="s">
        <v>247</v>
      </c>
      <c r="AC3582" s="52">
        <v>4</v>
      </c>
      <c r="AD3582" s="52" t="s">
        <v>2</v>
      </c>
      <c r="AE3582" s="52" t="s">
        <v>373</v>
      </c>
      <c r="AF3582" s="155" t="s">
        <v>560</v>
      </c>
      <c r="AG3582" s="155">
        <v>4</v>
      </c>
    </row>
    <row r="3583" spans="25:33">
      <c r="Y3583" s="47">
        <v>3560</v>
      </c>
      <c r="Z3583" s="52" t="s">
        <v>410</v>
      </c>
      <c r="AA3583" s="52" t="s">
        <v>247</v>
      </c>
      <c r="AB3583" s="52" t="s">
        <v>247</v>
      </c>
      <c r="AC3583" s="52" t="s">
        <v>247</v>
      </c>
      <c r="AD3583" s="52" t="s">
        <v>1</v>
      </c>
      <c r="AE3583" s="52" t="s">
        <v>373</v>
      </c>
      <c r="AF3583" s="155" t="s">
        <v>247</v>
      </c>
      <c r="AG3583" s="155" t="s">
        <v>247</v>
      </c>
    </row>
    <row r="3584" spans="25:33">
      <c r="Y3584" s="47">
        <v>3561</v>
      </c>
      <c r="Z3584" s="52" t="s">
        <v>410</v>
      </c>
      <c r="AA3584" s="52" t="s">
        <v>247</v>
      </c>
      <c r="AB3584" s="52" t="s">
        <v>247</v>
      </c>
      <c r="AC3584" s="52">
        <v>4</v>
      </c>
      <c r="AD3584" s="52" t="s">
        <v>2</v>
      </c>
      <c r="AE3584" s="52" t="s">
        <v>373</v>
      </c>
      <c r="AF3584" s="155" t="s">
        <v>560</v>
      </c>
      <c r="AG3584" s="155">
        <v>4</v>
      </c>
    </row>
    <row r="3585" spans="25:33">
      <c r="Y3585" s="47">
        <v>3562</v>
      </c>
      <c r="Z3585" s="52" t="s">
        <v>410</v>
      </c>
      <c r="AA3585" s="52" t="s">
        <v>247</v>
      </c>
      <c r="AB3585" s="52" t="s">
        <v>247</v>
      </c>
      <c r="AC3585" s="52">
        <v>4</v>
      </c>
      <c r="AD3585" s="52" t="s">
        <v>2</v>
      </c>
      <c r="AE3585" s="52" t="s">
        <v>373</v>
      </c>
      <c r="AF3585" s="155" t="s">
        <v>560</v>
      </c>
      <c r="AG3585" s="155">
        <v>4</v>
      </c>
    </row>
    <row r="3586" spans="25:33">
      <c r="Y3586" s="47">
        <v>3563</v>
      </c>
      <c r="Z3586" s="52" t="s">
        <v>410</v>
      </c>
      <c r="AA3586" s="52" t="s">
        <v>247</v>
      </c>
      <c r="AB3586" s="52" t="s">
        <v>247</v>
      </c>
      <c r="AC3586" s="52">
        <v>4</v>
      </c>
      <c r="AD3586" s="52" t="s">
        <v>2</v>
      </c>
      <c r="AE3586" s="52" t="s">
        <v>373</v>
      </c>
      <c r="AF3586" s="155" t="s">
        <v>560</v>
      </c>
      <c r="AG3586" s="155">
        <v>4</v>
      </c>
    </row>
    <row r="3587" spans="25:33">
      <c r="Y3587" s="47">
        <v>3564</v>
      </c>
      <c r="Z3587" s="52" t="s">
        <v>410</v>
      </c>
      <c r="AA3587" s="52" t="s">
        <v>247</v>
      </c>
      <c r="AB3587" s="52" t="s">
        <v>247</v>
      </c>
      <c r="AC3587" s="52">
        <v>4</v>
      </c>
      <c r="AD3587" s="52" t="s">
        <v>2</v>
      </c>
      <c r="AE3587" s="52" t="s">
        <v>373</v>
      </c>
      <c r="AF3587" s="155" t="s">
        <v>560</v>
      </c>
      <c r="AG3587" s="155">
        <v>4</v>
      </c>
    </row>
    <row r="3588" spans="25:33">
      <c r="Y3588" s="47">
        <v>3565</v>
      </c>
      <c r="Z3588" s="52" t="s">
        <v>410</v>
      </c>
      <c r="AA3588" s="52" t="s">
        <v>247</v>
      </c>
      <c r="AB3588" s="52" t="s">
        <v>247</v>
      </c>
      <c r="AC3588" s="52">
        <v>4</v>
      </c>
      <c r="AD3588" s="52" t="s">
        <v>2</v>
      </c>
      <c r="AE3588" s="52" t="s">
        <v>373</v>
      </c>
      <c r="AF3588" s="155" t="s">
        <v>560</v>
      </c>
      <c r="AG3588" s="155">
        <v>4</v>
      </c>
    </row>
    <row r="3589" spans="25:33">
      <c r="Y3589" s="47">
        <v>3566</v>
      </c>
      <c r="Z3589" s="52" t="s">
        <v>410</v>
      </c>
      <c r="AA3589" s="52" t="s">
        <v>247</v>
      </c>
      <c r="AB3589" s="52" t="s">
        <v>247</v>
      </c>
      <c r="AC3589" s="52">
        <v>4</v>
      </c>
      <c r="AD3589" s="52" t="s">
        <v>2</v>
      </c>
      <c r="AE3589" s="52" t="s">
        <v>373</v>
      </c>
      <c r="AF3589" s="155" t="s">
        <v>561</v>
      </c>
      <c r="AG3589" s="155">
        <v>4</v>
      </c>
    </row>
    <row r="3590" spans="25:33">
      <c r="Y3590" s="47">
        <v>3567</v>
      </c>
      <c r="Z3590" s="52" t="s">
        <v>410</v>
      </c>
      <c r="AA3590" s="52" t="s">
        <v>247</v>
      </c>
      <c r="AB3590" s="52" t="s">
        <v>247</v>
      </c>
      <c r="AC3590" s="52">
        <v>4</v>
      </c>
      <c r="AD3590" s="52" t="s">
        <v>2</v>
      </c>
      <c r="AE3590" s="52" t="s">
        <v>373</v>
      </c>
      <c r="AF3590" s="155" t="s">
        <v>561</v>
      </c>
      <c r="AG3590" s="155">
        <v>4</v>
      </c>
    </row>
    <row r="3591" spans="25:33">
      <c r="Y3591" s="47">
        <v>3568</v>
      </c>
      <c r="Z3591" s="52" t="s">
        <v>410</v>
      </c>
      <c r="AA3591" s="52" t="s">
        <v>247</v>
      </c>
      <c r="AB3591" s="52" t="s">
        <v>247</v>
      </c>
      <c r="AC3591" s="52">
        <v>4</v>
      </c>
      <c r="AD3591" s="52" t="s">
        <v>2</v>
      </c>
      <c r="AE3591" s="52" t="s">
        <v>373</v>
      </c>
      <c r="AF3591" s="155" t="s">
        <v>561</v>
      </c>
      <c r="AG3591" s="155">
        <v>4</v>
      </c>
    </row>
    <row r="3592" spans="25:33">
      <c r="Y3592" s="47">
        <v>3569</v>
      </c>
      <c r="Z3592" s="52" t="s">
        <v>410</v>
      </c>
      <c r="AA3592" s="52" t="s">
        <v>247</v>
      </c>
      <c r="AB3592" s="52" t="s">
        <v>247</v>
      </c>
      <c r="AC3592" s="52" t="s">
        <v>247</v>
      </c>
      <c r="AD3592" s="52" t="s">
        <v>1</v>
      </c>
      <c r="AE3592" s="52" t="s">
        <v>373</v>
      </c>
      <c r="AF3592" s="155" t="s">
        <v>247</v>
      </c>
      <c r="AG3592" s="155" t="s">
        <v>247</v>
      </c>
    </row>
    <row r="3593" spans="25:33">
      <c r="Y3593" s="47">
        <v>3570</v>
      </c>
      <c r="Z3593" s="52" t="s">
        <v>410</v>
      </c>
      <c r="AA3593" s="52" t="s">
        <v>247</v>
      </c>
      <c r="AB3593" s="52" t="s">
        <v>247</v>
      </c>
      <c r="AC3593" s="52">
        <v>4</v>
      </c>
      <c r="AD3593" s="52" t="s">
        <v>2</v>
      </c>
      <c r="AE3593" s="52" t="s">
        <v>373</v>
      </c>
      <c r="AF3593" s="155" t="s">
        <v>560</v>
      </c>
      <c r="AG3593" s="155">
        <v>4</v>
      </c>
    </row>
    <row r="3594" spans="25:33">
      <c r="Y3594" s="47">
        <v>3571</v>
      </c>
      <c r="Z3594" s="52" t="s">
        <v>410</v>
      </c>
      <c r="AA3594" s="52" t="s">
        <v>247</v>
      </c>
      <c r="AB3594" s="52" t="s">
        <v>247</v>
      </c>
      <c r="AC3594" s="52">
        <v>4</v>
      </c>
      <c r="AD3594" s="52" t="s">
        <v>2</v>
      </c>
      <c r="AE3594" s="52" t="s">
        <v>373</v>
      </c>
      <c r="AF3594" s="155" t="s">
        <v>560</v>
      </c>
      <c r="AG3594" s="155">
        <v>4</v>
      </c>
    </row>
    <row r="3595" spans="25:33">
      <c r="Y3595" s="47">
        <v>3572</v>
      </c>
      <c r="Z3595" s="52" t="s">
        <v>410</v>
      </c>
      <c r="AA3595" s="52" t="s">
        <v>247</v>
      </c>
      <c r="AB3595" s="52" t="s">
        <v>247</v>
      </c>
      <c r="AC3595" s="52">
        <v>4</v>
      </c>
      <c r="AD3595" s="52" t="s">
        <v>2</v>
      </c>
      <c r="AE3595" s="52" t="s">
        <v>373</v>
      </c>
      <c r="AF3595" s="155" t="s">
        <v>560</v>
      </c>
      <c r="AG3595" s="155">
        <v>4</v>
      </c>
    </row>
    <row r="3596" spans="25:33">
      <c r="Y3596" s="47">
        <v>3573</v>
      </c>
      <c r="Z3596" s="52" t="s">
        <v>410</v>
      </c>
      <c r="AA3596" s="52" t="s">
        <v>247</v>
      </c>
      <c r="AB3596" s="52" t="s">
        <v>247</v>
      </c>
      <c r="AC3596" s="52">
        <v>4</v>
      </c>
      <c r="AD3596" s="52" t="s">
        <v>2</v>
      </c>
      <c r="AE3596" s="52" t="s">
        <v>373</v>
      </c>
      <c r="AF3596" s="155" t="s">
        <v>560</v>
      </c>
      <c r="AG3596" s="155">
        <v>4</v>
      </c>
    </row>
    <row r="3597" spans="25:33">
      <c r="Y3597" s="47">
        <v>3574</v>
      </c>
      <c r="Z3597" s="52" t="s">
        <v>410</v>
      </c>
      <c r="AA3597" s="52" t="s">
        <v>247</v>
      </c>
      <c r="AB3597" s="52" t="s">
        <v>247</v>
      </c>
      <c r="AC3597" s="52" t="s">
        <v>247</v>
      </c>
      <c r="AD3597" s="52" t="s">
        <v>1</v>
      </c>
      <c r="AE3597" s="52" t="s">
        <v>373</v>
      </c>
      <c r="AF3597" s="155" t="s">
        <v>247</v>
      </c>
      <c r="AG3597" s="155" t="s">
        <v>247</v>
      </c>
    </row>
    <row r="3598" spans="25:33">
      <c r="Y3598" s="47">
        <v>3575</v>
      </c>
      <c r="Z3598" s="52" t="s">
        <v>410</v>
      </c>
      <c r="AA3598" s="52" t="s">
        <v>247</v>
      </c>
      <c r="AB3598" s="52" t="s">
        <v>247</v>
      </c>
      <c r="AC3598" s="52">
        <v>4</v>
      </c>
      <c r="AD3598" s="52" t="s">
        <v>2</v>
      </c>
      <c r="AE3598" s="52" t="s">
        <v>373</v>
      </c>
      <c r="AF3598" s="155" t="s">
        <v>561</v>
      </c>
      <c r="AG3598" s="155">
        <v>4</v>
      </c>
    </row>
    <row r="3599" spans="25:33">
      <c r="Y3599" s="47">
        <v>3576</v>
      </c>
      <c r="Z3599" s="52" t="s">
        <v>410</v>
      </c>
      <c r="AA3599" s="52" t="s">
        <v>247</v>
      </c>
      <c r="AB3599" s="52" t="s">
        <v>247</v>
      </c>
      <c r="AC3599" s="52">
        <v>4</v>
      </c>
      <c r="AD3599" s="52" t="s">
        <v>2</v>
      </c>
      <c r="AE3599" s="52" t="s">
        <v>373</v>
      </c>
      <c r="AF3599" s="155" t="s">
        <v>561</v>
      </c>
      <c r="AG3599" s="155">
        <v>4</v>
      </c>
    </row>
    <row r="3600" spans="25:33">
      <c r="Y3600" s="47">
        <v>3577</v>
      </c>
      <c r="Z3600" s="52" t="s">
        <v>410</v>
      </c>
      <c r="AA3600" s="52" t="s">
        <v>247</v>
      </c>
      <c r="AB3600" s="52" t="s">
        <v>247</v>
      </c>
      <c r="AC3600" s="52" t="s">
        <v>247</v>
      </c>
      <c r="AD3600" s="52" t="s">
        <v>1</v>
      </c>
      <c r="AE3600" s="52" t="s">
        <v>373</v>
      </c>
      <c r="AF3600" s="155" t="s">
        <v>247</v>
      </c>
      <c r="AG3600" s="155" t="s">
        <v>247</v>
      </c>
    </row>
    <row r="3601" spans="25:33">
      <c r="Y3601" s="47">
        <v>3578</v>
      </c>
      <c r="Z3601" s="52" t="s">
        <v>410</v>
      </c>
      <c r="AA3601" s="52" t="s">
        <v>247</v>
      </c>
      <c r="AB3601" s="52" t="s">
        <v>247</v>
      </c>
      <c r="AC3601" s="52" t="s">
        <v>247</v>
      </c>
      <c r="AD3601" s="52" t="s">
        <v>1</v>
      </c>
      <c r="AE3601" s="52" t="s">
        <v>373</v>
      </c>
      <c r="AF3601" s="155" t="s">
        <v>247</v>
      </c>
      <c r="AG3601" s="155" t="s">
        <v>247</v>
      </c>
    </row>
    <row r="3602" spans="25:33">
      <c r="Y3602" s="47">
        <v>3579</v>
      </c>
      <c r="Z3602" s="52" t="s">
        <v>410</v>
      </c>
      <c r="AA3602" s="52" t="s">
        <v>247</v>
      </c>
      <c r="AB3602" s="52" t="s">
        <v>247</v>
      </c>
      <c r="AC3602" s="52">
        <v>4</v>
      </c>
      <c r="AD3602" s="52" t="s">
        <v>2</v>
      </c>
      <c r="AE3602" s="52" t="s">
        <v>373</v>
      </c>
      <c r="AF3602" s="155" t="s">
        <v>561</v>
      </c>
      <c r="AG3602" s="155">
        <v>4</v>
      </c>
    </row>
    <row r="3603" spans="25:33">
      <c r="Y3603" s="47">
        <v>3580</v>
      </c>
      <c r="Z3603" s="52" t="s">
        <v>410</v>
      </c>
      <c r="AA3603" s="52" t="s">
        <v>247</v>
      </c>
      <c r="AB3603" s="52" t="s">
        <v>247</v>
      </c>
      <c r="AC3603" s="52">
        <v>4</v>
      </c>
      <c r="AD3603" s="52" t="s">
        <v>2</v>
      </c>
      <c r="AE3603" s="52" t="s">
        <v>373</v>
      </c>
      <c r="AF3603" s="155" t="s">
        <v>561</v>
      </c>
      <c r="AG3603" s="155">
        <v>4</v>
      </c>
    </row>
    <row r="3604" spans="25:33">
      <c r="Y3604" s="47">
        <v>3581</v>
      </c>
      <c r="Z3604" s="52" t="s">
        <v>410</v>
      </c>
      <c r="AA3604" s="52" t="s">
        <v>247</v>
      </c>
      <c r="AB3604" s="52" t="s">
        <v>247</v>
      </c>
      <c r="AC3604" s="52">
        <v>4</v>
      </c>
      <c r="AD3604" s="52" t="s">
        <v>2</v>
      </c>
      <c r="AE3604" s="52" t="s">
        <v>373</v>
      </c>
      <c r="AF3604" s="155" t="s">
        <v>561</v>
      </c>
      <c r="AG3604" s="155">
        <v>4</v>
      </c>
    </row>
    <row r="3605" spans="25:33">
      <c r="Y3605" s="47">
        <v>3582</v>
      </c>
      <c r="Z3605" s="52" t="s">
        <v>410</v>
      </c>
      <c r="AA3605" s="52" t="s">
        <v>247</v>
      </c>
      <c r="AB3605" s="52" t="s">
        <v>247</v>
      </c>
      <c r="AC3605" s="52" t="s">
        <v>247</v>
      </c>
      <c r="AD3605" s="52" t="s">
        <v>1</v>
      </c>
      <c r="AE3605" s="52" t="s">
        <v>373</v>
      </c>
      <c r="AF3605" s="155" t="s">
        <v>247</v>
      </c>
      <c r="AG3605" s="155" t="s">
        <v>247</v>
      </c>
    </row>
    <row r="3606" spans="25:33">
      <c r="Y3606" s="47">
        <v>3583</v>
      </c>
      <c r="Z3606" s="52" t="s">
        <v>410</v>
      </c>
      <c r="AA3606" s="52" t="s">
        <v>247</v>
      </c>
      <c r="AB3606" s="52" t="s">
        <v>247</v>
      </c>
      <c r="AC3606" s="52">
        <v>4</v>
      </c>
      <c r="AD3606" s="52" t="s">
        <v>2</v>
      </c>
      <c r="AE3606" s="52" t="s">
        <v>373</v>
      </c>
      <c r="AF3606" s="155" t="s">
        <v>561</v>
      </c>
      <c r="AG3606" s="155">
        <v>4</v>
      </c>
    </row>
    <row r="3607" spans="25:33">
      <c r="Y3607" s="47">
        <v>3584</v>
      </c>
      <c r="Z3607" s="52" t="s">
        <v>410</v>
      </c>
      <c r="AA3607" s="52" t="s">
        <v>247</v>
      </c>
      <c r="AB3607" s="52" t="s">
        <v>247</v>
      </c>
      <c r="AC3607" s="52">
        <v>4</v>
      </c>
      <c r="AD3607" s="52" t="s">
        <v>2</v>
      </c>
      <c r="AE3607" s="52" t="s">
        <v>373</v>
      </c>
      <c r="AF3607" s="155" t="s">
        <v>561</v>
      </c>
      <c r="AG3607" s="155">
        <v>4</v>
      </c>
    </row>
    <row r="3608" spans="25:33">
      <c r="Y3608" s="47">
        <v>3585</v>
      </c>
      <c r="Z3608" s="52" t="s">
        <v>410</v>
      </c>
      <c r="AA3608" s="52" t="s">
        <v>247</v>
      </c>
      <c r="AB3608" s="52" t="s">
        <v>247</v>
      </c>
      <c r="AC3608" s="52">
        <v>4</v>
      </c>
      <c r="AD3608" s="52" t="s">
        <v>2</v>
      </c>
      <c r="AE3608" s="52" t="s">
        <v>373</v>
      </c>
      <c r="AF3608" s="155" t="s">
        <v>561</v>
      </c>
      <c r="AG3608" s="155">
        <v>4</v>
      </c>
    </row>
    <row r="3609" spans="25:33">
      <c r="Y3609" s="47">
        <v>3586</v>
      </c>
      <c r="Z3609" s="52" t="s">
        <v>410</v>
      </c>
      <c r="AA3609" s="52" t="s">
        <v>247</v>
      </c>
      <c r="AB3609" s="52" t="s">
        <v>247</v>
      </c>
      <c r="AC3609" s="52">
        <v>4</v>
      </c>
      <c r="AD3609" s="52" t="s">
        <v>2</v>
      </c>
      <c r="AE3609" s="52" t="s">
        <v>373</v>
      </c>
      <c r="AF3609" s="155" t="s">
        <v>561</v>
      </c>
      <c r="AG3609" s="155">
        <v>4</v>
      </c>
    </row>
    <row r="3610" spans="25:33">
      <c r="Y3610" s="47">
        <v>3587</v>
      </c>
      <c r="Z3610" s="52" t="s">
        <v>410</v>
      </c>
      <c r="AA3610" s="52" t="s">
        <v>247</v>
      </c>
      <c r="AB3610" s="52" t="s">
        <v>247</v>
      </c>
      <c r="AC3610" s="52" t="s">
        <v>247</v>
      </c>
      <c r="AD3610" s="52" t="s">
        <v>1</v>
      </c>
      <c r="AE3610" s="52" t="s">
        <v>373</v>
      </c>
      <c r="AF3610" s="155" t="s">
        <v>247</v>
      </c>
      <c r="AG3610" s="155" t="s">
        <v>247</v>
      </c>
    </row>
    <row r="3611" spans="25:33">
      <c r="Y3611" s="47">
        <v>3588</v>
      </c>
      <c r="Z3611" s="52" t="s">
        <v>410</v>
      </c>
      <c r="AA3611" s="52" t="s">
        <v>247</v>
      </c>
      <c r="AB3611" s="52" t="s">
        <v>247</v>
      </c>
      <c r="AC3611" s="52">
        <v>4</v>
      </c>
      <c r="AD3611" s="52" t="s">
        <v>2</v>
      </c>
      <c r="AE3611" s="52" t="s">
        <v>373</v>
      </c>
      <c r="AF3611" s="155" t="s">
        <v>561</v>
      </c>
      <c r="AG3611" s="155">
        <v>4</v>
      </c>
    </row>
    <row r="3612" spans="25:33">
      <c r="Y3612" s="47">
        <v>3589</v>
      </c>
      <c r="Z3612" s="52" t="s">
        <v>410</v>
      </c>
      <c r="AA3612" s="52" t="s">
        <v>247</v>
      </c>
      <c r="AB3612" s="52" t="s">
        <v>247</v>
      </c>
      <c r="AC3612" s="52">
        <v>4</v>
      </c>
      <c r="AD3612" s="52" t="s">
        <v>2</v>
      </c>
      <c r="AE3612" s="52" t="s">
        <v>373</v>
      </c>
      <c r="AF3612" s="155" t="s">
        <v>561</v>
      </c>
      <c r="AG3612" s="155">
        <v>4</v>
      </c>
    </row>
    <row r="3613" spans="25:33">
      <c r="Y3613" s="47">
        <v>3590</v>
      </c>
      <c r="Z3613" s="52" t="s">
        <v>410</v>
      </c>
      <c r="AA3613" s="52" t="s">
        <v>247</v>
      </c>
      <c r="AB3613" s="52" t="s">
        <v>247</v>
      </c>
      <c r="AC3613" s="52">
        <v>4</v>
      </c>
      <c r="AD3613" s="52" t="s">
        <v>2</v>
      </c>
      <c r="AE3613" s="52" t="s">
        <v>373</v>
      </c>
      <c r="AF3613" s="155" t="s">
        <v>561</v>
      </c>
      <c r="AG3613" s="155">
        <v>4</v>
      </c>
    </row>
    <row r="3614" spans="25:33">
      <c r="Y3614" s="47">
        <v>3591</v>
      </c>
      <c r="Z3614" s="52" t="s">
        <v>410</v>
      </c>
      <c r="AA3614" s="52" t="s">
        <v>247</v>
      </c>
      <c r="AB3614" s="52" t="s">
        <v>247</v>
      </c>
      <c r="AC3614" s="52">
        <v>4</v>
      </c>
      <c r="AD3614" s="52" t="s">
        <v>2</v>
      </c>
      <c r="AE3614" s="52" t="s">
        <v>373</v>
      </c>
      <c r="AF3614" s="155" t="s">
        <v>561</v>
      </c>
      <c r="AG3614" s="155">
        <v>4</v>
      </c>
    </row>
    <row r="3615" spans="25:33">
      <c r="Y3615" s="47">
        <v>3592</v>
      </c>
      <c r="Z3615" s="52" t="s">
        <v>410</v>
      </c>
      <c r="AA3615" s="52" t="s">
        <v>247</v>
      </c>
      <c r="AB3615" s="52" t="s">
        <v>247</v>
      </c>
      <c r="AC3615" s="52" t="s">
        <v>247</v>
      </c>
      <c r="AD3615" s="52" t="s">
        <v>1</v>
      </c>
      <c r="AE3615" s="52" t="s">
        <v>373</v>
      </c>
      <c r="AF3615" s="155" t="s">
        <v>247</v>
      </c>
      <c r="AG3615" s="155" t="s">
        <v>247</v>
      </c>
    </row>
    <row r="3616" spans="25:33">
      <c r="Y3616" s="47">
        <v>3593</v>
      </c>
      <c r="Z3616" s="52" t="s">
        <v>410</v>
      </c>
      <c r="AA3616" s="52" t="s">
        <v>247</v>
      </c>
      <c r="AB3616" s="52" t="s">
        <v>247</v>
      </c>
      <c r="AC3616" s="52" t="s">
        <v>247</v>
      </c>
      <c r="AD3616" s="52" t="s">
        <v>1</v>
      </c>
      <c r="AE3616" s="52" t="s">
        <v>373</v>
      </c>
      <c r="AF3616" s="155" t="s">
        <v>247</v>
      </c>
      <c r="AG3616" s="155" t="s">
        <v>247</v>
      </c>
    </row>
    <row r="3617" spans="25:33">
      <c r="Y3617" s="47">
        <v>3594</v>
      </c>
      <c r="Z3617" s="52" t="s">
        <v>410</v>
      </c>
      <c r="AA3617" s="52" t="s">
        <v>247</v>
      </c>
      <c r="AB3617" s="52" t="s">
        <v>247</v>
      </c>
      <c r="AC3617" s="52">
        <v>4</v>
      </c>
      <c r="AD3617" s="52" t="s">
        <v>2</v>
      </c>
      <c r="AE3617" s="52" t="s">
        <v>373</v>
      </c>
      <c r="AF3617" s="155" t="s">
        <v>561</v>
      </c>
      <c r="AG3617" s="155">
        <v>4</v>
      </c>
    </row>
    <row r="3618" spans="25:33">
      <c r="Y3618" s="47">
        <v>3595</v>
      </c>
      <c r="Z3618" s="52" t="s">
        <v>410</v>
      </c>
      <c r="AA3618" s="52" t="s">
        <v>247</v>
      </c>
      <c r="AB3618" s="52" t="s">
        <v>247</v>
      </c>
      <c r="AC3618" s="52">
        <v>4</v>
      </c>
      <c r="AD3618" s="52" t="s">
        <v>2</v>
      </c>
      <c r="AE3618" s="52" t="s">
        <v>373</v>
      </c>
      <c r="AF3618" s="155" t="s">
        <v>561</v>
      </c>
      <c r="AG3618" s="155">
        <v>4</v>
      </c>
    </row>
    <row r="3619" spans="25:33">
      <c r="Y3619" s="47">
        <v>3596</v>
      </c>
      <c r="Z3619" s="52" t="s">
        <v>410</v>
      </c>
      <c r="AA3619" s="52" t="s">
        <v>247</v>
      </c>
      <c r="AB3619" s="52" t="s">
        <v>247</v>
      </c>
      <c r="AC3619" s="52">
        <v>4</v>
      </c>
      <c r="AD3619" s="52" t="s">
        <v>2</v>
      </c>
      <c r="AE3619" s="52" t="s">
        <v>373</v>
      </c>
      <c r="AF3619" s="155" t="s">
        <v>561</v>
      </c>
      <c r="AG3619" s="155">
        <v>4</v>
      </c>
    </row>
    <row r="3620" spans="25:33">
      <c r="Y3620" s="47">
        <v>3597</v>
      </c>
      <c r="Z3620" s="52" t="s">
        <v>410</v>
      </c>
      <c r="AA3620" s="52" t="s">
        <v>247</v>
      </c>
      <c r="AB3620" s="52" t="s">
        <v>247</v>
      </c>
      <c r="AC3620" s="52">
        <v>4</v>
      </c>
      <c r="AD3620" s="52" t="s">
        <v>2</v>
      </c>
      <c r="AE3620" s="52" t="s">
        <v>373</v>
      </c>
      <c r="AF3620" s="155" t="s">
        <v>561</v>
      </c>
      <c r="AG3620" s="155">
        <v>4</v>
      </c>
    </row>
    <row r="3621" spans="25:33">
      <c r="Y3621" s="47">
        <v>3598</v>
      </c>
      <c r="Z3621" s="52" t="s">
        <v>410</v>
      </c>
      <c r="AA3621" s="52" t="s">
        <v>247</v>
      </c>
      <c r="AB3621" s="52" t="s">
        <v>247</v>
      </c>
      <c r="AC3621" s="52" t="s">
        <v>247</v>
      </c>
      <c r="AD3621" s="52" t="s">
        <v>1</v>
      </c>
      <c r="AE3621" s="52" t="s">
        <v>373</v>
      </c>
      <c r="AF3621" s="155" t="s">
        <v>247</v>
      </c>
      <c r="AG3621" s="155" t="s">
        <v>247</v>
      </c>
    </row>
    <row r="3622" spans="25:33">
      <c r="Y3622" s="47">
        <v>3599</v>
      </c>
      <c r="Z3622" s="52" t="s">
        <v>410</v>
      </c>
      <c r="AA3622" s="52" t="s">
        <v>247</v>
      </c>
      <c r="AB3622" s="52" t="s">
        <v>247</v>
      </c>
      <c r="AC3622" s="52">
        <v>4</v>
      </c>
      <c r="AD3622" s="52" t="s">
        <v>2</v>
      </c>
      <c r="AE3622" s="52" t="s">
        <v>373</v>
      </c>
      <c r="AF3622" s="155" t="s">
        <v>561</v>
      </c>
      <c r="AG3622" s="155">
        <v>4</v>
      </c>
    </row>
    <row r="3623" spans="25:33">
      <c r="Y3623" s="47">
        <v>3600</v>
      </c>
      <c r="Z3623" s="52" t="s">
        <v>410</v>
      </c>
      <c r="AA3623" s="52" t="s">
        <v>247</v>
      </c>
      <c r="AB3623" s="52" t="s">
        <v>247</v>
      </c>
      <c r="AC3623" s="52" t="s">
        <v>247</v>
      </c>
      <c r="AD3623" s="52" t="s">
        <v>1</v>
      </c>
      <c r="AE3623" s="52" t="s">
        <v>373</v>
      </c>
      <c r="AF3623" s="155" t="s">
        <v>247</v>
      </c>
      <c r="AG3623" s="155" t="s">
        <v>247</v>
      </c>
    </row>
    <row r="3624" spans="25:33">
      <c r="Y3624" s="47">
        <v>3601</v>
      </c>
      <c r="Z3624" s="52" t="s">
        <v>410</v>
      </c>
      <c r="AA3624" s="52" t="s">
        <v>247</v>
      </c>
      <c r="AB3624" s="52" t="s">
        <v>247</v>
      </c>
      <c r="AC3624" s="52" t="s">
        <v>247</v>
      </c>
      <c r="AD3624" s="52" t="s">
        <v>1</v>
      </c>
      <c r="AE3624" s="52" t="s">
        <v>373</v>
      </c>
      <c r="AF3624" s="155" t="s">
        <v>247</v>
      </c>
      <c r="AG3624" s="155" t="s">
        <v>247</v>
      </c>
    </row>
    <row r="3625" spans="25:33">
      <c r="Y3625" s="47">
        <v>3602</v>
      </c>
      <c r="Z3625" s="52" t="s">
        <v>410</v>
      </c>
      <c r="AA3625" s="52" t="s">
        <v>247</v>
      </c>
      <c r="AB3625" s="52" t="s">
        <v>247</v>
      </c>
      <c r="AC3625" s="52" t="s">
        <v>247</v>
      </c>
      <c r="AD3625" s="52" t="s">
        <v>1</v>
      </c>
      <c r="AE3625" s="52" t="s">
        <v>373</v>
      </c>
      <c r="AF3625" s="155" t="s">
        <v>247</v>
      </c>
      <c r="AG3625" s="155" t="s">
        <v>247</v>
      </c>
    </row>
    <row r="3626" spans="25:33">
      <c r="Y3626" s="47">
        <v>3603</v>
      </c>
      <c r="Z3626" s="52" t="s">
        <v>410</v>
      </c>
      <c r="AA3626" s="52" t="s">
        <v>247</v>
      </c>
      <c r="AB3626" s="52" t="s">
        <v>247</v>
      </c>
      <c r="AC3626" s="52" t="s">
        <v>247</v>
      </c>
      <c r="AD3626" s="52" t="s">
        <v>1</v>
      </c>
      <c r="AE3626" s="52" t="s">
        <v>373</v>
      </c>
      <c r="AF3626" s="155" t="s">
        <v>247</v>
      </c>
      <c r="AG3626" s="155" t="s">
        <v>247</v>
      </c>
    </row>
    <row r="3627" spans="25:33">
      <c r="Y3627" s="47">
        <v>3604</v>
      </c>
      <c r="Z3627" s="52" t="s">
        <v>410</v>
      </c>
      <c r="AA3627" s="52" t="s">
        <v>247</v>
      </c>
      <c r="AB3627" s="52" t="s">
        <v>247</v>
      </c>
      <c r="AC3627" s="52" t="s">
        <v>247</v>
      </c>
      <c r="AD3627" s="52" t="s">
        <v>1</v>
      </c>
      <c r="AE3627" s="52" t="s">
        <v>373</v>
      </c>
      <c r="AF3627" s="155" t="s">
        <v>247</v>
      </c>
      <c r="AG3627" s="155" t="s">
        <v>247</v>
      </c>
    </row>
    <row r="3628" spans="25:33">
      <c r="Y3628" s="47">
        <v>3605</v>
      </c>
      <c r="Z3628" s="52" t="s">
        <v>410</v>
      </c>
      <c r="AA3628" s="52" t="s">
        <v>247</v>
      </c>
      <c r="AB3628" s="52" t="s">
        <v>247</v>
      </c>
      <c r="AC3628" s="52" t="s">
        <v>247</v>
      </c>
      <c r="AD3628" s="52" t="s">
        <v>1</v>
      </c>
      <c r="AE3628" s="52" t="s">
        <v>373</v>
      </c>
      <c r="AF3628" s="155" t="s">
        <v>247</v>
      </c>
      <c r="AG3628" s="155" t="s">
        <v>247</v>
      </c>
    </row>
    <row r="3629" spans="25:33">
      <c r="Y3629" s="47">
        <v>3606</v>
      </c>
      <c r="Z3629" s="52" t="s">
        <v>410</v>
      </c>
      <c r="AA3629" s="52" t="s">
        <v>247</v>
      </c>
      <c r="AB3629" s="52" t="s">
        <v>247</v>
      </c>
      <c r="AC3629" s="52" t="s">
        <v>247</v>
      </c>
      <c r="AD3629" s="52" t="s">
        <v>1</v>
      </c>
      <c r="AE3629" s="52" t="s">
        <v>373</v>
      </c>
      <c r="AF3629" s="155" t="s">
        <v>247</v>
      </c>
      <c r="AG3629" s="155" t="s">
        <v>247</v>
      </c>
    </row>
    <row r="3630" spans="25:33">
      <c r="Y3630" s="47">
        <v>3607</v>
      </c>
      <c r="Z3630" s="52" t="s">
        <v>410</v>
      </c>
      <c r="AA3630" s="52" t="s">
        <v>247</v>
      </c>
      <c r="AB3630" s="52" t="s">
        <v>247</v>
      </c>
      <c r="AC3630" s="52">
        <v>4</v>
      </c>
      <c r="AD3630" s="52" t="s">
        <v>2</v>
      </c>
      <c r="AE3630" s="52" t="s">
        <v>373</v>
      </c>
      <c r="AF3630" s="155" t="s">
        <v>560</v>
      </c>
      <c r="AG3630" s="155">
        <v>4</v>
      </c>
    </row>
    <row r="3631" spans="25:33">
      <c r="Y3631" s="47">
        <v>3608</v>
      </c>
      <c r="Z3631" s="52" t="s">
        <v>410</v>
      </c>
      <c r="AA3631" s="52" t="s">
        <v>247</v>
      </c>
      <c r="AB3631" s="52" t="s">
        <v>247</v>
      </c>
      <c r="AC3631" s="52">
        <v>4</v>
      </c>
      <c r="AD3631" s="52" t="s">
        <v>2</v>
      </c>
      <c r="AE3631" s="52" t="s">
        <v>373</v>
      </c>
      <c r="AF3631" s="155" t="s">
        <v>560</v>
      </c>
      <c r="AG3631" s="155">
        <v>4</v>
      </c>
    </row>
    <row r="3632" spans="25:33">
      <c r="Y3632" s="47">
        <v>3609</v>
      </c>
      <c r="Z3632" s="52" t="s">
        <v>410</v>
      </c>
      <c r="AA3632" s="52" t="s">
        <v>247</v>
      </c>
      <c r="AB3632" s="52" t="s">
        <v>247</v>
      </c>
      <c r="AC3632" s="52" t="s">
        <v>247</v>
      </c>
      <c r="AD3632" s="52" t="s">
        <v>1</v>
      </c>
      <c r="AE3632" s="52" t="s">
        <v>373</v>
      </c>
      <c r="AF3632" s="155" t="s">
        <v>247</v>
      </c>
      <c r="AG3632" s="155" t="s">
        <v>247</v>
      </c>
    </row>
    <row r="3633" spans="25:33">
      <c r="Y3633" s="47">
        <v>3610</v>
      </c>
      <c r="Z3633" s="52" t="s">
        <v>410</v>
      </c>
      <c r="AA3633" s="52" t="s">
        <v>247</v>
      </c>
      <c r="AB3633" s="52" t="s">
        <v>247</v>
      </c>
      <c r="AC3633" s="52">
        <v>4</v>
      </c>
      <c r="AD3633" s="52" t="s">
        <v>2</v>
      </c>
      <c r="AE3633" s="52" t="s">
        <v>373</v>
      </c>
      <c r="AF3633" s="155" t="s">
        <v>560</v>
      </c>
      <c r="AG3633" s="155">
        <v>4</v>
      </c>
    </row>
    <row r="3634" spans="25:33">
      <c r="Y3634" s="47">
        <v>3611</v>
      </c>
      <c r="Z3634" s="52" t="s">
        <v>410</v>
      </c>
      <c r="AA3634" s="52" t="s">
        <v>247</v>
      </c>
      <c r="AB3634" s="52" t="s">
        <v>247</v>
      </c>
      <c r="AC3634" s="52" t="s">
        <v>247</v>
      </c>
      <c r="AD3634" s="52" t="s">
        <v>1</v>
      </c>
      <c r="AE3634" s="52" t="s">
        <v>373</v>
      </c>
      <c r="AF3634" s="155" t="s">
        <v>247</v>
      </c>
      <c r="AG3634" s="155" t="s">
        <v>247</v>
      </c>
    </row>
    <row r="3635" spans="25:33">
      <c r="Y3635" s="47">
        <v>3612</v>
      </c>
      <c r="Z3635" s="52" t="s">
        <v>410</v>
      </c>
      <c r="AA3635" s="52" t="s">
        <v>247</v>
      </c>
      <c r="AB3635" s="52" t="s">
        <v>247</v>
      </c>
      <c r="AC3635" s="52">
        <v>4</v>
      </c>
      <c r="AD3635" s="52" t="s">
        <v>2</v>
      </c>
      <c r="AE3635" s="52" t="s">
        <v>373</v>
      </c>
      <c r="AF3635" s="155" t="s">
        <v>560</v>
      </c>
      <c r="AG3635" s="155">
        <v>4</v>
      </c>
    </row>
    <row r="3636" spans="25:33">
      <c r="Y3636" s="47">
        <v>3613</v>
      </c>
      <c r="Z3636" s="52" t="s">
        <v>410</v>
      </c>
      <c r="AA3636" s="52" t="s">
        <v>247</v>
      </c>
      <c r="AB3636" s="52" t="s">
        <v>247</v>
      </c>
      <c r="AC3636" s="52" t="s">
        <v>247</v>
      </c>
      <c r="AD3636" s="52" t="s">
        <v>1</v>
      </c>
      <c r="AE3636" s="52" t="s">
        <v>373</v>
      </c>
      <c r="AF3636" s="155" t="s">
        <v>247</v>
      </c>
      <c r="AG3636" s="155" t="s">
        <v>247</v>
      </c>
    </row>
    <row r="3637" spans="25:33">
      <c r="Y3637" s="47">
        <v>3614</v>
      </c>
      <c r="Z3637" s="52" t="s">
        <v>410</v>
      </c>
      <c r="AA3637" s="52" t="s">
        <v>247</v>
      </c>
      <c r="AB3637" s="52" t="s">
        <v>247</v>
      </c>
      <c r="AC3637" s="52">
        <v>4</v>
      </c>
      <c r="AD3637" s="52" t="s">
        <v>2</v>
      </c>
      <c r="AE3637" s="52" t="s">
        <v>373</v>
      </c>
      <c r="AF3637" s="155" t="s">
        <v>560</v>
      </c>
      <c r="AG3637" s="155">
        <v>4</v>
      </c>
    </row>
    <row r="3638" spans="25:33">
      <c r="Y3638" s="47">
        <v>3615</v>
      </c>
      <c r="Z3638" s="52" t="s">
        <v>410</v>
      </c>
      <c r="AA3638" s="52" t="s">
        <v>247</v>
      </c>
      <c r="AB3638" s="52" t="s">
        <v>247</v>
      </c>
      <c r="AC3638" s="52" t="s">
        <v>247</v>
      </c>
      <c r="AD3638" s="52" t="s">
        <v>1</v>
      </c>
      <c r="AE3638" s="52" t="s">
        <v>373</v>
      </c>
      <c r="AF3638" s="155" t="s">
        <v>247</v>
      </c>
      <c r="AG3638" s="155" t="s">
        <v>247</v>
      </c>
    </row>
    <row r="3639" spans="25:33">
      <c r="Y3639" s="47">
        <v>3616</v>
      </c>
      <c r="Z3639" s="52" t="s">
        <v>410</v>
      </c>
      <c r="AA3639" s="52" t="s">
        <v>247</v>
      </c>
      <c r="AB3639" s="52" t="s">
        <v>247</v>
      </c>
      <c r="AC3639" s="52">
        <v>4</v>
      </c>
      <c r="AD3639" s="52" t="s">
        <v>2</v>
      </c>
      <c r="AE3639" s="52" t="s">
        <v>373</v>
      </c>
      <c r="AF3639" s="155" t="s">
        <v>560</v>
      </c>
      <c r="AG3639" s="155">
        <v>4</v>
      </c>
    </row>
    <row r="3640" spans="25:33">
      <c r="Y3640" s="47">
        <v>3617</v>
      </c>
      <c r="Z3640" s="52" t="s">
        <v>410</v>
      </c>
      <c r="AA3640" s="52" t="s">
        <v>247</v>
      </c>
      <c r="AB3640" s="52" t="s">
        <v>247</v>
      </c>
      <c r="AC3640" s="52">
        <v>4</v>
      </c>
      <c r="AD3640" s="52" t="s">
        <v>2</v>
      </c>
      <c r="AE3640" s="52" t="s">
        <v>373</v>
      </c>
      <c r="AF3640" s="155" t="s">
        <v>560</v>
      </c>
      <c r="AG3640" s="155">
        <v>4</v>
      </c>
    </row>
    <row r="3641" spans="25:33">
      <c r="Y3641" s="47">
        <v>3618</v>
      </c>
      <c r="Z3641" s="52" t="s">
        <v>410</v>
      </c>
      <c r="AA3641" s="52" t="s">
        <v>247</v>
      </c>
      <c r="AB3641" s="52" t="s">
        <v>247</v>
      </c>
      <c r="AC3641" s="52">
        <v>4</v>
      </c>
      <c r="AD3641" s="52" t="s">
        <v>2</v>
      </c>
      <c r="AE3641" s="52" t="s">
        <v>373</v>
      </c>
      <c r="AF3641" s="155" t="s">
        <v>560</v>
      </c>
      <c r="AG3641" s="155">
        <v>4</v>
      </c>
    </row>
    <row r="3642" spans="25:33">
      <c r="Y3642" s="47">
        <v>3619</v>
      </c>
      <c r="Z3642" s="52" t="s">
        <v>410</v>
      </c>
      <c r="AA3642" s="52" t="s">
        <v>247</v>
      </c>
      <c r="AB3642" s="52" t="s">
        <v>247</v>
      </c>
      <c r="AC3642" s="52">
        <v>4</v>
      </c>
      <c r="AD3642" s="52" t="s">
        <v>2</v>
      </c>
      <c r="AE3642" s="52" t="s">
        <v>373</v>
      </c>
      <c r="AF3642" s="155" t="s">
        <v>560</v>
      </c>
      <c r="AG3642" s="155">
        <v>4</v>
      </c>
    </row>
    <row r="3643" spans="25:33">
      <c r="Y3643" s="47">
        <v>3620</v>
      </c>
      <c r="Z3643" s="52" t="s">
        <v>410</v>
      </c>
      <c r="AA3643" s="52" t="s">
        <v>247</v>
      </c>
      <c r="AB3643" s="52" t="s">
        <v>247</v>
      </c>
      <c r="AC3643" s="52">
        <v>4</v>
      </c>
      <c r="AD3643" s="52" t="s">
        <v>2</v>
      </c>
      <c r="AE3643" s="52" t="s">
        <v>373</v>
      </c>
      <c r="AF3643" s="155" t="s">
        <v>560</v>
      </c>
      <c r="AG3643" s="155">
        <v>4</v>
      </c>
    </row>
    <row r="3644" spans="25:33">
      <c r="Y3644" s="47">
        <v>3621</v>
      </c>
      <c r="Z3644" s="52" t="s">
        <v>410</v>
      </c>
      <c r="AA3644" s="52" t="s">
        <v>247</v>
      </c>
      <c r="AB3644" s="52" t="s">
        <v>247</v>
      </c>
      <c r="AC3644" s="52">
        <v>4</v>
      </c>
      <c r="AD3644" s="52" t="s">
        <v>2</v>
      </c>
      <c r="AE3644" s="52" t="s">
        <v>373</v>
      </c>
      <c r="AF3644" s="155" t="s">
        <v>560</v>
      </c>
      <c r="AG3644" s="155">
        <v>4</v>
      </c>
    </row>
    <row r="3645" spans="25:33">
      <c r="Y3645" s="47">
        <v>3622</v>
      </c>
      <c r="Z3645" s="52" t="s">
        <v>410</v>
      </c>
      <c r="AA3645" s="52" t="s">
        <v>247</v>
      </c>
      <c r="AB3645" s="52" t="s">
        <v>247</v>
      </c>
      <c r="AC3645" s="52">
        <v>4</v>
      </c>
      <c r="AD3645" s="52" t="s">
        <v>2</v>
      </c>
      <c r="AE3645" s="52" t="s">
        <v>373</v>
      </c>
      <c r="AF3645" s="155" t="s">
        <v>560</v>
      </c>
      <c r="AG3645" s="155">
        <v>4</v>
      </c>
    </row>
    <row r="3646" spans="25:33">
      <c r="Y3646" s="47">
        <v>3623</v>
      </c>
      <c r="Z3646" s="52" t="s">
        <v>410</v>
      </c>
      <c r="AA3646" s="52" t="s">
        <v>247</v>
      </c>
      <c r="AB3646" s="52" t="s">
        <v>247</v>
      </c>
      <c r="AC3646" s="52">
        <v>4</v>
      </c>
      <c r="AD3646" s="52" t="s">
        <v>2</v>
      </c>
      <c r="AE3646" s="52" t="s">
        <v>373</v>
      </c>
      <c r="AF3646" s="155" t="s">
        <v>560</v>
      </c>
      <c r="AG3646" s="155">
        <v>4</v>
      </c>
    </row>
    <row r="3647" spans="25:33">
      <c r="Y3647" s="47">
        <v>3624</v>
      </c>
      <c r="Z3647" s="52" t="s">
        <v>410</v>
      </c>
      <c r="AA3647" s="52" t="s">
        <v>247</v>
      </c>
      <c r="AB3647" s="52" t="s">
        <v>247</v>
      </c>
      <c r="AC3647" s="52">
        <v>4</v>
      </c>
      <c r="AD3647" s="52" t="s">
        <v>2</v>
      </c>
      <c r="AE3647" s="52" t="s">
        <v>373</v>
      </c>
      <c r="AF3647" s="155" t="s">
        <v>560</v>
      </c>
      <c r="AG3647" s="155">
        <v>4</v>
      </c>
    </row>
    <row r="3648" spans="25:33">
      <c r="Y3648" s="47">
        <v>3625</v>
      </c>
      <c r="Z3648" s="52" t="s">
        <v>410</v>
      </c>
      <c r="AA3648" s="52" t="s">
        <v>247</v>
      </c>
      <c r="AB3648" s="52" t="s">
        <v>247</v>
      </c>
      <c r="AC3648" s="52" t="s">
        <v>247</v>
      </c>
      <c r="AD3648" s="52" t="s">
        <v>1</v>
      </c>
      <c r="AE3648" s="52" t="s">
        <v>373</v>
      </c>
      <c r="AF3648" s="155" t="s">
        <v>247</v>
      </c>
      <c r="AG3648" s="155" t="s">
        <v>247</v>
      </c>
    </row>
    <row r="3649" spans="25:33">
      <c r="Y3649" s="47">
        <v>3626</v>
      </c>
      <c r="Z3649" s="52" t="s">
        <v>410</v>
      </c>
      <c r="AA3649" s="52" t="s">
        <v>247</v>
      </c>
      <c r="AB3649" s="52" t="s">
        <v>247</v>
      </c>
      <c r="AC3649" s="52" t="s">
        <v>247</v>
      </c>
      <c r="AD3649" s="52" t="s">
        <v>1</v>
      </c>
      <c r="AE3649" s="52" t="s">
        <v>373</v>
      </c>
      <c r="AF3649" s="155" t="s">
        <v>247</v>
      </c>
      <c r="AG3649" s="155" t="s">
        <v>247</v>
      </c>
    </row>
    <row r="3650" spans="25:33">
      <c r="Y3650" s="47">
        <v>3627</v>
      </c>
      <c r="Z3650" s="52" t="s">
        <v>410</v>
      </c>
      <c r="AA3650" s="52" t="s">
        <v>247</v>
      </c>
      <c r="AB3650" s="52" t="s">
        <v>247</v>
      </c>
      <c r="AC3650" s="52" t="s">
        <v>247</v>
      </c>
      <c r="AD3650" s="52" t="s">
        <v>1</v>
      </c>
      <c r="AE3650" s="52" t="s">
        <v>373</v>
      </c>
      <c r="AF3650" s="155" t="s">
        <v>247</v>
      </c>
      <c r="AG3650" s="155" t="s">
        <v>247</v>
      </c>
    </row>
    <row r="3651" spans="25:33">
      <c r="Y3651" s="47">
        <v>3628</v>
      </c>
      <c r="Z3651" s="52" t="s">
        <v>410</v>
      </c>
      <c r="AA3651" s="52" t="s">
        <v>247</v>
      </c>
      <c r="AB3651" s="52" t="s">
        <v>247</v>
      </c>
      <c r="AC3651" s="52" t="s">
        <v>247</v>
      </c>
      <c r="AD3651" s="52" t="s">
        <v>1</v>
      </c>
      <c r="AE3651" s="52" t="s">
        <v>373</v>
      </c>
      <c r="AF3651" s="155" t="s">
        <v>247</v>
      </c>
      <c r="AG3651" s="155" t="s">
        <v>247</v>
      </c>
    </row>
    <row r="3652" spans="25:33">
      <c r="Y3652" s="47">
        <v>3629</v>
      </c>
      <c r="Z3652" s="52" t="s">
        <v>410</v>
      </c>
      <c r="AA3652" s="52" t="s">
        <v>247</v>
      </c>
      <c r="AB3652" s="52" t="s">
        <v>247</v>
      </c>
      <c r="AC3652" s="52">
        <v>4</v>
      </c>
      <c r="AD3652" s="52" t="s">
        <v>2</v>
      </c>
      <c r="AE3652" s="52" t="s">
        <v>373</v>
      </c>
      <c r="AF3652" s="155" t="s">
        <v>560</v>
      </c>
      <c r="AG3652" s="155">
        <v>4</v>
      </c>
    </row>
    <row r="3653" spans="25:33">
      <c r="Y3653" s="47">
        <v>3630</v>
      </c>
      <c r="Z3653" s="52" t="s">
        <v>410</v>
      </c>
      <c r="AA3653" s="52" t="s">
        <v>247</v>
      </c>
      <c r="AB3653" s="52" t="s">
        <v>247</v>
      </c>
      <c r="AC3653" s="52">
        <v>4</v>
      </c>
      <c r="AD3653" s="52" t="s">
        <v>2</v>
      </c>
      <c r="AE3653" s="52" t="s">
        <v>373</v>
      </c>
      <c r="AF3653" s="155" t="s">
        <v>560</v>
      </c>
      <c r="AG3653" s="155">
        <v>4</v>
      </c>
    </row>
    <row r="3654" spans="25:33">
      <c r="Y3654" s="47">
        <v>3631</v>
      </c>
      <c r="Z3654" s="52" t="s">
        <v>410</v>
      </c>
      <c r="AA3654" s="52" t="s">
        <v>247</v>
      </c>
      <c r="AB3654" s="52" t="s">
        <v>247</v>
      </c>
      <c r="AC3654" s="52">
        <v>4</v>
      </c>
      <c r="AD3654" s="52" t="s">
        <v>2</v>
      </c>
      <c r="AE3654" s="52" t="s">
        <v>373</v>
      </c>
      <c r="AF3654" s="155" t="s">
        <v>560</v>
      </c>
      <c r="AG3654" s="155">
        <v>4</v>
      </c>
    </row>
    <row r="3655" spans="25:33">
      <c r="Y3655" s="47">
        <v>3632</v>
      </c>
      <c r="Z3655" s="52" t="s">
        <v>410</v>
      </c>
      <c r="AA3655" s="52" t="s">
        <v>247</v>
      </c>
      <c r="AB3655" s="52" t="s">
        <v>247</v>
      </c>
      <c r="AC3655" s="52">
        <v>4</v>
      </c>
      <c r="AD3655" s="52" t="s">
        <v>2</v>
      </c>
      <c r="AE3655" s="52" t="s">
        <v>373</v>
      </c>
      <c r="AF3655" s="155" t="s">
        <v>560</v>
      </c>
      <c r="AG3655" s="155">
        <v>4</v>
      </c>
    </row>
    <row r="3656" spans="25:33">
      <c r="Y3656" s="47">
        <v>3633</v>
      </c>
      <c r="Z3656" s="52" t="s">
        <v>410</v>
      </c>
      <c r="AA3656" s="52" t="s">
        <v>247</v>
      </c>
      <c r="AB3656" s="52" t="s">
        <v>247</v>
      </c>
      <c r="AC3656" s="52">
        <v>4</v>
      </c>
      <c r="AD3656" s="52" t="s">
        <v>2</v>
      </c>
      <c r="AE3656" s="52" t="s">
        <v>373</v>
      </c>
      <c r="AF3656" s="155" t="s">
        <v>560</v>
      </c>
      <c r="AG3656" s="155">
        <v>4</v>
      </c>
    </row>
    <row r="3657" spans="25:33">
      <c r="Y3657" s="47">
        <v>3634</v>
      </c>
      <c r="Z3657" s="52" t="s">
        <v>410</v>
      </c>
      <c r="AA3657" s="52" t="s">
        <v>247</v>
      </c>
      <c r="AB3657" s="52" t="s">
        <v>247</v>
      </c>
      <c r="AC3657" s="52">
        <v>4</v>
      </c>
      <c r="AD3657" s="52" t="s">
        <v>2</v>
      </c>
      <c r="AE3657" s="52" t="s">
        <v>373</v>
      </c>
      <c r="AF3657" s="155" t="s">
        <v>560</v>
      </c>
      <c r="AG3657" s="155">
        <v>4</v>
      </c>
    </row>
    <row r="3658" spans="25:33">
      <c r="Y3658" s="47">
        <v>3635</v>
      </c>
      <c r="Z3658" s="52" t="s">
        <v>410</v>
      </c>
      <c r="AA3658" s="52" t="s">
        <v>247</v>
      </c>
      <c r="AB3658" s="52" t="s">
        <v>247</v>
      </c>
      <c r="AC3658" s="52">
        <v>4</v>
      </c>
      <c r="AD3658" s="52" t="s">
        <v>2</v>
      </c>
      <c r="AE3658" s="52" t="s">
        <v>373</v>
      </c>
      <c r="AF3658" s="155" t="s">
        <v>560</v>
      </c>
      <c r="AG3658" s="155">
        <v>4</v>
      </c>
    </row>
    <row r="3659" spans="25:33">
      <c r="Y3659" s="47">
        <v>3636</v>
      </c>
      <c r="Z3659" s="52" t="s">
        <v>410</v>
      </c>
      <c r="AA3659" s="52" t="s">
        <v>247</v>
      </c>
      <c r="AB3659" s="52" t="s">
        <v>247</v>
      </c>
      <c r="AC3659" s="52">
        <v>4</v>
      </c>
      <c r="AD3659" s="52" t="s">
        <v>2</v>
      </c>
      <c r="AE3659" s="52" t="s">
        <v>373</v>
      </c>
      <c r="AF3659" s="155" t="s">
        <v>560</v>
      </c>
      <c r="AG3659" s="155">
        <v>4</v>
      </c>
    </row>
    <row r="3660" spans="25:33">
      <c r="Y3660" s="47">
        <v>3637</v>
      </c>
      <c r="Z3660" s="52" t="s">
        <v>410</v>
      </c>
      <c r="AA3660" s="52" t="s">
        <v>247</v>
      </c>
      <c r="AB3660" s="52" t="s">
        <v>247</v>
      </c>
      <c r="AC3660" s="52">
        <v>4</v>
      </c>
      <c r="AD3660" s="52" t="s">
        <v>2</v>
      </c>
      <c r="AE3660" s="52" t="s">
        <v>373</v>
      </c>
      <c r="AF3660" s="155" t="s">
        <v>560</v>
      </c>
      <c r="AG3660" s="155">
        <v>4</v>
      </c>
    </row>
    <row r="3661" spans="25:33">
      <c r="Y3661" s="47">
        <v>3638</v>
      </c>
      <c r="Z3661" s="52" t="s">
        <v>410</v>
      </c>
      <c r="AA3661" s="52" t="s">
        <v>247</v>
      </c>
      <c r="AB3661" s="52" t="s">
        <v>247</v>
      </c>
      <c r="AC3661" s="52">
        <v>4</v>
      </c>
      <c r="AD3661" s="52" t="s">
        <v>2</v>
      </c>
      <c r="AE3661" s="52" t="s">
        <v>373</v>
      </c>
      <c r="AF3661" s="155" t="s">
        <v>560</v>
      </c>
      <c r="AG3661" s="155">
        <v>4</v>
      </c>
    </row>
    <row r="3662" spans="25:33">
      <c r="Y3662" s="47">
        <v>3639</v>
      </c>
      <c r="Z3662" s="52" t="s">
        <v>410</v>
      </c>
      <c r="AA3662" s="52" t="s">
        <v>247</v>
      </c>
      <c r="AB3662" s="52" t="s">
        <v>247</v>
      </c>
      <c r="AC3662" s="52">
        <v>4</v>
      </c>
      <c r="AD3662" s="52" t="s">
        <v>2</v>
      </c>
      <c r="AE3662" s="52" t="s">
        <v>373</v>
      </c>
      <c r="AF3662" s="155" t="s">
        <v>560</v>
      </c>
      <c r="AG3662" s="155">
        <v>4</v>
      </c>
    </row>
    <row r="3663" spans="25:33">
      <c r="Y3663" s="47">
        <v>3640</v>
      </c>
      <c r="Z3663" s="52" t="s">
        <v>410</v>
      </c>
      <c r="AA3663" s="52" t="s">
        <v>247</v>
      </c>
      <c r="AB3663" s="52" t="s">
        <v>247</v>
      </c>
      <c r="AC3663" s="52">
        <v>4</v>
      </c>
      <c r="AD3663" s="52" t="s">
        <v>2</v>
      </c>
      <c r="AE3663" s="52" t="s">
        <v>373</v>
      </c>
      <c r="AF3663" s="155" t="s">
        <v>560</v>
      </c>
      <c r="AG3663" s="155">
        <v>4</v>
      </c>
    </row>
    <row r="3664" spans="25:33">
      <c r="Y3664" s="47">
        <v>3641</v>
      </c>
      <c r="Z3664" s="52" t="s">
        <v>410</v>
      </c>
      <c r="AA3664" s="52" t="s">
        <v>247</v>
      </c>
      <c r="AB3664" s="52" t="s">
        <v>247</v>
      </c>
      <c r="AC3664" s="52">
        <v>4</v>
      </c>
      <c r="AD3664" s="52" t="s">
        <v>2</v>
      </c>
      <c r="AE3664" s="52" t="s">
        <v>373</v>
      </c>
      <c r="AF3664" s="155" t="s">
        <v>560</v>
      </c>
      <c r="AG3664" s="155">
        <v>4</v>
      </c>
    </row>
    <row r="3665" spans="25:33">
      <c r="Y3665" s="47">
        <v>3642</v>
      </c>
      <c r="Z3665" s="52" t="s">
        <v>410</v>
      </c>
      <c r="AA3665" s="52" t="s">
        <v>247</v>
      </c>
      <c r="AB3665" s="52" t="s">
        <v>247</v>
      </c>
      <c r="AC3665" s="52" t="s">
        <v>247</v>
      </c>
      <c r="AD3665" s="52" t="s">
        <v>1</v>
      </c>
      <c r="AE3665" s="52" t="s">
        <v>373</v>
      </c>
      <c r="AF3665" s="155" t="s">
        <v>247</v>
      </c>
      <c r="AG3665" s="155" t="s">
        <v>247</v>
      </c>
    </row>
    <row r="3666" spans="25:33">
      <c r="Y3666" s="47">
        <v>3643</v>
      </c>
      <c r="Z3666" s="52" t="s">
        <v>410</v>
      </c>
      <c r="AA3666" s="52" t="s">
        <v>247</v>
      </c>
      <c r="AB3666" s="52" t="s">
        <v>247</v>
      </c>
      <c r="AC3666" s="52">
        <v>4</v>
      </c>
      <c r="AD3666" s="52" t="s">
        <v>2</v>
      </c>
      <c r="AE3666" s="52" t="s">
        <v>373</v>
      </c>
      <c r="AF3666" s="155" t="s">
        <v>560</v>
      </c>
      <c r="AG3666" s="155">
        <v>4</v>
      </c>
    </row>
    <row r="3667" spans="25:33">
      <c r="Y3667" s="47">
        <v>3644</v>
      </c>
      <c r="Z3667" s="52" t="s">
        <v>410</v>
      </c>
      <c r="AA3667" s="52">
        <v>4</v>
      </c>
      <c r="AB3667" s="52">
        <v>3</v>
      </c>
      <c r="AC3667" s="52">
        <v>4</v>
      </c>
      <c r="AD3667" s="52" t="s">
        <v>2</v>
      </c>
      <c r="AE3667" s="52" t="s">
        <v>373</v>
      </c>
      <c r="AF3667" s="155" t="s">
        <v>560</v>
      </c>
      <c r="AG3667" s="155">
        <v>4</v>
      </c>
    </row>
    <row r="3668" spans="25:33">
      <c r="Y3668" s="47">
        <v>3645</v>
      </c>
      <c r="Z3668" s="52" t="s">
        <v>410</v>
      </c>
      <c r="AA3668" s="52" t="s">
        <v>247</v>
      </c>
      <c r="AB3668" s="52" t="s">
        <v>247</v>
      </c>
      <c r="AC3668" s="52" t="s">
        <v>247</v>
      </c>
      <c r="AD3668" s="52" t="s">
        <v>1</v>
      </c>
      <c r="AE3668" s="52" t="s">
        <v>373</v>
      </c>
      <c r="AF3668" s="155" t="s">
        <v>247</v>
      </c>
      <c r="AG3668" s="155" t="s">
        <v>247</v>
      </c>
    </row>
    <row r="3669" spans="25:33">
      <c r="Y3669" s="47">
        <v>3646</v>
      </c>
      <c r="Z3669" s="52" t="s">
        <v>410</v>
      </c>
      <c r="AA3669" s="52" t="s">
        <v>247</v>
      </c>
      <c r="AB3669" s="52" t="s">
        <v>247</v>
      </c>
      <c r="AC3669" s="52">
        <v>4</v>
      </c>
      <c r="AD3669" s="52" t="s">
        <v>2</v>
      </c>
      <c r="AE3669" s="52" t="s">
        <v>373</v>
      </c>
      <c r="AF3669" s="155" t="s">
        <v>560</v>
      </c>
      <c r="AG3669" s="155">
        <v>4</v>
      </c>
    </row>
    <row r="3670" spans="25:33">
      <c r="Y3670" s="47">
        <v>3647</v>
      </c>
      <c r="Z3670" s="52" t="s">
        <v>410</v>
      </c>
      <c r="AA3670" s="52" t="s">
        <v>247</v>
      </c>
      <c r="AB3670" s="52" t="s">
        <v>247</v>
      </c>
      <c r="AC3670" s="52">
        <v>4</v>
      </c>
      <c r="AD3670" s="52" t="s">
        <v>2</v>
      </c>
      <c r="AE3670" s="52" t="s">
        <v>373</v>
      </c>
      <c r="AF3670" s="155" t="s">
        <v>560</v>
      </c>
      <c r="AG3670" s="155">
        <v>4</v>
      </c>
    </row>
    <row r="3671" spans="25:33">
      <c r="Y3671" s="47">
        <v>3648</v>
      </c>
      <c r="Z3671" s="52" t="s">
        <v>410</v>
      </c>
      <c r="AA3671" s="52" t="s">
        <v>247</v>
      </c>
      <c r="AB3671" s="52" t="s">
        <v>247</v>
      </c>
      <c r="AC3671" s="52" t="s">
        <v>247</v>
      </c>
      <c r="AD3671" s="52" t="s">
        <v>1</v>
      </c>
      <c r="AE3671" s="52" t="s">
        <v>373</v>
      </c>
      <c r="AF3671" s="155" t="s">
        <v>247</v>
      </c>
      <c r="AG3671" s="155" t="s">
        <v>247</v>
      </c>
    </row>
    <row r="3672" spans="25:33">
      <c r="Y3672" s="47">
        <v>3649</v>
      </c>
      <c r="Z3672" s="52" t="s">
        <v>410</v>
      </c>
      <c r="AA3672" s="52" t="s">
        <v>247</v>
      </c>
      <c r="AB3672" s="52" t="s">
        <v>247</v>
      </c>
      <c r="AC3672" s="52">
        <v>4</v>
      </c>
      <c r="AD3672" s="52" t="s">
        <v>2</v>
      </c>
      <c r="AE3672" s="52" t="s">
        <v>373</v>
      </c>
      <c r="AF3672" s="155" t="s">
        <v>560</v>
      </c>
      <c r="AG3672" s="155">
        <v>4</v>
      </c>
    </row>
    <row r="3673" spans="25:33">
      <c r="Y3673" s="47">
        <v>3658</v>
      </c>
      <c r="Z3673" s="52" t="s">
        <v>411</v>
      </c>
      <c r="AA3673" s="52" t="s">
        <v>247</v>
      </c>
      <c r="AB3673" s="52" t="s">
        <v>247</v>
      </c>
      <c r="AC3673" s="52">
        <v>4</v>
      </c>
      <c r="AD3673" s="52" t="s">
        <v>2</v>
      </c>
      <c r="AE3673" s="52" t="s">
        <v>373</v>
      </c>
      <c r="AF3673" s="155" t="s">
        <v>560</v>
      </c>
      <c r="AG3673" s="155">
        <v>4</v>
      </c>
    </row>
    <row r="3674" spans="25:33">
      <c r="Y3674" s="47">
        <v>3659</v>
      </c>
      <c r="Z3674" s="52" t="s">
        <v>410</v>
      </c>
      <c r="AA3674" s="52" t="s">
        <v>247</v>
      </c>
      <c r="AB3674" s="52" t="s">
        <v>247</v>
      </c>
      <c r="AC3674" s="52">
        <v>4</v>
      </c>
      <c r="AD3674" s="52" t="s">
        <v>2</v>
      </c>
      <c r="AE3674" s="52" t="s">
        <v>373</v>
      </c>
      <c r="AF3674" s="155" t="s">
        <v>560</v>
      </c>
      <c r="AG3674" s="155">
        <v>4</v>
      </c>
    </row>
    <row r="3675" spans="25:33">
      <c r="Y3675" s="47">
        <v>3660</v>
      </c>
      <c r="Z3675" s="52" t="s">
        <v>410</v>
      </c>
      <c r="AA3675" s="52" t="s">
        <v>247</v>
      </c>
      <c r="AB3675" s="52" t="s">
        <v>247</v>
      </c>
      <c r="AC3675" s="52">
        <v>4</v>
      </c>
      <c r="AD3675" s="52" t="s">
        <v>2</v>
      </c>
      <c r="AE3675" s="52" t="s">
        <v>373</v>
      </c>
      <c r="AF3675" s="155" t="s">
        <v>560</v>
      </c>
      <c r="AG3675" s="155">
        <v>4</v>
      </c>
    </row>
    <row r="3676" spans="25:33">
      <c r="Y3676" s="47">
        <v>3661</v>
      </c>
      <c r="Z3676" s="52" t="s">
        <v>410</v>
      </c>
      <c r="AA3676" s="52" t="s">
        <v>247</v>
      </c>
      <c r="AB3676" s="52" t="s">
        <v>247</v>
      </c>
      <c r="AC3676" s="52">
        <v>4</v>
      </c>
      <c r="AD3676" s="52" t="s">
        <v>2</v>
      </c>
      <c r="AE3676" s="52" t="s">
        <v>373</v>
      </c>
      <c r="AF3676" s="155" t="s">
        <v>560</v>
      </c>
      <c r="AG3676" s="155">
        <v>4</v>
      </c>
    </row>
    <row r="3677" spans="25:33">
      <c r="Y3677" s="47">
        <v>3662</v>
      </c>
      <c r="Z3677" s="52" t="s">
        <v>410</v>
      </c>
      <c r="AA3677" s="52" t="s">
        <v>247</v>
      </c>
      <c r="AB3677" s="52" t="s">
        <v>247</v>
      </c>
      <c r="AC3677" s="52">
        <v>4</v>
      </c>
      <c r="AD3677" s="52" t="s">
        <v>2</v>
      </c>
      <c r="AE3677" s="52" t="s">
        <v>373</v>
      </c>
      <c r="AF3677" s="155" t="s">
        <v>560</v>
      </c>
      <c r="AG3677" s="155">
        <v>4</v>
      </c>
    </row>
    <row r="3678" spans="25:33">
      <c r="Y3678" s="47">
        <v>3663</v>
      </c>
      <c r="Z3678" s="52" t="s">
        <v>410</v>
      </c>
      <c r="AA3678" s="52" t="s">
        <v>247</v>
      </c>
      <c r="AB3678" s="52" t="s">
        <v>247</v>
      </c>
      <c r="AC3678" s="52">
        <v>4</v>
      </c>
      <c r="AD3678" s="52" t="s">
        <v>2</v>
      </c>
      <c r="AE3678" s="52" t="s">
        <v>373</v>
      </c>
      <c r="AF3678" s="155" t="s">
        <v>560</v>
      </c>
      <c r="AG3678" s="155">
        <v>4</v>
      </c>
    </row>
    <row r="3679" spans="25:33">
      <c r="Y3679" s="47">
        <v>3664</v>
      </c>
      <c r="Z3679" s="52" t="s">
        <v>410</v>
      </c>
      <c r="AA3679" s="52" t="s">
        <v>247</v>
      </c>
      <c r="AB3679" s="52" t="s">
        <v>247</v>
      </c>
      <c r="AC3679" s="52">
        <v>4</v>
      </c>
      <c r="AD3679" s="52" t="s">
        <v>2</v>
      </c>
      <c r="AE3679" s="52" t="s">
        <v>373</v>
      </c>
      <c r="AF3679" s="155" t="s">
        <v>560</v>
      </c>
      <c r="AG3679" s="155">
        <v>4</v>
      </c>
    </row>
    <row r="3680" spans="25:33">
      <c r="Y3680" s="47">
        <v>3665</v>
      </c>
      <c r="Z3680" s="52" t="s">
        <v>410</v>
      </c>
      <c r="AA3680" s="52" t="s">
        <v>247</v>
      </c>
      <c r="AB3680" s="52" t="s">
        <v>247</v>
      </c>
      <c r="AC3680" s="52">
        <v>4</v>
      </c>
      <c r="AD3680" s="52" t="s">
        <v>2</v>
      </c>
      <c r="AE3680" s="52" t="s">
        <v>373</v>
      </c>
      <c r="AF3680" s="155" t="s">
        <v>560</v>
      </c>
      <c r="AG3680" s="155">
        <v>4</v>
      </c>
    </row>
    <row r="3681" spans="25:33">
      <c r="Y3681" s="47">
        <v>3666</v>
      </c>
      <c r="Z3681" s="52" t="s">
        <v>410</v>
      </c>
      <c r="AA3681" s="52" t="s">
        <v>247</v>
      </c>
      <c r="AB3681" s="52" t="s">
        <v>247</v>
      </c>
      <c r="AC3681" s="52">
        <v>4</v>
      </c>
      <c r="AD3681" s="52" t="s">
        <v>2</v>
      </c>
      <c r="AE3681" s="52" t="s">
        <v>373</v>
      </c>
      <c r="AF3681" s="155" t="s">
        <v>560</v>
      </c>
      <c r="AG3681" s="155">
        <v>4</v>
      </c>
    </row>
    <row r="3682" spans="25:33">
      <c r="Y3682" s="47">
        <v>3667</v>
      </c>
      <c r="Z3682" s="52" t="s">
        <v>410</v>
      </c>
      <c r="AA3682" s="52" t="s">
        <v>247</v>
      </c>
      <c r="AB3682" s="52" t="s">
        <v>247</v>
      </c>
      <c r="AC3682" s="52" t="s">
        <v>247</v>
      </c>
      <c r="AD3682" s="52" t="s">
        <v>1</v>
      </c>
      <c r="AE3682" s="52" t="s">
        <v>373</v>
      </c>
      <c r="AF3682" s="155" t="s">
        <v>247</v>
      </c>
      <c r="AG3682" s="155" t="s">
        <v>247</v>
      </c>
    </row>
    <row r="3683" spans="25:33">
      <c r="Y3683" s="47">
        <v>3668</v>
      </c>
      <c r="Z3683" s="52" t="s">
        <v>410</v>
      </c>
      <c r="AA3683" s="52" t="s">
        <v>247</v>
      </c>
      <c r="AB3683" s="52" t="s">
        <v>247</v>
      </c>
      <c r="AC3683" s="52" t="s">
        <v>247</v>
      </c>
      <c r="AD3683" s="52" t="s">
        <v>1</v>
      </c>
      <c r="AE3683" s="52" t="s">
        <v>373</v>
      </c>
      <c r="AF3683" s="155" t="s">
        <v>247</v>
      </c>
      <c r="AG3683" s="155" t="s">
        <v>247</v>
      </c>
    </row>
    <row r="3684" spans="25:33">
      <c r="Y3684" s="47">
        <v>3669</v>
      </c>
      <c r="Z3684" s="52" t="s">
        <v>410</v>
      </c>
      <c r="AA3684" s="52" t="s">
        <v>247</v>
      </c>
      <c r="AB3684" s="52" t="s">
        <v>247</v>
      </c>
      <c r="AC3684" s="52">
        <v>4</v>
      </c>
      <c r="AD3684" s="52" t="s">
        <v>2</v>
      </c>
      <c r="AE3684" s="52" t="s">
        <v>373</v>
      </c>
      <c r="AF3684" s="155" t="s">
        <v>560</v>
      </c>
      <c r="AG3684" s="155">
        <v>4</v>
      </c>
    </row>
    <row r="3685" spans="25:33">
      <c r="Y3685" s="47">
        <v>3670</v>
      </c>
      <c r="Z3685" s="52" t="s">
        <v>410</v>
      </c>
      <c r="AA3685" s="52" t="s">
        <v>247</v>
      </c>
      <c r="AB3685" s="52" t="s">
        <v>247</v>
      </c>
      <c r="AC3685" s="52">
        <v>4</v>
      </c>
      <c r="AD3685" s="52" t="s">
        <v>2</v>
      </c>
      <c r="AE3685" s="52" t="s">
        <v>373</v>
      </c>
      <c r="AF3685" s="155" t="s">
        <v>560</v>
      </c>
      <c r="AG3685" s="155">
        <v>4</v>
      </c>
    </row>
    <row r="3686" spans="25:33">
      <c r="Y3686" s="47">
        <v>3671</v>
      </c>
      <c r="Z3686" s="52" t="s">
        <v>410</v>
      </c>
      <c r="AA3686" s="52" t="s">
        <v>247</v>
      </c>
      <c r="AB3686" s="52" t="s">
        <v>247</v>
      </c>
      <c r="AC3686" s="52">
        <v>4</v>
      </c>
      <c r="AD3686" s="52" t="s">
        <v>2</v>
      </c>
      <c r="AE3686" s="52" t="s">
        <v>373</v>
      </c>
      <c r="AF3686" s="155" t="s">
        <v>560</v>
      </c>
      <c r="AG3686" s="155">
        <v>4</v>
      </c>
    </row>
    <row r="3687" spans="25:33">
      <c r="Y3687" s="47">
        <v>3672</v>
      </c>
      <c r="Z3687" s="52" t="s">
        <v>410</v>
      </c>
      <c r="AA3687" s="52" t="s">
        <v>247</v>
      </c>
      <c r="AB3687" s="52" t="s">
        <v>247</v>
      </c>
      <c r="AC3687" s="52">
        <v>4</v>
      </c>
      <c r="AD3687" s="52" t="s">
        <v>2</v>
      </c>
      <c r="AE3687" s="52" t="s">
        <v>373</v>
      </c>
      <c r="AF3687" s="155" t="s">
        <v>560</v>
      </c>
      <c r="AG3687" s="155">
        <v>4</v>
      </c>
    </row>
    <row r="3688" spans="25:33">
      <c r="Y3688" s="47">
        <v>3673</v>
      </c>
      <c r="Z3688" s="52" t="s">
        <v>410</v>
      </c>
      <c r="AA3688" s="52" t="s">
        <v>247</v>
      </c>
      <c r="AB3688" s="52" t="s">
        <v>247</v>
      </c>
      <c r="AC3688" s="52">
        <v>4</v>
      </c>
      <c r="AD3688" s="52" t="s">
        <v>2</v>
      </c>
      <c r="AE3688" s="52" t="s">
        <v>373</v>
      </c>
      <c r="AF3688" s="155" t="s">
        <v>560</v>
      </c>
      <c r="AG3688" s="155">
        <v>4</v>
      </c>
    </row>
    <row r="3689" spans="25:33">
      <c r="Y3689" s="47">
        <v>3675</v>
      </c>
      <c r="Z3689" s="52" t="s">
        <v>407</v>
      </c>
      <c r="AA3689" s="52" t="s">
        <v>247</v>
      </c>
      <c r="AB3689" s="52" t="s">
        <v>247</v>
      </c>
      <c r="AC3689" s="52">
        <v>5</v>
      </c>
      <c r="AD3689" s="52" t="s">
        <v>2</v>
      </c>
      <c r="AE3689" s="52" t="s">
        <v>373</v>
      </c>
      <c r="AF3689" s="155" t="s">
        <v>560</v>
      </c>
      <c r="AG3689" s="155">
        <v>5</v>
      </c>
    </row>
    <row r="3690" spans="25:33">
      <c r="Y3690" s="47">
        <v>3676</v>
      </c>
      <c r="Z3690" s="52" t="s">
        <v>407</v>
      </c>
      <c r="AA3690" s="52" t="s">
        <v>247</v>
      </c>
      <c r="AB3690" s="52" t="s">
        <v>247</v>
      </c>
      <c r="AC3690" s="52">
        <v>5</v>
      </c>
      <c r="AD3690" s="52" t="s">
        <v>2</v>
      </c>
      <c r="AE3690" s="52" t="s">
        <v>373</v>
      </c>
      <c r="AF3690" s="155" t="s">
        <v>560</v>
      </c>
      <c r="AG3690" s="155">
        <v>5</v>
      </c>
    </row>
    <row r="3691" spans="25:33">
      <c r="Y3691" s="47">
        <v>3677</v>
      </c>
      <c r="Z3691" s="52" t="s">
        <v>407</v>
      </c>
      <c r="AA3691" s="52" t="s">
        <v>247</v>
      </c>
      <c r="AB3691" s="52" t="s">
        <v>247</v>
      </c>
      <c r="AC3691" s="52">
        <v>5</v>
      </c>
      <c r="AD3691" s="52" t="s">
        <v>2</v>
      </c>
      <c r="AE3691" s="52" t="s">
        <v>373</v>
      </c>
      <c r="AF3691" s="155" t="s">
        <v>560</v>
      </c>
      <c r="AG3691" s="155">
        <v>5</v>
      </c>
    </row>
    <row r="3692" spans="25:33">
      <c r="Y3692" s="47">
        <v>3678</v>
      </c>
      <c r="Z3692" s="52" t="s">
        <v>407</v>
      </c>
      <c r="AA3692" s="52" t="s">
        <v>247</v>
      </c>
      <c r="AB3692" s="52" t="s">
        <v>247</v>
      </c>
      <c r="AC3692" s="52">
        <v>5</v>
      </c>
      <c r="AD3692" s="52" t="s">
        <v>2</v>
      </c>
      <c r="AE3692" s="52" t="s">
        <v>373</v>
      </c>
      <c r="AF3692" s="155" t="s">
        <v>560</v>
      </c>
      <c r="AG3692" s="155">
        <v>5</v>
      </c>
    </row>
    <row r="3693" spans="25:33">
      <c r="Y3693" s="47">
        <v>3682</v>
      </c>
      <c r="Z3693" s="52" t="s">
        <v>410</v>
      </c>
      <c r="AA3693" s="52" t="s">
        <v>247</v>
      </c>
      <c r="AB3693" s="52" t="s">
        <v>247</v>
      </c>
      <c r="AC3693" s="52">
        <v>4</v>
      </c>
      <c r="AD3693" s="52" t="s">
        <v>2</v>
      </c>
      <c r="AE3693" s="52" t="s">
        <v>373</v>
      </c>
      <c r="AF3693" s="155" t="s">
        <v>560</v>
      </c>
      <c r="AG3693" s="155">
        <v>4</v>
      </c>
    </row>
    <row r="3694" spans="25:33">
      <c r="Y3694" s="47">
        <v>3683</v>
      </c>
      <c r="Z3694" s="52" t="s">
        <v>410</v>
      </c>
      <c r="AA3694" s="52" t="s">
        <v>247</v>
      </c>
      <c r="AB3694" s="52" t="s">
        <v>247</v>
      </c>
      <c r="AC3694" s="52">
        <v>4</v>
      </c>
      <c r="AD3694" s="52" t="s">
        <v>2</v>
      </c>
      <c r="AE3694" s="52" t="s">
        <v>373</v>
      </c>
      <c r="AF3694" s="155" t="s">
        <v>560</v>
      </c>
      <c r="AG3694" s="155">
        <v>4</v>
      </c>
    </row>
    <row r="3695" spans="25:33">
      <c r="Y3695" s="47">
        <v>3684</v>
      </c>
      <c r="Z3695" s="52" t="s">
        <v>410</v>
      </c>
      <c r="AA3695" s="52" t="s">
        <v>247</v>
      </c>
      <c r="AB3695" s="52" t="s">
        <v>247</v>
      </c>
      <c r="AC3695" s="52" t="s">
        <v>247</v>
      </c>
      <c r="AD3695" s="52" t="s">
        <v>1</v>
      </c>
      <c r="AE3695" s="52" t="s">
        <v>373</v>
      </c>
      <c r="AF3695" s="155" t="s">
        <v>247</v>
      </c>
      <c r="AG3695" s="155" t="s">
        <v>247</v>
      </c>
    </row>
    <row r="3696" spans="25:33">
      <c r="Y3696" s="47">
        <v>3685</v>
      </c>
      <c r="Z3696" s="52" t="s">
        <v>410</v>
      </c>
      <c r="AA3696" s="52" t="s">
        <v>247</v>
      </c>
      <c r="AB3696" s="52" t="s">
        <v>247</v>
      </c>
      <c r="AC3696" s="52">
        <v>4</v>
      </c>
      <c r="AD3696" s="52" t="s">
        <v>2</v>
      </c>
      <c r="AE3696" s="52" t="s">
        <v>373</v>
      </c>
      <c r="AF3696" s="155" t="s">
        <v>560</v>
      </c>
      <c r="AG3696" s="155">
        <v>4</v>
      </c>
    </row>
    <row r="3697" spans="25:33">
      <c r="Y3697" s="47">
        <v>3686</v>
      </c>
      <c r="Z3697" s="52" t="s">
        <v>410</v>
      </c>
      <c r="AA3697" s="52" t="s">
        <v>247</v>
      </c>
      <c r="AB3697" s="52" t="s">
        <v>247</v>
      </c>
      <c r="AC3697" s="52" t="s">
        <v>247</v>
      </c>
      <c r="AD3697" s="52" t="s">
        <v>1</v>
      </c>
      <c r="AE3697" s="52" t="s">
        <v>373</v>
      </c>
      <c r="AF3697" s="155" t="s">
        <v>247</v>
      </c>
      <c r="AG3697" s="155" t="s">
        <v>247</v>
      </c>
    </row>
    <row r="3698" spans="25:33">
      <c r="Y3698" s="47">
        <v>3687</v>
      </c>
      <c r="Z3698" s="52" t="s">
        <v>410</v>
      </c>
      <c r="AA3698" s="52" t="s">
        <v>247</v>
      </c>
      <c r="AB3698" s="52" t="s">
        <v>247</v>
      </c>
      <c r="AC3698" s="52">
        <v>4</v>
      </c>
      <c r="AD3698" s="52" t="s">
        <v>2</v>
      </c>
      <c r="AE3698" s="52" t="s">
        <v>373</v>
      </c>
      <c r="AF3698" s="155" t="s">
        <v>560</v>
      </c>
      <c r="AG3698" s="155">
        <v>4</v>
      </c>
    </row>
    <row r="3699" spans="25:33">
      <c r="Y3699" s="47">
        <v>3688</v>
      </c>
      <c r="Z3699" s="52" t="s">
        <v>410</v>
      </c>
      <c r="AA3699" s="52" t="s">
        <v>247</v>
      </c>
      <c r="AB3699" s="52" t="s">
        <v>247</v>
      </c>
      <c r="AC3699" s="52">
        <v>4</v>
      </c>
      <c r="AD3699" s="52" t="s">
        <v>2</v>
      </c>
      <c r="AE3699" s="52" t="s">
        <v>373</v>
      </c>
      <c r="AF3699" s="155" t="s">
        <v>560</v>
      </c>
      <c r="AG3699" s="155">
        <v>4</v>
      </c>
    </row>
    <row r="3700" spans="25:33">
      <c r="Y3700" s="47">
        <v>3689</v>
      </c>
      <c r="Z3700" s="52" t="s">
        <v>410</v>
      </c>
      <c r="AA3700" s="52" t="s">
        <v>247</v>
      </c>
      <c r="AB3700" s="52" t="s">
        <v>247</v>
      </c>
      <c r="AC3700" s="52">
        <v>4</v>
      </c>
      <c r="AD3700" s="52" t="s">
        <v>2</v>
      </c>
      <c r="AE3700" s="52" t="s">
        <v>373</v>
      </c>
      <c r="AF3700" s="155" t="s">
        <v>560</v>
      </c>
      <c r="AG3700" s="155">
        <v>4</v>
      </c>
    </row>
    <row r="3701" spans="25:33">
      <c r="Y3701" s="47">
        <v>3690</v>
      </c>
      <c r="Z3701" s="52" t="s">
        <v>410</v>
      </c>
      <c r="AA3701" s="52" t="s">
        <v>247</v>
      </c>
      <c r="AB3701" s="52" t="s">
        <v>247</v>
      </c>
      <c r="AC3701" s="52">
        <v>4</v>
      </c>
      <c r="AD3701" s="52" t="s">
        <v>2</v>
      </c>
      <c r="AE3701" s="52" t="s">
        <v>373</v>
      </c>
      <c r="AF3701" s="155" t="s">
        <v>560</v>
      </c>
      <c r="AG3701" s="155">
        <v>4</v>
      </c>
    </row>
    <row r="3702" spans="25:33">
      <c r="Y3702" s="47">
        <v>3691</v>
      </c>
      <c r="Z3702" s="52" t="s">
        <v>410</v>
      </c>
      <c r="AA3702" s="52">
        <v>4</v>
      </c>
      <c r="AB3702" s="52">
        <v>3</v>
      </c>
      <c r="AC3702" s="52">
        <v>4</v>
      </c>
      <c r="AD3702" s="52" t="s">
        <v>2</v>
      </c>
      <c r="AE3702" s="52" t="s">
        <v>373</v>
      </c>
      <c r="AF3702" s="155" t="s">
        <v>560</v>
      </c>
      <c r="AG3702" s="155">
        <v>4</v>
      </c>
    </row>
    <row r="3703" spans="25:33">
      <c r="Y3703" s="47">
        <v>3692</v>
      </c>
      <c r="Z3703" s="52" t="s">
        <v>410</v>
      </c>
      <c r="AA3703" s="52" t="s">
        <v>247</v>
      </c>
      <c r="AB3703" s="52" t="s">
        <v>247</v>
      </c>
      <c r="AC3703" s="52" t="s">
        <v>247</v>
      </c>
      <c r="AD3703" s="52" t="s">
        <v>1</v>
      </c>
      <c r="AE3703" s="52" t="s">
        <v>373</v>
      </c>
      <c r="AF3703" s="155" t="s">
        <v>247</v>
      </c>
      <c r="AG3703" s="155" t="s">
        <v>247</v>
      </c>
    </row>
    <row r="3704" spans="25:33">
      <c r="Y3704" s="47">
        <v>3693</v>
      </c>
      <c r="Z3704" s="52" t="s">
        <v>410</v>
      </c>
      <c r="AA3704" s="52" t="s">
        <v>247</v>
      </c>
      <c r="AB3704" s="52" t="s">
        <v>247</v>
      </c>
      <c r="AC3704" s="52" t="s">
        <v>247</v>
      </c>
      <c r="AD3704" s="52" t="s">
        <v>1</v>
      </c>
      <c r="AE3704" s="52" t="s">
        <v>373</v>
      </c>
      <c r="AF3704" s="155" t="s">
        <v>247</v>
      </c>
      <c r="AG3704" s="155" t="s">
        <v>247</v>
      </c>
    </row>
    <row r="3705" spans="25:33">
      <c r="Y3705" s="47">
        <v>3694</v>
      </c>
      <c r="Z3705" s="52" t="s">
        <v>410</v>
      </c>
      <c r="AA3705" s="52" t="s">
        <v>247</v>
      </c>
      <c r="AB3705" s="52" t="s">
        <v>247</v>
      </c>
      <c r="AC3705" s="52">
        <v>4</v>
      </c>
      <c r="AD3705" s="52" t="s">
        <v>2</v>
      </c>
      <c r="AE3705" s="52" t="s">
        <v>373</v>
      </c>
      <c r="AF3705" s="155" t="s">
        <v>560</v>
      </c>
      <c r="AG3705" s="155">
        <v>4</v>
      </c>
    </row>
    <row r="3706" spans="25:33">
      <c r="Y3706" s="47">
        <v>3695</v>
      </c>
      <c r="Z3706" s="52" t="s">
        <v>410</v>
      </c>
      <c r="AA3706" s="52" t="s">
        <v>247</v>
      </c>
      <c r="AB3706" s="52" t="s">
        <v>247</v>
      </c>
      <c r="AC3706" s="52">
        <v>4</v>
      </c>
      <c r="AD3706" s="52" t="s">
        <v>2</v>
      </c>
      <c r="AE3706" s="52" t="s">
        <v>373</v>
      </c>
      <c r="AF3706" s="155" t="s">
        <v>560</v>
      </c>
      <c r="AG3706" s="155">
        <v>4</v>
      </c>
    </row>
    <row r="3707" spans="25:33">
      <c r="Y3707" s="47">
        <v>3697</v>
      </c>
      <c r="Z3707" s="52" t="s">
        <v>407</v>
      </c>
      <c r="AA3707" s="52" t="s">
        <v>247</v>
      </c>
      <c r="AB3707" s="52" t="s">
        <v>247</v>
      </c>
      <c r="AC3707" s="52">
        <v>5</v>
      </c>
      <c r="AD3707" s="52" t="s">
        <v>2</v>
      </c>
      <c r="AE3707" s="52" t="s">
        <v>373</v>
      </c>
      <c r="AF3707" s="155" t="s">
        <v>560</v>
      </c>
      <c r="AG3707" s="155">
        <v>5</v>
      </c>
    </row>
    <row r="3708" spans="25:33">
      <c r="Y3708" s="47">
        <v>3698</v>
      </c>
      <c r="Z3708" s="52" t="s">
        <v>407</v>
      </c>
      <c r="AA3708" s="52" t="s">
        <v>247</v>
      </c>
      <c r="AB3708" s="52" t="s">
        <v>247</v>
      </c>
      <c r="AC3708" s="52">
        <v>5</v>
      </c>
      <c r="AD3708" s="52" t="s">
        <v>2</v>
      </c>
      <c r="AE3708" s="52" t="s">
        <v>373</v>
      </c>
      <c r="AF3708" s="155" t="s">
        <v>560</v>
      </c>
      <c r="AG3708" s="155">
        <v>5</v>
      </c>
    </row>
    <row r="3709" spans="25:33">
      <c r="Y3709" s="47">
        <v>3699</v>
      </c>
      <c r="Z3709" s="52" t="s">
        <v>407</v>
      </c>
      <c r="AA3709" s="52" t="s">
        <v>247</v>
      </c>
      <c r="AB3709" s="52" t="s">
        <v>247</v>
      </c>
      <c r="AC3709" s="52">
        <v>5</v>
      </c>
      <c r="AD3709" s="52" t="s">
        <v>2</v>
      </c>
      <c r="AE3709" s="52" t="s">
        <v>373</v>
      </c>
      <c r="AF3709" s="155" t="s">
        <v>560</v>
      </c>
      <c r="AG3709" s="155">
        <v>5</v>
      </c>
    </row>
    <row r="3710" spans="25:33">
      <c r="Y3710" s="47">
        <v>3700</v>
      </c>
      <c r="Z3710" s="52" t="s">
        <v>407</v>
      </c>
      <c r="AA3710" s="52" t="s">
        <v>247</v>
      </c>
      <c r="AB3710" s="52" t="s">
        <v>247</v>
      </c>
      <c r="AC3710" s="52">
        <v>5</v>
      </c>
      <c r="AD3710" s="52" t="s">
        <v>2</v>
      </c>
      <c r="AE3710" s="52" t="s">
        <v>373</v>
      </c>
      <c r="AF3710" s="155" t="s">
        <v>560</v>
      </c>
      <c r="AG3710" s="155">
        <v>5</v>
      </c>
    </row>
    <row r="3711" spans="25:33">
      <c r="Y3711" s="47">
        <v>3701</v>
      </c>
      <c r="Z3711" s="52" t="s">
        <v>407</v>
      </c>
      <c r="AA3711" s="52" t="s">
        <v>247</v>
      </c>
      <c r="AB3711" s="52" t="s">
        <v>247</v>
      </c>
      <c r="AC3711" s="52">
        <v>5</v>
      </c>
      <c r="AD3711" s="52" t="s">
        <v>2</v>
      </c>
      <c r="AE3711" s="52" t="s">
        <v>373</v>
      </c>
      <c r="AF3711" s="155" t="s">
        <v>560</v>
      </c>
      <c r="AG3711" s="155">
        <v>5</v>
      </c>
    </row>
    <row r="3712" spans="25:33">
      <c r="Y3712" s="47">
        <v>3702</v>
      </c>
      <c r="Z3712" s="52" t="s">
        <v>407</v>
      </c>
      <c r="AA3712" s="52" t="s">
        <v>247</v>
      </c>
      <c r="AB3712" s="52" t="s">
        <v>247</v>
      </c>
      <c r="AC3712" s="52" t="s">
        <v>247</v>
      </c>
      <c r="AD3712" s="52" t="s">
        <v>1</v>
      </c>
      <c r="AE3712" s="52" t="s">
        <v>373</v>
      </c>
      <c r="AF3712" s="155" t="s">
        <v>247</v>
      </c>
      <c r="AG3712" s="155" t="s">
        <v>247</v>
      </c>
    </row>
    <row r="3713" spans="25:33">
      <c r="Y3713" s="47">
        <v>3703</v>
      </c>
      <c r="Z3713" s="52" t="s">
        <v>407</v>
      </c>
      <c r="AA3713" s="52" t="s">
        <v>247</v>
      </c>
      <c r="AB3713" s="52" t="s">
        <v>247</v>
      </c>
      <c r="AC3713" s="52" t="s">
        <v>247</v>
      </c>
      <c r="AD3713" s="52" t="s">
        <v>1</v>
      </c>
      <c r="AE3713" s="52" t="s">
        <v>373</v>
      </c>
      <c r="AF3713" s="155" t="s">
        <v>247</v>
      </c>
      <c r="AG3713" s="155" t="s">
        <v>247</v>
      </c>
    </row>
    <row r="3714" spans="25:33">
      <c r="Y3714" s="47">
        <v>3704</v>
      </c>
      <c r="Z3714" s="52" t="s">
        <v>407</v>
      </c>
      <c r="AA3714" s="52" t="s">
        <v>247</v>
      </c>
      <c r="AB3714" s="52" t="s">
        <v>247</v>
      </c>
      <c r="AC3714" s="52">
        <v>5</v>
      </c>
      <c r="AD3714" s="52" t="s">
        <v>2</v>
      </c>
      <c r="AE3714" s="52" t="s">
        <v>373</v>
      </c>
      <c r="AF3714" s="155" t="s">
        <v>560</v>
      </c>
      <c r="AG3714" s="155">
        <v>5</v>
      </c>
    </row>
    <row r="3715" spans="25:33">
      <c r="Y3715" s="47">
        <v>3705</v>
      </c>
      <c r="Z3715" s="52" t="s">
        <v>407</v>
      </c>
      <c r="AA3715" s="52" t="s">
        <v>247</v>
      </c>
      <c r="AB3715" s="52" t="s">
        <v>247</v>
      </c>
      <c r="AC3715" s="52">
        <v>5</v>
      </c>
      <c r="AD3715" s="52" t="s">
        <v>2</v>
      </c>
      <c r="AE3715" s="52" t="s">
        <v>373</v>
      </c>
      <c r="AF3715" s="155" t="s">
        <v>560</v>
      </c>
      <c r="AG3715" s="155">
        <v>5</v>
      </c>
    </row>
    <row r="3716" spans="25:33">
      <c r="Y3716" s="47">
        <v>3706</v>
      </c>
      <c r="Z3716" s="52" t="s">
        <v>407</v>
      </c>
      <c r="AA3716" s="52" t="s">
        <v>247</v>
      </c>
      <c r="AB3716" s="52" t="s">
        <v>247</v>
      </c>
      <c r="AC3716" s="52" t="s">
        <v>247</v>
      </c>
      <c r="AD3716" s="52" t="s">
        <v>1</v>
      </c>
      <c r="AE3716" s="52" t="s">
        <v>373</v>
      </c>
      <c r="AF3716" s="155" t="s">
        <v>247</v>
      </c>
      <c r="AG3716" s="155" t="s">
        <v>247</v>
      </c>
    </row>
    <row r="3717" spans="25:33">
      <c r="Y3717" s="47">
        <v>3707</v>
      </c>
      <c r="Z3717" s="52" t="s">
        <v>407</v>
      </c>
      <c r="AA3717" s="52">
        <v>7</v>
      </c>
      <c r="AB3717" s="52">
        <v>5</v>
      </c>
      <c r="AC3717" s="52">
        <v>5</v>
      </c>
      <c r="AD3717" s="52" t="s">
        <v>2</v>
      </c>
      <c r="AE3717" s="52" t="s">
        <v>373</v>
      </c>
      <c r="AF3717" s="155" t="s">
        <v>560</v>
      </c>
      <c r="AG3717" s="155">
        <v>5</v>
      </c>
    </row>
    <row r="3718" spans="25:33">
      <c r="Y3718" s="47">
        <v>3708</v>
      </c>
      <c r="Z3718" s="52" t="s">
        <v>407</v>
      </c>
      <c r="AA3718" s="52" t="s">
        <v>247</v>
      </c>
      <c r="AB3718" s="52" t="s">
        <v>247</v>
      </c>
      <c r="AC3718" s="52">
        <v>5</v>
      </c>
      <c r="AD3718" s="52" t="s">
        <v>2</v>
      </c>
      <c r="AE3718" s="52" t="s">
        <v>373</v>
      </c>
      <c r="AF3718" s="155" t="s">
        <v>560</v>
      </c>
      <c r="AG3718" s="155">
        <v>5</v>
      </c>
    </row>
    <row r="3719" spans="25:33">
      <c r="Y3719" s="47">
        <v>3709</v>
      </c>
      <c r="Z3719" s="52" t="s">
        <v>407</v>
      </c>
      <c r="AA3719" s="52" t="s">
        <v>247</v>
      </c>
      <c r="AB3719" s="52" t="s">
        <v>247</v>
      </c>
      <c r="AC3719" s="52">
        <v>5</v>
      </c>
      <c r="AD3719" s="52" t="s">
        <v>2</v>
      </c>
      <c r="AE3719" s="52" t="s">
        <v>373</v>
      </c>
      <c r="AF3719" s="155" t="s">
        <v>560</v>
      </c>
      <c r="AG3719" s="155">
        <v>5</v>
      </c>
    </row>
    <row r="3720" spans="25:33">
      <c r="Y3720" s="47">
        <v>3710</v>
      </c>
      <c r="Z3720" s="52" t="s">
        <v>407</v>
      </c>
      <c r="AA3720" s="52" t="s">
        <v>247</v>
      </c>
      <c r="AB3720" s="52" t="s">
        <v>247</v>
      </c>
      <c r="AC3720" s="52" t="s">
        <v>247</v>
      </c>
      <c r="AD3720" s="52" t="s">
        <v>1</v>
      </c>
      <c r="AE3720" s="52" t="s">
        <v>373</v>
      </c>
      <c r="AF3720" s="155" t="s">
        <v>247</v>
      </c>
      <c r="AG3720" s="155" t="s">
        <v>247</v>
      </c>
    </row>
    <row r="3721" spans="25:33">
      <c r="Y3721" s="47">
        <v>3711</v>
      </c>
      <c r="Z3721" s="52" t="s">
        <v>407</v>
      </c>
      <c r="AA3721" s="52" t="s">
        <v>247</v>
      </c>
      <c r="AB3721" s="52" t="s">
        <v>247</v>
      </c>
      <c r="AC3721" s="52">
        <v>5</v>
      </c>
      <c r="AD3721" s="52" t="s">
        <v>2</v>
      </c>
      <c r="AE3721" s="52" t="s">
        <v>373</v>
      </c>
      <c r="AF3721" s="155" t="s">
        <v>560</v>
      </c>
      <c r="AG3721" s="155">
        <v>5</v>
      </c>
    </row>
    <row r="3722" spans="25:33">
      <c r="Y3722" s="47">
        <v>3712</v>
      </c>
      <c r="Z3722" s="52" t="s">
        <v>407</v>
      </c>
      <c r="AA3722" s="52" t="s">
        <v>247</v>
      </c>
      <c r="AB3722" s="52" t="s">
        <v>247</v>
      </c>
      <c r="AC3722" s="52">
        <v>5</v>
      </c>
      <c r="AD3722" s="52" t="s">
        <v>2</v>
      </c>
      <c r="AE3722" s="52" t="s">
        <v>373</v>
      </c>
      <c r="AF3722" s="155" t="s">
        <v>560</v>
      </c>
      <c r="AG3722" s="155">
        <v>5</v>
      </c>
    </row>
    <row r="3723" spans="25:33">
      <c r="Y3723" s="47">
        <v>3713</v>
      </c>
      <c r="Z3723" s="52" t="s">
        <v>407</v>
      </c>
      <c r="AA3723" s="52" t="s">
        <v>247</v>
      </c>
      <c r="AB3723" s="52" t="s">
        <v>247</v>
      </c>
      <c r="AC3723" s="52">
        <v>5</v>
      </c>
      <c r="AD3723" s="52" t="s">
        <v>2</v>
      </c>
      <c r="AE3723" s="52" t="s">
        <v>373</v>
      </c>
      <c r="AF3723" s="155" t="s">
        <v>560</v>
      </c>
      <c r="AG3723" s="155">
        <v>5</v>
      </c>
    </row>
    <row r="3724" spans="25:33">
      <c r="Y3724" s="47">
        <v>3714</v>
      </c>
      <c r="Z3724" s="52" t="s">
        <v>407</v>
      </c>
      <c r="AA3724" s="52" t="s">
        <v>247</v>
      </c>
      <c r="AB3724" s="52" t="s">
        <v>247</v>
      </c>
      <c r="AC3724" s="52">
        <v>5</v>
      </c>
      <c r="AD3724" s="52" t="s">
        <v>2</v>
      </c>
      <c r="AE3724" s="52" t="s">
        <v>373</v>
      </c>
      <c r="AF3724" s="155" t="s">
        <v>560</v>
      </c>
      <c r="AG3724" s="155">
        <v>5</v>
      </c>
    </row>
    <row r="3725" spans="25:33">
      <c r="Y3725" s="47">
        <v>3715</v>
      </c>
      <c r="Z3725" s="52" t="s">
        <v>407</v>
      </c>
      <c r="AA3725" s="52" t="s">
        <v>247</v>
      </c>
      <c r="AB3725" s="52" t="s">
        <v>247</v>
      </c>
      <c r="AC3725" s="52">
        <v>5</v>
      </c>
      <c r="AD3725" s="52" t="s">
        <v>2</v>
      </c>
      <c r="AE3725" s="52" t="s">
        <v>373</v>
      </c>
      <c r="AF3725" s="155" t="s">
        <v>560</v>
      </c>
      <c r="AG3725" s="155">
        <v>5</v>
      </c>
    </row>
    <row r="3726" spans="25:33">
      <c r="Y3726" s="47">
        <v>3716</v>
      </c>
      <c r="Z3726" s="52" t="s">
        <v>407</v>
      </c>
      <c r="AA3726" s="52" t="s">
        <v>247</v>
      </c>
      <c r="AB3726" s="52" t="s">
        <v>247</v>
      </c>
      <c r="AC3726" s="52" t="s">
        <v>247</v>
      </c>
      <c r="AD3726" s="52" t="s">
        <v>1</v>
      </c>
      <c r="AE3726" s="52" t="s">
        <v>373</v>
      </c>
      <c r="AF3726" s="155" t="s">
        <v>247</v>
      </c>
      <c r="AG3726" s="155" t="s">
        <v>247</v>
      </c>
    </row>
    <row r="3727" spans="25:33">
      <c r="Y3727" s="47">
        <v>3717</v>
      </c>
      <c r="Z3727" s="52" t="s">
        <v>407</v>
      </c>
      <c r="AA3727" s="52" t="s">
        <v>247</v>
      </c>
      <c r="AB3727" s="52" t="s">
        <v>247</v>
      </c>
      <c r="AC3727" s="52">
        <v>5</v>
      </c>
      <c r="AD3727" s="52" t="s">
        <v>2</v>
      </c>
      <c r="AE3727" s="52" t="s">
        <v>373</v>
      </c>
      <c r="AF3727" s="155" t="s">
        <v>560</v>
      </c>
      <c r="AG3727" s="155">
        <v>5</v>
      </c>
    </row>
    <row r="3728" spans="25:33">
      <c r="Y3728" s="47">
        <v>3718</v>
      </c>
      <c r="Z3728" s="52" t="s">
        <v>407</v>
      </c>
      <c r="AA3728" s="52" t="s">
        <v>247</v>
      </c>
      <c r="AB3728" s="52" t="s">
        <v>247</v>
      </c>
      <c r="AC3728" s="52">
        <v>5</v>
      </c>
      <c r="AD3728" s="52" t="s">
        <v>2</v>
      </c>
      <c r="AE3728" s="52" t="s">
        <v>373</v>
      </c>
      <c r="AF3728" s="155" t="s">
        <v>560</v>
      </c>
      <c r="AG3728" s="155">
        <v>5</v>
      </c>
    </row>
    <row r="3729" spans="25:33">
      <c r="Y3729" s="47">
        <v>3719</v>
      </c>
      <c r="Z3729" s="52" t="s">
        <v>407</v>
      </c>
      <c r="AA3729" s="52" t="s">
        <v>247</v>
      </c>
      <c r="AB3729" s="52" t="s">
        <v>247</v>
      </c>
      <c r="AC3729" s="52">
        <v>5</v>
      </c>
      <c r="AD3729" s="52" t="s">
        <v>2</v>
      </c>
      <c r="AE3729" s="52" t="s">
        <v>373</v>
      </c>
      <c r="AF3729" s="155" t="s">
        <v>560</v>
      </c>
      <c r="AG3729" s="155">
        <v>5</v>
      </c>
    </row>
    <row r="3730" spans="25:33">
      <c r="Y3730" s="47">
        <v>3720</v>
      </c>
      <c r="Z3730" s="52" t="s">
        <v>407</v>
      </c>
      <c r="AA3730" s="52" t="s">
        <v>247</v>
      </c>
      <c r="AB3730" s="52" t="s">
        <v>247</v>
      </c>
      <c r="AC3730" s="52">
        <v>5</v>
      </c>
      <c r="AD3730" s="52" t="s">
        <v>2</v>
      </c>
      <c r="AE3730" s="52" t="s">
        <v>373</v>
      </c>
      <c r="AF3730" s="155" t="s">
        <v>560</v>
      </c>
      <c r="AG3730" s="155">
        <v>5</v>
      </c>
    </row>
    <row r="3731" spans="25:33">
      <c r="Y3731" s="47">
        <v>3721</v>
      </c>
      <c r="Z3731" s="52" t="s">
        <v>407</v>
      </c>
      <c r="AA3731" s="52" t="s">
        <v>247</v>
      </c>
      <c r="AB3731" s="52" t="s">
        <v>247</v>
      </c>
      <c r="AC3731" s="52" t="s">
        <v>247</v>
      </c>
      <c r="AD3731" s="52" t="s">
        <v>1</v>
      </c>
      <c r="AE3731" s="52" t="s">
        <v>373</v>
      </c>
      <c r="AF3731" s="155" t="s">
        <v>247</v>
      </c>
      <c r="AG3731" s="155" t="s">
        <v>247</v>
      </c>
    </row>
    <row r="3732" spans="25:33">
      <c r="Y3732" s="47">
        <v>3722</v>
      </c>
      <c r="Z3732" s="52" t="s">
        <v>407</v>
      </c>
      <c r="AA3732" s="52" t="s">
        <v>247</v>
      </c>
      <c r="AB3732" s="52" t="s">
        <v>247</v>
      </c>
      <c r="AC3732" s="52">
        <v>5</v>
      </c>
      <c r="AD3732" s="52" t="s">
        <v>2</v>
      </c>
      <c r="AE3732" s="52" t="s">
        <v>373</v>
      </c>
      <c r="AF3732" s="155" t="s">
        <v>560</v>
      </c>
      <c r="AG3732" s="155">
        <v>5</v>
      </c>
    </row>
    <row r="3733" spans="25:33">
      <c r="Y3733" s="47">
        <v>3723</v>
      </c>
      <c r="Z3733" s="52" t="s">
        <v>407</v>
      </c>
      <c r="AA3733" s="52" t="s">
        <v>247</v>
      </c>
      <c r="AB3733" s="52" t="s">
        <v>247</v>
      </c>
      <c r="AC3733" s="52">
        <v>5</v>
      </c>
      <c r="AD3733" s="52" t="s">
        <v>2</v>
      </c>
      <c r="AE3733" s="52" t="s">
        <v>373</v>
      </c>
      <c r="AF3733" s="155" t="s">
        <v>560</v>
      </c>
      <c r="AG3733" s="155">
        <v>5</v>
      </c>
    </row>
    <row r="3734" spans="25:33">
      <c r="Y3734" s="47">
        <v>3725</v>
      </c>
      <c r="Z3734" s="52" t="s">
        <v>410</v>
      </c>
      <c r="AA3734" s="52" t="s">
        <v>247</v>
      </c>
      <c r="AB3734" s="52" t="s">
        <v>247</v>
      </c>
      <c r="AC3734" s="52">
        <v>4</v>
      </c>
      <c r="AD3734" s="52" t="s">
        <v>2</v>
      </c>
      <c r="AE3734" s="52" t="s">
        <v>373</v>
      </c>
      <c r="AF3734" s="155" t="s">
        <v>560</v>
      </c>
      <c r="AG3734" s="155">
        <v>4</v>
      </c>
    </row>
    <row r="3735" spans="25:33">
      <c r="Y3735" s="47">
        <v>3726</v>
      </c>
      <c r="Z3735" s="52" t="s">
        <v>410</v>
      </c>
      <c r="AA3735" s="52" t="s">
        <v>247</v>
      </c>
      <c r="AB3735" s="52" t="s">
        <v>247</v>
      </c>
      <c r="AC3735" s="52">
        <v>4</v>
      </c>
      <c r="AD3735" s="52" t="s">
        <v>2</v>
      </c>
      <c r="AE3735" s="52" t="s">
        <v>373</v>
      </c>
      <c r="AF3735" s="155" t="s">
        <v>560</v>
      </c>
      <c r="AG3735" s="155">
        <v>4</v>
      </c>
    </row>
    <row r="3736" spans="25:33">
      <c r="Y3736" s="47">
        <v>3727</v>
      </c>
      <c r="Z3736" s="52" t="s">
        <v>410</v>
      </c>
      <c r="AA3736" s="52" t="s">
        <v>247</v>
      </c>
      <c r="AB3736" s="52" t="s">
        <v>247</v>
      </c>
      <c r="AC3736" s="52">
        <v>4</v>
      </c>
      <c r="AD3736" s="52" t="s">
        <v>2</v>
      </c>
      <c r="AE3736" s="52" t="s">
        <v>373</v>
      </c>
      <c r="AF3736" s="155" t="s">
        <v>560</v>
      </c>
      <c r="AG3736" s="155">
        <v>4</v>
      </c>
    </row>
    <row r="3737" spans="25:33">
      <c r="Y3737" s="47">
        <v>3728</v>
      </c>
      <c r="Z3737" s="52" t="s">
        <v>410</v>
      </c>
      <c r="AA3737" s="52" t="s">
        <v>247</v>
      </c>
      <c r="AB3737" s="52" t="s">
        <v>247</v>
      </c>
      <c r="AC3737" s="52">
        <v>4</v>
      </c>
      <c r="AD3737" s="52" t="s">
        <v>2</v>
      </c>
      <c r="AE3737" s="52" t="s">
        <v>373</v>
      </c>
      <c r="AF3737" s="155" t="s">
        <v>560</v>
      </c>
      <c r="AG3737" s="155">
        <v>4</v>
      </c>
    </row>
    <row r="3738" spans="25:33">
      <c r="Y3738" s="47">
        <v>3729</v>
      </c>
      <c r="Z3738" s="52" t="s">
        <v>410</v>
      </c>
      <c r="AA3738" s="52" t="s">
        <v>247</v>
      </c>
      <c r="AB3738" s="52" t="s">
        <v>247</v>
      </c>
      <c r="AC3738" s="52" t="s">
        <v>247</v>
      </c>
      <c r="AD3738" s="52" t="s">
        <v>1</v>
      </c>
      <c r="AE3738" s="52" t="s">
        <v>373</v>
      </c>
      <c r="AF3738" s="155" t="s">
        <v>247</v>
      </c>
      <c r="AG3738" s="155" t="s">
        <v>247</v>
      </c>
    </row>
    <row r="3739" spans="25:33">
      <c r="Y3739" s="47">
        <v>3730</v>
      </c>
      <c r="Z3739" s="52" t="s">
        <v>410</v>
      </c>
      <c r="AA3739" s="52" t="s">
        <v>247</v>
      </c>
      <c r="AB3739" s="52" t="s">
        <v>247</v>
      </c>
      <c r="AC3739" s="52">
        <v>4</v>
      </c>
      <c r="AD3739" s="52" t="s">
        <v>2</v>
      </c>
      <c r="AE3739" s="52" t="s">
        <v>373</v>
      </c>
      <c r="AF3739" s="155" t="s">
        <v>560</v>
      </c>
      <c r="AG3739" s="155">
        <v>4</v>
      </c>
    </row>
    <row r="3740" spans="25:33">
      <c r="Y3740" s="47">
        <v>3732</v>
      </c>
      <c r="Z3740" s="52" t="s">
        <v>407</v>
      </c>
      <c r="AA3740" s="52" t="s">
        <v>247</v>
      </c>
      <c r="AB3740" s="52" t="s">
        <v>247</v>
      </c>
      <c r="AC3740" s="52">
        <v>5</v>
      </c>
      <c r="AD3740" s="52" t="s">
        <v>2</v>
      </c>
      <c r="AE3740" s="52" t="s">
        <v>373</v>
      </c>
      <c r="AF3740" s="155" t="s">
        <v>560</v>
      </c>
      <c r="AG3740" s="155">
        <v>5</v>
      </c>
    </row>
    <row r="3741" spans="25:33">
      <c r="Y3741" s="47">
        <v>3733</v>
      </c>
      <c r="Z3741" s="52" t="s">
        <v>407</v>
      </c>
      <c r="AA3741" s="52" t="s">
        <v>247</v>
      </c>
      <c r="AB3741" s="52" t="s">
        <v>247</v>
      </c>
      <c r="AC3741" s="52">
        <v>5</v>
      </c>
      <c r="AD3741" s="52" t="s">
        <v>2</v>
      </c>
      <c r="AE3741" s="52" t="s">
        <v>373</v>
      </c>
      <c r="AF3741" s="155" t="s">
        <v>560</v>
      </c>
      <c r="AG3741" s="155">
        <v>5</v>
      </c>
    </row>
    <row r="3742" spans="25:33">
      <c r="Y3742" s="47">
        <v>3734</v>
      </c>
      <c r="Z3742" s="52" t="s">
        <v>407</v>
      </c>
      <c r="AA3742" s="52" t="s">
        <v>247</v>
      </c>
      <c r="AB3742" s="52" t="s">
        <v>247</v>
      </c>
      <c r="AC3742" s="52" t="s">
        <v>247</v>
      </c>
      <c r="AD3742" s="52" t="s">
        <v>1</v>
      </c>
      <c r="AE3742" s="52" t="s">
        <v>373</v>
      </c>
      <c r="AF3742" s="155" t="s">
        <v>247</v>
      </c>
      <c r="AG3742" s="155" t="s">
        <v>247</v>
      </c>
    </row>
    <row r="3743" spans="25:33">
      <c r="Y3743" s="47">
        <v>3735</v>
      </c>
      <c r="Z3743" s="52" t="s">
        <v>407</v>
      </c>
      <c r="AA3743" s="52" t="s">
        <v>247</v>
      </c>
      <c r="AB3743" s="52" t="s">
        <v>247</v>
      </c>
      <c r="AC3743" s="52">
        <v>5</v>
      </c>
      <c r="AD3743" s="52" t="s">
        <v>2</v>
      </c>
      <c r="AE3743" s="52" t="s">
        <v>373</v>
      </c>
      <c r="AF3743" s="155" t="s">
        <v>560</v>
      </c>
      <c r="AG3743" s="155">
        <v>5</v>
      </c>
    </row>
    <row r="3744" spans="25:33">
      <c r="Y3744" s="47">
        <v>3736</v>
      </c>
      <c r="Z3744" s="52" t="s">
        <v>407</v>
      </c>
      <c r="AA3744" s="52" t="s">
        <v>247</v>
      </c>
      <c r="AB3744" s="52" t="s">
        <v>247</v>
      </c>
      <c r="AC3744" s="52">
        <v>5</v>
      </c>
      <c r="AD3744" s="52" t="s">
        <v>2</v>
      </c>
      <c r="AE3744" s="52" t="s">
        <v>373</v>
      </c>
      <c r="AF3744" s="155" t="s">
        <v>560</v>
      </c>
      <c r="AG3744" s="155">
        <v>5</v>
      </c>
    </row>
    <row r="3745" spans="25:33">
      <c r="Y3745" s="47">
        <v>3737</v>
      </c>
      <c r="Z3745" s="52" t="s">
        <v>407</v>
      </c>
      <c r="AA3745" s="52" t="s">
        <v>247</v>
      </c>
      <c r="AB3745" s="52" t="s">
        <v>247</v>
      </c>
      <c r="AC3745" s="52">
        <v>5</v>
      </c>
      <c r="AD3745" s="52" t="s">
        <v>2</v>
      </c>
      <c r="AE3745" s="52" t="s">
        <v>373</v>
      </c>
      <c r="AF3745" s="155" t="s">
        <v>560</v>
      </c>
      <c r="AG3745" s="155">
        <v>5</v>
      </c>
    </row>
    <row r="3746" spans="25:33">
      <c r="Y3746" s="47">
        <v>3738</v>
      </c>
      <c r="Z3746" s="52" t="s">
        <v>407</v>
      </c>
      <c r="AA3746" s="52" t="s">
        <v>247</v>
      </c>
      <c r="AB3746" s="52" t="s">
        <v>247</v>
      </c>
      <c r="AC3746" s="52">
        <v>5</v>
      </c>
      <c r="AD3746" s="52" t="s">
        <v>2</v>
      </c>
      <c r="AE3746" s="52" t="s">
        <v>373</v>
      </c>
      <c r="AF3746" s="155" t="s">
        <v>560</v>
      </c>
      <c r="AG3746" s="155">
        <v>5</v>
      </c>
    </row>
    <row r="3747" spans="25:33">
      <c r="Y3747" s="47">
        <v>3739</v>
      </c>
      <c r="Z3747" s="52" t="s">
        <v>407</v>
      </c>
      <c r="AA3747" s="52" t="s">
        <v>247</v>
      </c>
      <c r="AB3747" s="52" t="s">
        <v>247</v>
      </c>
      <c r="AC3747" s="52">
        <v>5</v>
      </c>
      <c r="AD3747" s="52" t="s">
        <v>2</v>
      </c>
      <c r="AE3747" s="52" t="s">
        <v>373</v>
      </c>
      <c r="AF3747" s="155" t="s">
        <v>560</v>
      </c>
      <c r="AG3747" s="155">
        <v>5</v>
      </c>
    </row>
    <row r="3748" spans="25:33">
      <c r="Y3748" s="47">
        <v>3740</v>
      </c>
      <c r="Z3748" s="52" t="s">
        <v>407</v>
      </c>
      <c r="AA3748" s="52" t="s">
        <v>247</v>
      </c>
      <c r="AB3748" s="52" t="s">
        <v>247</v>
      </c>
      <c r="AC3748" s="52">
        <v>5</v>
      </c>
      <c r="AD3748" s="52" t="s">
        <v>2</v>
      </c>
      <c r="AE3748" s="52" t="s">
        <v>373</v>
      </c>
      <c r="AF3748" s="155" t="s">
        <v>560</v>
      </c>
      <c r="AG3748" s="155">
        <v>5</v>
      </c>
    </row>
    <row r="3749" spans="25:33">
      <c r="Y3749" s="47">
        <v>3741</v>
      </c>
      <c r="Z3749" s="52" t="s">
        <v>407</v>
      </c>
      <c r="AA3749" s="52" t="s">
        <v>247</v>
      </c>
      <c r="AB3749" s="52" t="s">
        <v>247</v>
      </c>
      <c r="AC3749" s="52">
        <v>5</v>
      </c>
      <c r="AD3749" s="52" t="s">
        <v>2</v>
      </c>
      <c r="AE3749" s="52" t="s">
        <v>373</v>
      </c>
      <c r="AF3749" s="155" t="s">
        <v>560</v>
      </c>
      <c r="AG3749" s="155">
        <v>5</v>
      </c>
    </row>
    <row r="3750" spans="25:33">
      <c r="Y3750" s="47">
        <v>3742</v>
      </c>
      <c r="Z3750" s="52" t="s">
        <v>407</v>
      </c>
      <c r="AA3750" s="52" t="s">
        <v>247</v>
      </c>
      <c r="AB3750" s="52" t="s">
        <v>247</v>
      </c>
      <c r="AC3750" s="52" t="s">
        <v>247</v>
      </c>
      <c r="AD3750" s="52" t="s">
        <v>1</v>
      </c>
      <c r="AE3750" s="52" t="s">
        <v>373</v>
      </c>
      <c r="AF3750" s="155" t="s">
        <v>247</v>
      </c>
      <c r="AG3750" s="155" t="s">
        <v>247</v>
      </c>
    </row>
    <row r="3751" spans="25:33">
      <c r="Y3751" s="47">
        <v>3743</v>
      </c>
      <c r="Z3751" s="52" t="s">
        <v>407</v>
      </c>
      <c r="AA3751" s="52" t="s">
        <v>247</v>
      </c>
      <c r="AB3751" s="52" t="s">
        <v>247</v>
      </c>
      <c r="AC3751" s="52" t="s">
        <v>247</v>
      </c>
      <c r="AD3751" s="52" t="s">
        <v>1</v>
      </c>
      <c r="AE3751" s="52" t="s">
        <v>373</v>
      </c>
      <c r="AF3751" s="155" t="s">
        <v>247</v>
      </c>
      <c r="AG3751" s="155" t="s">
        <v>247</v>
      </c>
    </row>
    <row r="3752" spans="25:33">
      <c r="Y3752" s="47">
        <v>3744</v>
      </c>
      <c r="Z3752" s="52" t="s">
        <v>407</v>
      </c>
      <c r="AA3752" s="52" t="s">
        <v>247</v>
      </c>
      <c r="AB3752" s="52" t="s">
        <v>247</v>
      </c>
      <c r="AC3752" s="52">
        <v>5</v>
      </c>
      <c r="AD3752" s="52" t="s">
        <v>2</v>
      </c>
      <c r="AE3752" s="52" t="s">
        <v>373</v>
      </c>
      <c r="AF3752" s="155" t="s">
        <v>560</v>
      </c>
      <c r="AG3752" s="155">
        <v>5</v>
      </c>
    </row>
    <row r="3753" spans="25:33">
      <c r="Y3753" s="47">
        <v>3745</v>
      </c>
      <c r="Z3753" s="52" t="s">
        <v>407</v>
      </c>
      <c r="AA3753" s="52" t="s">
        <v>247</v>
      </c>
      <c r="AB3753" s="52" t="s">
        <v>247</v>
      </c>
      <c r="AC3753" s="52" t="s">
        <v>247</v>
      </c>
      <c r="AD3753" s="52" t="s">
        <v>1</v>
      </c>
      <c r="AE3753" s="52" t="s">
        <v>373</v>
      </c>
      <c r="AF3753" s="155" t="s">
        <v>247</v>
      </c>
      <c r="AG3753" s="155" t="s">
        <v>247</v>
      </c>
    </row>
    <row r="3754" spans="25:33">
      <c r="Y3754" s="47">
        <v>3746</v>
      </c>
      <c r="Z3754" s="52" t="s">
        <v>407</v>
      </c>
      <c r="AA3754" s="52" t="s">
        <v>247</v>
      </c>
      <c r="AB3754" s="52" t="s">
        <v>247</v>
      </c>
      <c r="AC3754" s="52">
        <v>5</v>
      </c>
      <c r="AD3754" s="52" t="s">
        <v>2</v>
      </c>
      <c r="AE3754" s="52" t="s">
        <v>373</v>
      </c>
      <c r="AF3754" s="155" t="s">
        <v>560</v>
      </c>
      <c r="AG3754" s="155">
        <v>5</v>
      </c>
    </row>
    <row r="3755" spans="25:33">
      <c r="Y3755" s="47">
        <v>3747</v>
      </c>
      <c r="Z3755" s="52" t="s">
        <v>410</v>
      </c>
      <c r="AA3755" s="52" t="s">
        <v>247</v>
      </c>
      <c r="AB3755" s="52" t="s">
        <v>247</v>
      </c>
      <c r="AC3755" s="52">
        <v>4</v>
      </c>
      <c r="AD3755" s="52" t="s">
        <v>2</v>
      </c>
      <c r="AE3755" s="52" t="s">
        <v>373</v>
      </c>
      <c r="AF3755" s="155" t="s">
        <v>560</v>
      </c>
      <c r="AG3755" s="155">
        <v>4</v>
      </c>
    </row>
    <row r="3756" spans="25:33">
      <c r="Y3756" s="47">
        <v>3748</v>
      </c>
      <c r="Z3756" s="52" t="s">
        <v>410</v>
      </c>
      <c r="AA3756" s="52" t="s">
        <v>247</v>
      </c>
      <c r="AB3756" s="52" t="s">
        <v>247</v>
      </c>
      <c r="AC3756" s="52" t="s">
        <v>247</v>
      </c>
      <c r="AD3756" s="52" t="s">
        <v>1</v>
      </c>
      <c r="AE3756" s="52" t="s">
        <v>373</v>
      </c>
      <c r="AF3756" s="155" t="s">
        <v>247</v>
      </c>
      <c r="AG3756" s="155" t="s">
        <v>247</v>
      </c>
    </row>
    <row r="3757" spans="25:33">
      <c r="Y3757" s="47">
        <v>3749</v>
      </c>
      <c r="Z3757" s="52" t="s">
        <v>410</v>
      </c>
      <c r="AA3757" s="52" t="s">
        <v>247</v>
      </c>
      <c r="AB3757" s="52" t="s">
        <v>247</v>
      </c>
      <c r="AC3757" s="52">
        <v>4</v>
      </c>
      <c r="AD3757" s="52" t="s">
        <v>2</v>
      </c>
      <c r="AE3757" s="52" t="s">
        <v>373</v>
      </c>
      <c r="AF3757" s="155" t="s">
        <v>560</v>
      </c>
      <c r="AG3757" s="155">
        <v>4</v>
      </c>
    </row>
    <row r="3758" spans="25:33">
      <c r="Y3758" s="47">
        <v>3750</v>
      </c>
      <c r="Z3758" s="52" t="s">
        <v>411</v>
      </c>
      <c r="AA3758" s="52" t="s">
        <v>247</v>
      </c>
      <c r="AB3758" s="52" t="s">
        <v>247</v>
      </c>
      <c r="AC3758" s="52">
        <v>4</v>
      </c>
      <c r="AD3758" s="52" t="s">
        <v>1</v>
      </c>
      <c r="AE3758" s="52" t="s">
        <v>373</v>
      </c>
      <c r="AF3758" s="155" t="s">
        <v>559</v>
      </c>
      <c r="AG3758" s="155">
        <v>4</v>
      </c>
    </row>
    <row r="3759" spans="25:33">
      <c r="Y3759" s="47">
        <v>3751</v>
      </c>
      <c r="Z3759" s="52" t="s">
        <v>411</v>
      </c>
      <c r="AA3759" s="52" t="s">
        <v>247</v>
      </c>
      <c r="AB3759" s="52" t="s">
        <v>247</v>
      </c>
      <c r="AC3759" s="52">
        <v>4</v>
      </c>
      <c r="AD3759" s="52" t="s">
        <v>1</v>
      </c>
      <c r="AE3759" s="52" t="s">
        <v>373</v>
      </c>
      <c r="AF3759" s="155" t="s">
        <v>559</v>
      </c>
      <c r="AG3759" s="155">
        <v>4</v>
      </c>
    </row>
    <row r="3760" spans="25:33">
      <c r="Y3760" s="47">
        <v>3752</v>
      </c>
      <c r="Z3760" s="52" t="s">
        <v>411</v>
      </c>
      <c r="AA3760" s="52" t="s">
        <v>247</v>
      </c>
      <c r="AB3760" s="52" t="s">
        <v>247</v>
      </c>
      <c r="AC3760" s="52">
        <v>4</v>
      </c>
      <c r="AD3760" s="52" t="s">
        <v>1</v>
      </c>
      <c r="AE3760" s="52" t="s">
        <v>373</v>
      </c>
      <c r="AF3760" s="155" t="s">
        <v>559</v>
      </c>
      <c r="AG3760" s="155">
        <v>4</v>
      </c>
    </row>
    <row r="3761" spans="25:33">
      <c r="Y3761" s="47">
        <v>3753</v>
      </c>
      <c r="Z3761" s="52" t="s">
        <v>411</v>
      </c>
      <c r="AA3761" s="52" t="s">
        <v>247</v>
      </c>
      <c r="AB3761" s="52" t="s">
        <v>247</v>
      </c>
      <c r="AC3761" s="52">
        <v>4</v>
      </c>
      <c r="AD3761" s="52" t="s">
        <v>1</v>
      </c>
      <c r="AE3761" s="52" t="s">
        <v>373</v>
      </c>
      <c r="AF3761" s="155" t="s">
        <v>559</v>
      </c>
      <c r="AG3761" s="155">
        <v>4</v>
      </c>
    </row>
    <row r="3762" spans="25:33">
      <c r="Y3762" s="47">
        <v>3754</v>
      </c>
      <c r="Z3762" s="52" t="s">
        <v>411</v>
      </c>
      <c r="AA3762" s="52" t="s">
        <v>247</v>
      </c>
      <c r="AB3762" s="52" t="s">
        <v>247</v>
      </c>
      <c r="AC3762" s="52">
        <v>4</v>
      </c>
      <c r="AD3762" s="52" t="s">
        <v>1</v>
      </c>
      <c r="AE3762" s="52" t="s">
        <v>373</v>
      </c>
      <c r="AF3762" s="155" t="s">
        <v>559</v>
      </c>
      <c r="AG3762" s="155">
        <v>4</v>
      </c>
    </row>
    <row r="3763" spans="25:33">
      <c r="Y3763" s="47">
        <v>3755</v>
      </c>
      <c r="Z3763" s="52" t="s">
        <v>411</v>
      </c>
      <c r="AA3763" s="52" t="s">
        <v>247</v>
      </c>
      <c r="AB3763" s="52" t="s">
        <v>247</v>
      </c>
      <c r="AC3763" s="52">
        <v>4</v>
      </c>
      <c r="AD3763" s="52" t="s">
        <v>1</v>
      </c>
      <c r="AE3763" s="52" t="s">
        <v>373</v>
      </c>
      <c r="AF3763" s="155" t="s">
        <v>559</v>
      </c>
      <c r="AG3763" s="155">
        <v>4</v>
      </c>
    </row>
    <row r="3764" spans="25:33">
      <c r="Y3764" s="47">
        <v>3756</v>
      </c>
      <c r="Z3764" s="52" t="s">
        <v>411</v>
      </c>
      <c r="AA3764" s="52" t="s">
        <v>247</v>
      </c>
      <c r="AB3764" s="52" t="s">
        <v>247</v>
      </c>
      <c r="AC3764" s="52">
        <v>4</v>
      </c>
      <c r="AD3764" s="52" t="s">
        <v>1</v>
      </c>
      <c r="AE3764" s="52" t="s">
        <v>373</v>
      </c>
      <c r="AF3764" s="155" t="s">
        <v>559</v>
      </c>
      <c r="AG3764" s="155">
        <v>4</v>
      </c>
    </row>
    <row r="3765" spans="25:33">
      <c r="Y3765" s="47">
        <v>3757</v>
      </c>
      <c r="Z3765" s="52" t="s">
        <v>411</v>
      </c>
      <c r="AA3765" s="52" t="s">
        <v>247</v>
      </c>
      <c r="AB3765" s="52" t="s">
        <v>247</v>
      </c>
      <c r="AC3765" s="52">
        <v>4</v>
      </c>
      <c r="AD3765" s="52" t="s">
        <v>1</v>
      </c>
      <c r="AE3765" s="52" t="s">
        <v>373</v>
      </c>
      <c r="AF3765" s="155" t="s">
        <v>559</v>
      </c>
      <c r="AG3765" s="155">
        <v>4</v>
      </c>
    </row>
    <row r="3766" spans="25:33">
      <c r="Y3766" s="47">
        <v>3758</v>
      </c>
      <c r="Z3766" s="52" t="s">
        <v>411</v>
      </c>
      <c r="AA3766" s="52" t="s">
        <v>247</v>
      </c>
      <c r="AB3766" s="52" t="s">
        <v>247</v>
      </c>
      <c r="AC3766" s="52">
        <v>4</v>
      </c>
      <c r="AD3766" s="52" t="s">
        <v>1</v>
      </c>
      <c r="AE3766" s="52" t="s">
        <v>373</v>
      </c>
      <c r="AF3766" s="155" t="s">
        <v>559</v>
      </c>
      <c r="AG3766" s="155">
        <v>4</v>
      </c>
    </row>
    <row r="3767" spans="25:33">
      <c r="Y3767" s="47">
        <v>3759</v>
      </c>
      <c r="Z3767" s="52" t="s">
        <v>411</v>
      </c>
      <c r="AA3767" s="52" t="s">
        <v>247</v>
      </c>
      <c r="AB3767" s="52" t="s">
        <v>247</v>
      </c>
      <c r="AC3767" s="52">
        <v>4</v>
      </c>
      <c r="AD3767" s="52" t="s">
        <v>1</v>
      </c>
      <c r="AE3767" s="52" t="s">
        <v>373</v>
      </c>
      <c r="AF3767" s="155" t="s">
        <v>559</v>
      </c>
      <c r="AG3767" s="155">
        <v>4</v>
      </c>
    </row>
    <row r="3768" spans="25:33">
      <c r="Y3768" s="47">
        <v>3760</v>
      </c>
      <c r="Z3768" s="52" t="s">
        <v>411</v>
      </c>
      <c r="AA3768" s="52" t="s">
        <v>247</v>
      </c>
      <c r="AB3768" s="52" t="s">
        <v>247</v>
      </c>
      <c r="AC3768" s="52">
        <v>4</v>
      </c>
      <c r="AD3768" s="52" t="s">
        <v>1</v>
      </c>
      <c r="AE3768" s="52" t="s">
        <v>373</v>
      </c>
      <c r="AF3768" s="155" t="s">
        <v>559</v>
      </c>
      <c r="AG3768" s="155">
        <v>4</v>
      </c>
    </row>
    <row r="3769" spans="25:33">
      <c r="Y3769" s="47">
        <v>3761</v>
      </c>
      <c r="Z3769" s="52" t="s">
        <v>411</v>
      </c>
      <c r="AA3769" s="52" t="s">
        <v>247</v>
      </c>
      <c r="AB3769" s="52" t="s">
        <v>247</v>
      </c>
      <c r="AC3769" s="52">
        <v>4</v>
      </c>
      <c r="AD3769" s="52" t="s">
        <v>1</v>
      </c>
      <c r="AE3769" s="52" t="s">
        <v>373</v>
      </c>
      <c r="AF3769" s="155" t="s">
        <v>559</v>
      </c>
      <c r="AG3769" s="155">
        <v>4</v>
      </c>
    </row>
    <row r="3770" spans="25:33">
      <c r="Y3770" s="47">
        <v>3762</v>
      </c>
      <c r="Z3770" s="52" t="s">
        <v>411</v>
      </c>
      <c r="AA3770" s="52" t="s">
        <v>247</v>
      </c>
      <c r="AB3770" s="52" t="s">
        <v>247</v>
      </c>
      <c r="AC3770" s="52">
        <v>4</v>
      </c>
      <c r="AD3770" s="52" t="s">
        <v>1</v>
      </c>
      <c r="AE3770" s="52" t="s">
        <v>373</v>
      </c>
      <c r="AF3770" s="155" t="s">
        <v>560</v>
      </c>
      <c r="AG3770" s="155">
        <v>4</v>
      </c>
    </row>
    <row r="3771" spans="25:33">
      <c r="Y3771" s="47">
        <v>3763</v>
      </c>
      <c r="Z3771" s="52" t="s">
        <v>407</v>
      </c>
      <c r="AA3771" s="52" t="s">
        <v>247</v>
      </c>
      <c r="AB3771" s="52" t="s">
        <v>247</v>
      </c>
      <c r="AC3771" s="52">
        <v>4</v>
      </c>
      <c r="AD3771" s="52" t="s">
        <v>1</v>
      </c>
      <c r="AE3771" s="52" t="s">
        <v>373</v>
      </c>
      <c r="AF3771" s="155" t="s">
        <v>560</v>
      </c>
      <c r="AG3771" s="155">
        <v>4</v>
      </c>
    </row>
    <row r="3772" spans="25:33">
      <c r="Y3772" s="47">
        <v>3764</v>
      </c>
      <c r="Z3772" s="52" t="s">
        <v>411</v>
      </c>
      <c r="AA3772" s="52" t="s">
        <v>247</v>
      </c>
      <c r="AB3772" s="52" t="s">
        <v>247</v>
      </c>
      <c r="AC3772" s="52">
        <v>4</v>
      </c>
      <c r="AD3772" s="52" t="s">
        <v>2</v>
      </c>
      <c r="AE3772" s="52" t="s">
        <v>373</v>
      </c>
      <c r="AF3772" s="155" t="s">
        <v>560</v>
      </c>
      <c r="AG3772" s="155">
        <v>4</v>
      </c>
    </row>
    <row r="3773" spans="25:33">
      <c r="Y3773" s="47">
        <v>3765</v>
      </c>
      <c r="Z3773" s="52" t="s">
        <v>407</v>
      </c>
      <c r="AA3773" s="52" t="s">
        <v>247</v>
      </c>
      <c r="AB3773" s="52" t="s">
        <v>247</v>
      </c>
      <c r="AC3773" s="52">
        <v>4</v>
      </c>
      <c r="AD3773" s="52" t="s">
        <v>1</v>
      </c>
      <c r="AE3773" s="52" t="s">
        <v>373</v>
      </c>
      <c r="AF3773" s="155" t="s">
        <v>559</v>
      </c>
      <c r="AG3773" s="155">
        <v>4</v>
      </c>
    </row>
    <row r="3774" spans="25:33">
      <c r="Y3774" s="47">
        <v>3766</v>
      </c>
      <c r="Z3774" s="52" t="s">
        <v>407</v>
      </c>
      <c r="AA3774" s="52" t="s">
        <v>247</v>
      </c>
      <c r="AB3774" s="52" t="s">
        <v>247</v>
      </c>
      <c r="AC3774" s="52">
        <v>4</v>
      </c>
      <c r="AD3774" s="52" t="s">
        <v>1</v>
      </c>
      <c r="AE3774" s="52" t="s">
        <v>373</v>
      </c>
      <c r="AF3774" s="155" t="s">
        <v>560</v>
      </c>
      <c r="AG3774" s="155">
        <v>4</v>
      </c>
    </row>
    <row r="3775" spans="25:33">
      <c r="Y3775" s="47">
        <v>3767</v>
      </c>
      <c r="Z3775" s="52" t="s">
        <v>407</v>
      </c>
      <c r="AA3775" s="52" t="s">
        <v>247</v>
      </c>
      <c r="AB3775" s="52" t="s">
        <v>247</v>
      </c>
      <c r="AC3775" s="52">
        <v>4</v>
      </c>
      <c r="AD3775" s="52" t="s">
        <v>1</v>
      </c>
      <c r="AE3775" s="52" t="s">
        <v>373</v>
      </c>
      <c r="AF3775" s="155" t="s">
        <v>560</v>
      </c>
      <c r="AG3775" s="155">
        <v>4</v>
      </c>
    </row>
    <row r="3776" spans="25:33">
      <c r="Y3776" s="47">
        <v>3768</v>
      </c>
      <c r="Z3776" s="52" t="s">
        <v>407</v>
      </c>
      <c r="AA3776" s="52" t="s">
        <v>247</v>
      </c>
      <c r="AB3776" s="52" t="s">
        <v>247</v>
      </c>
      <c r="AC3776" s="52" t="s">
        <v>247</v>
      </c>
      <c r="AD3776" s="52" t="s">
        <v>1</v>
      </c>
      <c r="AE3776" s="52" t="s">
        <v>373</v>
      </c>
      <c r="AF3776" s="155" t="s">
        <v>247</v>
      </c>
      <c r="AG3776" s="155" t="s">
        <v>247</v>
      </c>
    </row>
    <row r="3777" spans="25:33">
      <c r="Y3777" s="47">
        <v>3769</v>
      </c>
      <c r="Z3777" s="52" t="s">
        <v>407</v>
      </c>
      <c r="AA3777" s="52" t="s">
        <v>247</v>
      </c>
      <c r="AB3777" s="52" t="s">
        <v>247</v>
      </c>
      <c r="AC3777" s="52" t="s">
        <v>247</v>
      </c>
      <c r="AD3777" s="52" t="s">
        <v>1</v>
      </c>
      <c r="AE3777" s="52" t="s">
        <v>373</v>
      </c>
      <c r="AF3777" s="155" t="s">
        <v>247</v>
      </c>
      <c r="AG3777" s="155" t="s">
        <v>247</v>
      </c>
    </row>
    <row r="3778" spans="25:33">
      <c r="Y3778" s="47">
        <v>3770</v>
      </c>
      <c r="Z3778" s="52" t="s">
        <v>407</v>
      </c>
      <c r="AA3778" s="52" t="s">
        <v>247</v>
      </c>
      <c r="AB3778" s="52" t="s">
        <v>247</v>
      </c>
      <c r="AC3778" s="52">
        <v>5</v>
      </c>
      <c r="AD3778" s="52" t="s">
        <v>1</v>
      </c>
      <c r="AE3778" s="52" t="s">
        <v>373</v>
      </c>
      <c r="AF3778" s="155" t="s">
        <v>560</v>
      </c>
      <c r="AG3778" s="155">
        <v>5</v>
      </c>
    </row>
    <row r="3779" spans="25:33">
      <c r="Y3779" s="47">
        <v>3771</v>
      </c>
      <c r="Z3779" s="52" t="s">
        <v>407</v>
      </c>
      <c r="AA3779" s="52" t="s">
        <v>247</v>
      </c>
      <c r="AB3779" s="52" t="s">
        <v>247</v>
      </c>
      <c r="AC3779" s="52" t="s">
        <v>247</v>
      </c>
      <c r="AD3779" s="52" t="s">
        <v>1</v>
      </c>
      <c r="AE3779" s="52" t="s">
        <v>373</v>
      </c>
      <c r="AF3779" s="155" t="s">
        <v>247</v>
      </c>
      <c r="AG3779" s="155" t="s">
        <v>247</v>
      </c>
    </row>
    <row r="3780" spans="25:33">
      <c r="Y3780" s="47">
        <v>3772</v>
      </c>
      <c r="Z3780" s="52" t="s">
        <v>407</v>
      </c>
      <c r="AA3780" s="52" t="s">
        <v>247</v>
      </c>
      <c r="AB3780" s="52" t="s">
        <v>247</v>
      </c>
      <c r="AC3780" s="52" t="s">
        <v>247</v>
      </c>
      <c r="AD3780" s="52" t="s">
        <v>1</v>
      </c>
      <c r="AE3780" s="52" t="s">
        <v>373</v>
      </c>
      <c r="AF3780" s="155" t="s">
        <v>247</v>
      </c>
      <c r="AG3780" s="155" t="s">
        <v>247</v>
      </c>
    </row>
    <row r="3781" spans="25:33">
      <c r="Y3781" s="47">
        <v>3773</v>
      </c>
      <c r="Z3781" s="52" t="s">
        <v>407</v>
      </c>
      <c r="AA3781" s="52" t="s">
        <v>247</v>
      </c>
      <c r="AB3781" s="52" t="s">
        <v>247</v>
      </c>
      <c r="AC3781" s="52" t="s">
        <v>247</v>
      </c>
      <c r="AD3781" s="52" t="s">
        <v>1</v>
      </c>
      <c r="AE3781" s="52" t="s">
        <v>373</v>
      </c>
      <c r="AF3781" s="155" t="s">
        <v>247</v>
      </c>
      <c r="AG3781" s="155" t="s">
        <v>247</v>
      </c>
    </row>
    <row r="3782" spans="25:33">
      <c r="Y3782" s="47">
        <v>3774</v>
      </c>
      <c r="Z3782" s="52" t="s">
        <v>407</v>
      </c>
      <c r="AA3782" s="52" t="s">
        <v>247</v>
      </c>
      <c r="AB3782" s="52" t="s">
        <v>247</v>
      </c>
      <c r="AC3782" s="52" t="s">
        <v>247</v>
      </c>
      <c r="AD3782" s="52" t="s">
        <v>1</v>
      </c>
      <c r="AE3782" s="52" t="s">
        <v>373</v>
      </c>
      <c r="AF3782" s="155" t="s">
        <v>247</v>
      </c>
      <c r="AG3782" s="155" t="s">
        <v>247</v>
      </c>
    </row>
    <row r="3783" spans="25:33">
      <c r="Y3783" s="47">
        <v>3775</v>
      </c>
      <c r="Z3783" s="52" t="s">
        <v>407</v>
      </c>
      <c r="AA3783" s="52" t="s">
        <v>247</v>
      </c>
      <c r="AB3783" s="52" t="s">
        <v>247</v>
      </c>
      <c r="AC3783" s="52">
        <v>5</v>
      </c>
      <c r="AD3783" s="52" t="s">
        <v>1</v>
      </c>
      <c r="AE3783" s="52" t="s">
        <v>373</v>
      </c>
      <c r="AF3783" s="155" t="s">
        <v>560</v>
      </c>
      <c r="AG3783" s="155">
        <v>5</v>
      </c>
    </row>
    <row r="3784" spans="25:33">
      <c r="Y3784" s="47">
        <v>3776</v>
      </c>
      <c r="Z3784" s="52" t="s">
        <v>407</v>
      </c>
      <c r="AA3784" s="52" t="s">
        <v>247</v>
      </c>
      <c r="AB3784" s="52" t="s">
        <v>247</v>
      </c>
      <c r="AC3784" s="52" t="s">
        <v>247</v>
      </c>
      <c r="AD3784" s="52" t="s">
        <v>1</v>
      </c>
      <c r="AE3784" s="52" t="s">
        <v>373</v>
      </c>
      <c r="AF3784" s="155" t="s">
        <v>247</v>
      </c>
      <c r="AG3784" s="155" t="s">
        <v>247</v>
      </c>
    </row>
    <row r="3785" spans="25:33">
      <c r="Y3785" s="47">
        <v>3777</v>
      </c>
      <c r="Z3785" s="52" t="s">
        <v>407</v>
      </c>
      <c r="AA3785" s="52" t="s">
        <v>247</v>
      </c>
      <c r="AB3785" s="52" t="s">
        <v>247</v>
      </c>
      <c r="AC3785" s="52">
        <v>5</v>
      </c>
      <c r="AD3785" s="52" t="s">
        <v>1</v>
      </c>
      <c r="AE3785" s="52" t="s">
        <v>373</v>
      </c>
      <c r="AF3785" s="155" t="s">
        <v>560</v>
      </c>
      <c r="AG3785" s="155">
        <v>5</v>
      </c>
    </row>
    <row r="3786" spans="25:33">
      <c r="Y3786" s="47">
        <v>3778</v>
      </c>
      <c r="Z3786" s="52" t="s">
        <v>407</v>
      </c>
      <c r="AA3786" s="52" t="s">
        <v>247</v>
      </c>
      <c r="AB3786" s="52" t="s">
        <v>247</v>
      </c>
      <c r="AC3786" s="52">
        <v>5</v>
      </c>
      <c r="AD3786" s="52" t="s">
        <v>2</v>
      </c>
      <c r="AE3786" s="52" t="s">
        <v>373</v>
      </c>
      <c r="AF3786" s="155" t="s">
        <v>560</v>
      </c>
      <c r="AG3786" s="155">
        <v>5</v>
      </c>
    </row>
    <row r="3787" spans="25:33">
      <c r="Y3787" s="47">
        <v>3779</v>
      </c>
      <c r="Z3787" s="52" t="s">
        <v>407</v>
      </c>
      <c r="AA3787" s="52" t="s">
        <v>247</v>
      </c>
      <c r="AB3787" s="52" t="s">
        <v>247</v>
      </c>
      <c r="AC3787" s="52">
        <v>5</v>
      </c>
      <c r="AD3787" s="52" t="s">
        <v>2</v>
      </c>
      <c r="AE3787" s="52" t="s">
        <v>373</v>
      </c>
      <c r="AF3787" s="155" t="s">
        <v>560</v>
      </c>
      <c r="AG3787" s="155">
        <v>5</v>
      </c>
    </row>
    <row r="3788" spans="25:33">
      <c r="Y3788" s="47">
        <v>3781</v>
      </c>
      <c r="Z3788" s="52" t="s">
        <v>411</v>
      </c>
      <c r="AA3788" s="52" t="s">
        <v>247</v>
      </c>
      <c r="AB3788" s="52" t="s">
        <v>247</v>
      </c>
      <c r="AC3788" s="52">
        <v>4</v>
      </c>
      <c r="AD3788" s="52" t="s">
        <v>1</v>
      </c>
      <c r="AE3788" s="52" t="s">
        <v>373</v>
      </c>
      <c r="AF3788" s="155" t="s">
        <v>559</v>
      </c>
      <c r="AG3788" s="155">
        <v>4</v>
      </c>
    </row>
    <row r="3789" spans="25:33">
      <c r="Y3789" s="47">
        <v>3782</v>
      </c>
      <c r="Z3789" s="52" t="s">
        <v>411</v>
      </c>
      <c r="AA3789" s="52" t="s">
        <v>247</v>
      </c>
      <c r="AB3789" s="52" t="s">
        <v>247</v>
      </c>
      <c r="AC3789" s="52">
        <v>4</v>
      </c>
      <c r="AD3789" s="52" t="s">
        <v>1</v>
      </c>
      <c r="AE3789" s="52" t="s">
        <v>373</v>
      </c>
      <c r="AF3789" s="155" t="s">
        <v>559</v>
      </c>
      <c r="AG3789" s="155">
        <v>4</v>
      </c>
    </row>
    <row r="3790" spans="25:33">
      <c r="Y3790" s="47">
        <v>3783</v>
      </c>
      <c r="Z3790" s="52" t="s">
        <v>411</v>
      </c>
      <c r="AA3790" s="52" t="s">
        <v>247</v>
      </c>
      <c r="AB3790" s="52" t="s">
        <v>247</v>
      </c>
      <c r="AC3790" s="52">
        <v>4</v>
      </c>
      <c r="AD3790" s="52" t="s">
        <v>1</v>
      </c>
      <c r="AE3790" s="52" t="s">
        <v>373</v>
      </c>
      <c r="AF3790" s="155" t="s">
        <v>559</v>
      </c>
      <c r="AG3790" s="155">
        <v>4</v>
      </c>
    </row>
    <row r="3791" spans="25:33">
      <c r="Y3791" s="47">
        <v>3785</v>
      </c>
      <c r="Z3791" s="52" t="s">
        <v>407</v>
      </c>
      <c r="AA3791" s="52" t="s">
        <v>247</v>
      </c>
      <c r="AB3791" s="52" t="s">
        <v>247</v>
      </c>
      <c r="AC3791" s="52">
        <v>4</v>
      </c>
      <c r="AD3791" s="52" t="s">
        <v>1</v>
      </c>
      <c r="AE3791" s="52" t="s">
        <v>373</v>
      </c>
      <c r="AF3791" s="155" t="s">
        <v>560</v>
      </c>
      <c r="AG3791" s="155">
        <v>4</v>
      </c>
    </row>
    <row r="3792" spans="25:33">
      <c r="Y3792" s="47">
        <v>3786</v>
      </c>
      <c r="Z3792" s="52" t="s">
        <v>407</v>
      </c>
      <c r="AA3792" s="52" t="s">
        <v>247</v>
      </c>
      <c r="AB3792" s="52" t="s">
        <v>247</v>
      </c>
      <c r="AC3792" s="52">
        <v>4</v>
      </c>
      <c r="AD3792" s="52" t="s">
        <v>1</v>
      </c>
      <c r="AE3792" s="52" t="s">
        <v>373</v>
      </c>
      <c r="AF3792" s="155" t="s">
        <v>560</v>
      </c>
      <c r="AG3792" s="155">
        <v>4</v>
      </c>
    </row>
    <row r="3793" spans="25:33">
      <c r="Y3793" s="47">
        <v>3787</v>
      </c>
      <c r="Z3793" s="52" t="s">
        <v>407</v>
      </c>
      <c r="AA3793" s="52" t="s">
        <v>247</v>
      </c>
      <c r="AB3793" s="52" t="s">
        <v>247</v>
      </c>
      <c r="AC3793" s="52">
        <v>4</v>
      </c>
      <c r="AD3793" s="52" t="s">
        <v>1</v>
      </c>
      <c r="AE3793" s="52" t="s">
        <v>373</v>
      </c>
      <c r="AF3793" s="155" t="s">
        <v>560</v>
      </c>
      <c r="AG3793" s="155">
        <v>4</v>
      </c>
    </row>
    <row r="3794" spans="25:33">
      <c r="Y3794" s="47">
        <v>3788</v>
      </c>
      <c r="Z3794" s="52" t="s">
        <v>407</v>
      </c>
      <c r="AA3794" s="52" t="s">
        <v>247</v>
      </c>
      <c r="AB3794" s="52" t="s">
        <v>247</v>
      </c>
      <c r="AC3794" s="52">
        <v>4</v>
      </c>
      <c r="AD3794" s="52" t="s">
        <v>1</v>
      </c>
      <c r="AE3794" s="52" t="s">
        <v>373</v>
      </c>
      <c r="AF3794" s="155" t="s">
        <v>560</v>
      </c>
      <c r="AG3794" s="155">
        <v>4</v>
      </c>
    </row>
    <row r="3795" spans="25:33">
      <c r="Y3795" s="47">
        <v>3789</v>
      </c>
      <c r="Z3795" s="52" t="s">
        <v>407</v>
      </c>
      <c r="AA3795" s="52" t="s">
        <v>247</v>
      </c>
      <c r="AB3795" s="52" t="s">
        <v>247</v>
      </c>
      <c r="AC3795" s="52">
        <v>4</v>
      </c>
      <c r="AD3795" s="52" t="s">
        <v>1</v>
      </c>
      <c r="AE3795" s="52" t="s">
        <v>373</v>
      </c>
      <c r="AF3795" s="155" t="s">
        <v>560</v>
      </c>
      <c r="AG3795" s="155">
        <v>4</v>
      </c>
    </row>
    <row r="3796" spans="25:33">
      <c r="Y3796" s="47">
        <v>3790</v>
      </c>
      <c r="Z3796" s="52" t="s">
        <v>407</v>
      </c>
      <c r="AA3796" s="52" t="s">
        <v>247</v>
      </c>
      <c r="AB3796" s="52" t="s">
        <v>247</v>
      </c>
      <c r="AC3796" s="52" t="s">
        <v>247</v>
      </c>
      <c r="AD3796" s="52" t="s">
        <v>1</v>
      </c>
      <c r="AE3796" s="52" t="s">
        <v>373</v>
      </c>
      <c r="AF3796" s="155" t="s">
        <v>247</v>
      </c>
      <c r="AG3796" s="155" t="s">
        <v>247</v>
      </c>
    </row>
    <row r="3797" spans="25:33">
      <c r="Y3797" s="47">
        <v>3791</v>
      </c>
      <c r="Z3797" s="52" t="s">
        <v>407</v>
      </c>
      <c r="AA3797" s="52" t="s">
        <v>247</v>
      </c>
      <c r="AB3797" s="52" t="s">
        <v>247</v>
      </c>
      <c r="AC3797" s="52">
        <v>4</v>
      </c>
      <c r="AD3797" s="52" t="s">
        <v>1</v>
      </c>
      <c r="AE3797" s="52" t="s">
        <v>373</v>
      </c>
      <c r="AF3797" s="155" t="s">
        <v>559</v>
      </c>
      <c r="AG3797" s="155">
        <v>4</v>
      </c>
    </row>
    <row r="3798" spans="25:33">
      <c r="Y3798" s="47">
        <v>3792</v>
      </c>
      <c r="Z3798" s="52" t="s">
        <v>407</v>
      </c>
      <c r="AA3798" s="52" t="s">
        <v>247</v>
      </c>
      <c r="AB3798" s="52" t="s">
        <v>247</v>
      </c>
      <c r="AC3798" s="52">
        <v>4</v>
      </c>
      <c r="AD3798" s="52" t="s">
        <v>1</v>
      </c>
      <c r="AE3798" s="52" t="s">
        <v>373</v>
      </c>
      <c r="AF3798" s="155" t="s">
        <v>560</v>
      </c>
      <c r="AG3798" s="155">
        <v>4</v>
      </c>
    </row>
    <row r="3799" spans="25:33">
      <c r="Y3799" s="47">
        <v>3793</v>
      </c>
      <c r="Z3799" s="52" t="s">
        <v>407</v>
      </c>
      <c r="AA3799" s="52" t="s">
        <v>247</v>
      </c>
      <c r="AB3799" s="52" t="s">
        <v>247</v>
      </c>
      <c r="AC3799" s="52">
        <v>4</v>
      </c>
      <c r="AD3799" s="52" t="s">
        <v>1</v>
      </c>
      <c r="AE3799" s="52" t="s">
        <v>373</v>
      </c>
      <c r="AF3799" s="155" t="s">
        <v>560</v>
      </c>
      <c r="AG3799" s="155">
        <v>4</v>
      </c>
    </row>
    <row r="3800" spans="25:33">
      <c r="Y3800" s="47">
        <v>3794</v>
      </c>
      <c r="Z3800" s="52" t="s">
        <v>407</v>
      </c>
      <c r="AA3800" s="52" t="s">
        <v>247</v>
      </c>
      <c r="AB3800" s="52" t="s">
        <v>247</v>
      </c>
      <c r="AC3800" s="52" t="s">
        <v>247</v>
      </c>
      <c r="AD3800" s="52" t="s">
        <v>1</v>
      </c>
      <c r="AE3800" s="52" t="s">
        <v>373</v>
      </c>
      <c r="AF3800" s="155" t="s">
        <v>247</v>
      </c>
      <c r="AG3800" s="155" t="s">
        <v>247</v>
      </c>
    </row>
    <row r="3801" spans="25:33">
      <c r="Y3801" s="47">
        <v>3795</v>
      </c>
      <c r="Z3801" s="52" t="s">
        <v>407</v>
      </c>
      <c r="AA3801" s="52" t="s">
        <v>247</v>
      </c>
      <c r="AB3801" s="52" t="s">
        <v>247</v>
      </c>
      <c r="AC3801" s="52">
        <v>4</v>
      </c>
      <c r="AD3801" s="52" t="s">
        <v>1</v>
      </c>
      <c r="AE3801" s="52" t="s">
        <v>373</v>
      </c>
      <c r="AF3801" s="155" t="s">
        <v>560</v>
      </c>
      <c r="AG3801" s="155">
        <v>4</v>
      </c>
    </row>
    <row r="3802" spans="25:33">
      <c r="Y3802" s="47">
        <v>3796</v>
      </c>
      <c r="Z3802" s="52" t="s">
        <v>407</v>
      </c>
      <c r="AA3802" s="52" t="s">
        <v>247</v>
      </c>
      <c r="AB3802" s="52" t="s">
        <v>247</v>
      </c>
      <c r="AC3802" s="52">
        <v>4</v>
      </c>
      <c r="AD3802" s="52" t="s">
        <v>1</v>
      </c>
      <c r="AE3802" s="52" t="s">
        <v>373</v>
      </c>
      <c r="AF3802" s="155" t="s">
        <v>560</v>
      </c>
      <c r="AG3802" s="155">
        <v>4</v>
      </c>
    </row>
    <row r="3803" spans="25:33">
      <c r="Y3803" s="47">
        <v>3797</v>
      </c>
      <c r="Z3803" s="52" t="s">
        <v>407</v>
      </c>
      <c r="AA3803" s="52" t="s">
        <v>247</v>
      </c>
      <c r="AB3803" s="52" t="s">
        <v>247</v>
      </c>
      <c r="AC3803" s="52">
        <v>4</v>
      </c>
      <c r="AD3803" s="52" t="s">
        <v>1</v>
      </c>
      <c r="AE3803" s="52" t="s">
        <v>373</v>
      </c>
      <c r="AF3803" s="155" t="s">
        <v>559</v>
      </c>
      <c r="AG3803" s="155">
        <v>4</v>
      </c>
    </row>
    <row r="3804" spans="25:33">
      <c r="Y3804" s="47">
        <v>3798</v>
      </c>
      <c r="Z3804" s="52" t="s">
        <v>407</v>
      </c>
      <c r="AA3804" s="52" t="s">
        <v>247</v>
      </c>
      <c r="AB3804" s="52" t="s">
        <v>247</v>
      </c>
      <c r="AC3804" s="52" t="s">
        <v>247</v>
      </c>
      <c r="AD3804" s="52" t="s">
        <v>1</v>
      </c>
      <c r="AE3804" s="52" t="s">
        <v>373</v>
      </c>
      <c r="AF3804" s="155" t="s">
        <v>247</v>
      </c>
      <c r="AG3804" s="155" t="s">
        <v>247</v>
      </c>
    </row>
    <row r="3805" spans="25:33">
      <c r="Y3805" s="47">
        <v>3799</v>
      </c>
      <c r="Z3805" s="52" t="s">
        <v>407</v>
      </c>
      <c r="AA3805" s="52" t="s">
        <v>247</v>
      </c>
      <c r="AB3805" s="52" t="s">
        <v>247</v>
      </c>
      <c r="AC3805" s="52">
        <v>4</v>
      </c>
      <c r="AD3805" s="52" t="s">
        <v>2</v>
      </c>
      <c r="AE3805" s="52" t="s">
        <v>373</v>
      </c>
      <c r="AF3805" s="155" t="s">
        <v>560</v>
      </c>
      <c r="AG3805" s="155">
        <v>4</v>
      </c>
    </row>
    <row r="3806" spans="25:33">
      <c r="Y3806" s="47">
        <v>3802</v>
      </c>
      <c r="Z3806" s="52" t="s">
        <v>411</v>
      </c>
      <c r="AA3806" s="52" t="s">
        <v>247</v>
      </c>
      <c r="AB3806" s="52" t="s">
        <v>247</v>
      </c>
      <c r="AC3806" s="52">
        <v>4</v>
      </c>
      <c r="AD3806" s="52" t="s">
        <v>1</v>
      </c>
      <c r="AE3806" s="52" t="s">
        <v>373</v>
      </c>
      <c r="AF3806" s="155" t="s">
        <v>559</v>
      </c>
      <c r="AG3806" s="155">
        <v>4</v>
      </c>
    </row>
    <row r="3807" spans="25:33">
      <c r="Y3807" s="47">
        <v>3803</v>
      </c>
      <c r="Z3807" s="52" t="s">
        <v>411</v>
      </c>
      <c r="AA3807" s="52" t="s">
        <v>247</v>
      </c>
      <c r="AB3807" s="52" t="s">
        <v>247</v>
      </c>
      <c r="AC3807" s="52">
        <v>4</v>
      </c>
      <c r="AD3807" s="52" t="s">
        <v>1</v>
      </c>
      <c r="AE3807" s="52" t="s">
        <v>373</v>
      </c>
      <c r="AF3807" s="155" t="s">
        <v>559</v>
      </c>
      <c r="AG3807" s="155">
        <v>4</v>
      </c>
    </row>
    <row r="3808" spans="25:33">
      <c r="Y3808" s="47">
        <v>3804</v>
      </c>
      <c r="Z3808" s="52" t="s">
        <v>411</v>
      </c>
      <c r="AA3808" s="52" t="s">
        <v>247</v>
      </c>
      <c r="AB3808" s="52" t="s">
        <v>247</v>
      </c>
      <c r="AC3808" s="52">
        <v>4</v>
      </c>
      <c r="AD3808" s="52" t="s">
        <v>1</v>
      </c>
      <c r="AE3808" s="52" t="s">
        <v>373</v>
      </c>
      <c r="AF3808" s="155" t="s">
        <v>559</v>
      </c>
      <c r="AG3808" s="155">
        <v>4</v>
      </c>
    </row>
    <row r="3809" spans="25:33">
      <c r="Y3809" s="47">
        <v>3805</v>
      </c>
      <c r="Z3809" s="52" t="s">
        <v>411</v>
      </c>
      <c r="AA3809" s="52" t="s">
        <v>247</v>
      </c>
      <c r="AB3809" s="52" t="s">
        <v>247</v>
      </c>
      <c r="AC3809" s="52">
        <v>4</v>
      </c>
      <c r="AD3809" s="52" t="s">
        <v>1</v>
      </c>
      <c r="AE3809" s="52" t="s">
        <v>373</v>
      </c>
      <c r="AF3809" s="155" t="s">
        <v>559</v>
      </c>
      <c r="AG3809" s="155">
        <v>4</v>
      </c>
    </row>
    <row r="3810" spans="25:33">
      <c r="Y3810" s="47">
        <v>3806</v>
      </c>
      <c r="Z3810" s="52" t="s">
        <v>411</v>
      </c>
      <c r="AA3810" s="52" t="s">
        <v>247</v>
      </c>
      <c r="AB3810" s="52" t="s">
        <v>247</v>
      </c>
      <c r="AC3810" s="52">
        <v>4</v>
      </c>
      <c r="AD3810" s="52" t="s">
        <v>1</v>
      </c>
      <c r="AE3810" s="52" t="s">
        <v>373</v>
      </c>
      <c r="AF3810" s="155" t="s">
        <v>559</v>
      </c>
      <c r="AG3810" s="155">
        <v>4</v>
      </c>
    </row>
    <row r="3811" spans="25:33">
      <c r="Y3811" s="47">
        <v>3807</v>
      </c>
      <c r="Z3811" s="52" t="s">
        <v>411</v>
      </c>
      <c r="AA3811" s="52" t="s">
        <v>247</v>
      </c>
      <c r="AB3811" s="52" t="s">
        <v>247</v>
      </c>
      <c r="AC3811" s="52">
        <v>4</v>
      </c>
      <c r="AD3811" s="52" t="s">
        <v>1</v>
      </c>
      <c r="AE3811" s="52" t="s">
        <v>373</v>
      </c>
      <c r="AF3811" s="155" t="s">
        <v>559</v>
      </c>
      <c r="AG3811" s="155">
        <v>4</v>
      </c>
    </row>
    <row r="3812" spans="25:33">
      <c r="Y3812" s="47">
        <v>3808</v>
      </c>
      <c r="Z3812" s="52" t="s">
        <v>411</v>
      </c>
      <c r="AA3812" s="52" t="s">
        <v>247</v>
      </c>
      <c r="AB3812" s="52" t="s">
        <v>247</v>
      </c>
      <c r="AC3812" s="52">
        <v>4</v>
      </c>
      <c r="AD3812" s="52" t="s">
        <v>1</v>
      </c>
      <c r="AE3812" s="52" t="s">
        <v>373</v>
      </c>
      <c r="AF3812" s="155" t="s">
        <v>559</v>
      </c>
      <c r="AG3812" s="155">
        <v>4</v>
      </c>
    </row>
    <row r="3813" spans="25:33">
      <c r="Y3813" s="47">
        <v>3809</v>
      </c>
      <c r="Z3813" s="52" t="s">
        <v>411</v>
      </c>
      <c r="AA3813" s="52" t="s">
        <v>247</v>
      </c>
      <c r="AB3813" s="52" t="s">
        <v>247</v>
      </c>
      <c r="AC3813" s="52">
        <v>4</v>
      </c>
      <c r="AD3813" s="52" t="s">
        <v>1</v>
      </c>
      <c r="AE3813" s="52" t="s">
        <v>373</v>
      </c>
      <c r="AF3813" s="155" t="s">
        <v>559</v>
      </c>
      <c r="AG3813" s="155">
        <v>4</v>
      </c>
    </row>
    <row r="3814" spans="25:33">
      <c r="Y3814" s="47">
        <v>3810</v>
      </c>
      <c r="Z3814" s="52" t="s">
        <v>411</v>
      </c>
      <c r="AA3814" s="52" t="s">
        <v>247</v>
      </c>
      <c r="AB3814" s="52" t="s">
        <v>247</v>
      </c>
      <c r="AC3814" s="52">
        <v>4</v>
      </c>
      <c r="AD3814" s="52" t="s">
        <v>1</v>
      </c>
      <c r="AE3814" s="52" t="s">
        <v>373</v>
      </c>
      <c r="AF3814" s="155" t="s">
        <v>559</v>
      </c>
      <c r="AG3814" s="155">
        <v>4</v>
      </c>
    </row>
    <row r="3815" spans="25:33">
      <c r="Y3815" s="47">
        <v>3811</v>
      </c>
      <c r="Z3815" s="52" t="s">
        <v>411</v>
      </c>
      <c r="AA3815" s="52" t="s">
        <v>247</v>
      </c>
      <c r="AB3815" s="52" t="s">
        <v>247</v>
      </c>
      <c r="AC3815" s="52" t="s">
        <v>247</v>
      </c>
      <c r="AD3815" s="52" t="s">
        <v>1</v>
      </c>
      <c r="AE3815" s="52" t="s">
        <v>373</v>
      </c>
      <c r="AF3815" s="155" t="s">
        <v>247</v>
      </c>
      <c r="AG3815" s="155" t="s">
        <v>247</v>
      </c>
    </row>
    <row r="3816" spans="25:33">
      <c r="Y3816" s="47">
        <v>3812</v>
      </c>
      <c r="Z3816" s="52" t="s">
        <v>411</v>
      </c>
      <c r="AA3816" s="52" t="s">
        <v>247</v>
      </c>
      <c r="AB3816" s="52" t="s">
        <v>247</v>
      </c>
      <c r="AC3816" s="52">
        <v>4</v>
      </c>
      <c r="AD3816" s="52" t="s">
        <v>1</v>
      </c>
      <c r="AE3816" s="52" t="s">
        <v>373</v>
      </c>
      <c r="AF3816" s="155" t="s">
        <v>559</v>
      </c>
      <c r="AG3816" s="155">
        <v>4</v>
      </c>
    </row>
    <row r="3817" spans="25:33">
      <c r="Y3817" s="47">
        <v>3813</v>
      </c>
      <c r="Z3817" s="52" t="s">
        <v>411</v>
      </c>
      <c r="AA3817" s="52" t="s">
        <v>247</v>
      </c>
      <c r="AB3817" s="52" t="s">
        <v>247</v>
      </c>
      <c r="AC3817" s="52">
        <v>4</v>
      </c>
      <c r="AD3817" s="52" t="s">
        <v>1</v>
      </c>
      <c r="AE3817" s="52" t="s">
        <v>373</v>
      </c>
      <c r="AF3817" s="155" t="s">
        <v>559</v>
      </c>
      <c r="AG3817" s="155">
        <v>4</v>
      </c>
    </row>
    <row r="3818" spans="25:33">
      <c r="Y3818" s="47">
        <v>3814</v>
      </c>
      <c r="Z3818" s="52" t="s">
        <v>411</v>
      </c>
      <c r="AA3818" s="52" t="s">
        <v>247</v>
      </c>
      <c r="AB3818" s="52" t="s">
        <v>247</v>
      </c>
      <c r="AC3818" s="52">
        <v>4</v>
      </c>
      <c r="AD3818" s="52" t="s">
        <v>1</v>
      </c>
      <c r="AE3818" s="52" t="s">
        <v>373</v>
      </c>
      <c r="AF3818" s="155" t="s">
        <v>559</v>
      </c>
      <c r="AG3818" s="155">
        <v>4</v>
      </c>
    </row>
    <row r="3819" spans="25:33">
      <c r="Y3819" s="47">
        <v>3815</v>
      </c>
      <c r="Z3819" s="52" t="s">
        <v>411</v>
      </c>
      <c r="AA3819" s="52" t="s">
        <v>247</v>
      </c>
      <c r="AB3819" s="52" t="s">
        <v>247</v>
      </c>
      <c r="AC3819" s="52">
        <v>4</v>
      </c>
      <c r="AD3819" s="52" t="s">
        <v>1</v>
      </c>
      <c r="AE3819" s="52" t="s">
        <v>373</v>
      </c>
      <c r="AF3819" s="155" t="s">
        <v>559</v>
      </c>
      <c r="AG3819" s="155">
        <v>4</v>
      </c>
    </row>
    <row r="3820" spans="25:33">
      <c r="Y3820" s="47">
        <v>3816</v>
      </c>
      <c r="Z3820" s="52" t="s">
        <v>407</v>
      </c>
      <c r="AA3820" s="52" t="s">
        <v>247</v>
      </c>
      <c r="AB3820" s="52" t="s">
        <v>247</v>
      </c>
      <c r="AC3820" s="52">
        <v>5</v>
      </c>
      <c r="AD3820" s="52" t="s">
        <v>2</v>
      </c>
      <c r="AE3820" s="52" t="s">
        <v>373</v>
      </c>
      <c r="AF3820" s="155" t="s">
        <v>559</v>
      </c>
      <c r="AG3820" s="155">
        <v>5</v>
      </c>
    </row>
    <row r="3821" spans="25:33">
      <c r="Y3821" s="47">
        <v>3817</v>
      </c>
      <c r="Z3821" s="52" t="s">
        <v>407</v>
      </c>
      <c r="AA3821" s="52" t="s">
        <v>247</v>
      </c>
      <c r="AB3821" s="52" t="s">
        <v>247</v>
      </c>
      <c r="AC3821" s="52" t="s">
        <v>247</v>
      </c>
      <c r="AD3821" s="52" t="s">
        <v>1</v>
      </c>
      <c r="AE3821" s="52" t="s">
        <v>373</v>
      </c>
      <c r="AF3821" s="155" t="s">
        <v>247</v>
      </c>
      <c r="AG3821" s="155" t="s">
        <v>247</v>
      </c>
    </row>
    <row r="3822" spans="25:33">
      <c r="Y3822" s="47">
        <v>3818</v>
      </c>
      <c r="Z3822" s="52" t="s">
        <v>407</v>
      </c>
      <c r="AA3822" s="52" t="s">
        <v>247</v>
      </c>
      <c r="AB3822" s="52" t="s">
        <v>247</v>
      </c>
      <c r="AC3822" s="52">
        <v>5</v>
      </c>
      <c r="AD3822" s="52" t="s">
        <v>2</v>
      </c>
      <c r="AE3822" s="52" t="s">
        <v>373</v>
      </c>
      <c r="AF3822" s="155" t="s">
        <v>559</v>
      </c>
      <c r="AG3822" s="155">
        <v>5</v>
      </c>
    </row>
    <row r="3823" spans="25:33">
      <c r="Y3823" s="47">
        <v>3819</v>
      </c>
      <c r="Z3823" s="52" t="s">
        <v>407</v>
      </c>
      <c r="AA3823" s="52" t="s">
        <v>247</v>
      </c>
      <c r="AB3823" s="52" t="s">
        <v>247</v>
      </c>
      <c r="AC3823" s="52" t="s">
        <v>247</v>
      </c>
      <c r="AD3823" s="52" t="s">
        <v>1</v>
      </c>
      <c r="AE3823" s="52" t="s">
        <v>373</v>
      </c>
      <c r="AF3823" s="155" t="s">
        <v>247</v>
      </c>
      <c r="AG3823" s="155" t="s">
        <v>247</v>
      </c>
    </row>
    <row r="3824" spans="25:33">
      <c r="Y3824" s="47">
        <v>3820</v>
      </c>
      <c r="Z3824" s="52" t="s">
        <v>407</v>
      </c>
      <c r="AA3824" s="52" t="s">
        <v>247</v>
      </c>
      <c r="AB3824" s="52" t="s">
        <v>247</v>
      </c>
      <c r="AC3824" s="52">
        <v>5</v>
      </c>
      <c r="AD3824" s="52" t="s">
        <v>2</v>
      </c>
      <c r="AE3824" s="52" t="s">
        <v>373</v>
      </c>
      <c r="AF3824" s="155" t="s">
        <v>559</v>
      </c>
      <c r="AG3824" s="155">
        <v>5</v>
      </c>
    </row>
    <row r="3825" spans="25:33">
      <c r="Y3825" s="47">
        <v>3821</v>
      </c>
      <c r="Z3825" s="52" t="s">
        <v>407</v>
      </c>
      <c r="AA3825" s="52" t="s">
        <v>247</v>
      </c>
      <c r="AB3825" s="52" t="s">
        <v>247</v>
      </c>
      <c r="AC3825" s="52">
        <v>5</v>
      </c>
      <c r="AD3825" s="52" t="s">
        <v>2</v>
      </c>
      <c r="AE3825" s="52" t="s">
        <v>373</v>
      </c>
      <c r="AF3825" s="155" t="s">
        <v>559</v>
      </c>
      <c r="AG3825" s="155">
        <v>5</v>
      </c>
    </row>
    <row r="3826" spans="25:33">
      <c r="Y3826" s="47">
        <v>3822</v>
      </c>
      <c r="Z3826" s="52" t="s">
        <v>407</v>
      </c>
      <c r="AA3826" s="52" t="s">
        <v>247</v>
      </c>
      <c r="AB3826" s="52" t="s">
        <v>247</v>
      </c>
      <c r="AC3826" s="52">
        <v>5</v>
      </c>
      <c r="AD3826" s="52" t="s">
        <v>2</v>
      </c>
      <c r="AE3826" s="52" t="s">
        <v>373</v>
      </c>
      <c r="AF3826" s="155" t="s">
        <v>559</v>
      </c>
      <c r="AG3826" s="155">
        <v>5</v>
      </c>
    </row>
    <row r="3827" spans="25:33">
      <c r="Y3827" s="47">
        <v>3823</v>
      </c>
      <c r="Z3827" s="52" t="s">
        <v>407</v>
      </c>
      <c r="AA3827" s="52" t="s">
        <v>247</v>
      </c>
      <c r="AB3827" s="52" t="s">
        <v>247</v>
      </c>
      <c r="AC3827" s="52">
        <v>5</v>
      </c>
      <c r="AD3827" s="52" t="s">
        <v>2</v>
      </c>
      <c r="AE3827" s="52" t="s">
        <v>373</v>
      </c>
      <c r="AF3827" s="155" t="s">
        <v>559</v>
      </c>
      <c r="AG3827" s="155">
        <v>5</v>
      </c>
    </row>
    <row r="3828" spans="25:33">
      <c r="Y3828" s="47">
        <v>3824</v>
      </c>
      <c r="Z3828" s="52" t="s">
        <v>407</v>
      </c>
      <c r="AA3828" s="52" t="s">
        <v>247</v>
      </c>
      <c r="AB3828" s="52" t="s">
        <v>247</v>
      </c>
      <c r="AC3828" s="52">
        <v>5</v>
      </c>
      <c r="AD3828" s="52" t="s">
        <v>2</v>
      </c>
      <c r="AE3828" s="52" t="s">
        <v>373</v>
      </c>
      <c r="AF3828" s="155" t="s">
        <v>559</v>
      </c>
      <c r="AG3828" s="155">
        <v>5</v>
      </c>
    </row>
    <row r="3829" spans="25:33">
      <c r="Y3829" s="47">
        <v>3825</v>
      </c>
      <c r="Z3829" s="52" t="s">
        <v>411</v>
      </c>
      <c r="AA3829" s="52" t="s">
        <v>247</v>
      </c>
      <c r="AB3829" s="52" t="s">
        <v>247</v>
      </c>
      <c r="AC3829" s="52">
        <v>5</v>
      </c>
      <c r="AD3829" s="52" t="s">
        <v>2</v>
      </c>
      <c r="AE3829" s="52" t="s">
        <v>373</v>
      </c>
      <c r="AF3829" s="155" t="s">
        <v>559</v>
      </c>
      <c r="AG3829" s="155">
        <v>5</v>
      </c>
    </row>
    <row r="3830" spans="25:33">
      <c r="Y3830" s="47">
        <v>3831</v>
      </c>
      <c r="Z3830" s="52" t="s">
        <v>407</v>
      </c>
      <c r="AA3830" s="52" t="s">
        <v>247</v>
      </c>
      <c r="AB3830" s="52" t="s">
        <v>247</v>
      </c>
      <c r="AC3830" s="52">
        <v>5</v>
      </c>
      <c r="AD3830" s="52" t="s">
        <v>2</v>
      </c>
      <c r="AE3830" s="52" t="s">
        <v>373</v>
      </c>
      <c r="AF3830" s="155" t="s">
        <v>559</v>
      </c>
      <c r="AG3830" s="155">
        <v>5</v>
      </c>
    </row>
    <row r="3831" spans="25:33">
      <c r="Y3831" s="47">
        <v>3832</v>
      </c>
      <c r="Z3831" s="52" t="s">
        <v>407</v>
      </c>
      <c r="AA3831" s="52" t="s">
        <v>247</v>
      </c>
      <c r="AB3831" s="52" t="s">
        <v>247</v>
      </c>
      <c r="AC3831" s="52">
        <v>5</v>
      </c>
      <c r="AD3831" s="52" t="s">
        <v>2</v>
      </c>
      <c r="AE3831" s="52" t="s">
        <v>373</v>
      </c>
      <c r="AF3831" s="155" t="s">
        <v>559</v>
      </c>
      <c r="AG3831" s="155">
        <v>5</v>
      </c>
    </row>
    <row r="3832" spans="25:33">
      <c r="Y3832" s="47">
        <v>3833</v>
      </c>
      <c r="Z3832" s="52" t="s">
        <v>407</v>
      </c>
      <c r="AA3832" s="52" t="s">
        <v>247</v>
      </c>
      <c r="AB3832" s="52" t="s">
        <v>247</v>
      </c>
      <c r="AC3832" s="52">
        <v>5</v>
      </c>
      <c r="AD3832" s="52" t="s">
        <v>2</v>
      </c>
      <c r="AE3832" s="52" t="s">
        <v>373</v>
      </c>
      <c r="AF3832" s="155" t="s">
        <v>560</v>
      </c>
      <c r="AG3832" s="155">
        <v>5</v>
      </c>
    </row>
    <row r="3833" spans="25:33">
      <c r="Y3833" s="47">
        <v>3834</v>
      </c>
      <c r="Z3833" s="52" t="s">
        <v>407</v>
      </c>
      <c r="AA3833" s="52" t="s">
        <v>247</v>
      </c>
      <c r="AB3833" s="52" t="s">
        <v>247</v>
      </c>
      <c r="AC3833" s="52" t="s">
        <v>247</v>
      </c>
      <c r="AD3833" s="52" t="s">
        <v>1</v>
      </c>
      <c r="AE3833" s="52" t="s">
        <v>373</v>
      </c>
      <c r="AF3833" s="155" t="s">
        <v>247</v>
      </c>
      <c r="AG3833" s="155" t="s">
        <v>247</v>
      </c>
    </row>
    <row r="3834" spans="25:33">
      <c r="Y3834" s="47">
        <v>3835</v>
      </c>
      <c r="Z3834" s="52" t="s">
        <v>407</v>
      </c>
      <c r="AA3834" s="52" t="s">
        <v>247</v>
      </c>
      <c r="AB3834" s="52" t="s">
        <v>247</v>
      </c>
      <c r="AC3834" s="52">
        <v>5</v>
      </c>
      <c r="AD3834" s="52" t="s">
        <v>2</v>
      </c>
      <c r="AE3834" s="52" t="s">
        <v>373</v>
      </c>
      <c r="AF3834" s="155" t="s">
        <v>559</v>
      </c>
      <c r="AG3834" s="155">
        <v>5</v>
      </c>
    </row>
    <row r="3835" spans="25:33">
      <c r="Y3835" s="47">
        <v>3840</v>
      </c>
      <c r="Z3835" s="52" t="s">
        <v>411</v>
      </c>
      <c r="AA3835" s="52" t="s">
        <v>247</v>
      </c>
      <c r="AB3835" s="52" t="s">
        <v>247</v>
      </c>
      <c r="AC3835" s="52">
        <v>4</v>
      </c>
      <c r="AD3835" s="52" t="s">
        <v>2</v>
      </c>
      <c r="AE3835" s="52" t="s">
        <v>373</v>
      </c>
      <c r="AF3835" s="155" t="s">
        <v>559</v>
      </c>
      <c r="AG3835" s="155">
        <v>4</v>
      </c>
    </row>
    <row r="3836" spans="25:33">
      <c r="Y3836" s="47">
        <v>3841</v>
      </c>
      <c r="Z3836" s="52" t="s">
        <v>411</v>
      </c>
      <c r="AA3836" s="52" t="s">
        <v>247</v>
      </c>
      <c r="AB3836" s="52" t="s">
        <v>247</v>
      </c>
      <c r="AC3836" s="52">
        <v>4</v>
      </c>
      <c r="AD3836" s="52" t="s">
        <v>2</v>
      </c>
      <c r="AE3836" s="52" t="s">
        <v>373</v>
      </c>
      <c r="AF3836" s="155" t="s">
        <v>559</v>
      </c>
      <c r="AG3836" s="155">
        <v>4</v>
      </c>
    </row>
    <row r="3837" spans="25:33">
      <c r="Y3837" s="47">
        <v>3842</v>
      </c>
      <c r="Z3837" s="52" t="s">
        <v>411</v>
      </c>
      <c r="AA3837" s="52" t="s">
        <v>247</v>
      </c>
      <c r="AB3837" s="52" t="s">
        <v>247</v>
      </c>
      <c r="AC3837" s="52">
        <v>4</v>
      </c>
      <c r="AD3837" s="52" t="s">
        <v>2</v>
      </c>
      <c r="AE3837" s="52" t="s">
        <v>373</v>
      </c>
      <c r="AF3837" s="155" t="s">
        <v>559</v>
      </c>
      <c r="AG3837" s="155">
        <v>4</v>
      </c>
    </row>
    <row r="3838" spans="25:33">
      <c r="Y3838" s="47">
        <v>3843</v>
      </c>
      <c r="Z3838" s="52" t="s">
        <v>411</v>
      </c>
      <c r="AA3838" s="52" t="s">
        <v>247</v>
      </c>
      <c r="AB3838" s="52" t="s">
        <v>247</v>
      </c>
      <c r="AC3838" s="52" t="s">
        <v>247</v>
      </c>
      <c r="AD3838" s="52" t="s">
        <v>1</v>
      </c>
      <c r="AE3838" s="52" t="s">
        <v>373</v>
      </c>
      <c r="AF3838" s="155" t="s">
        <v>247</v>
      </c>
      <c r="AG3838" s="155" t="s">
        <v>247</v>
      </c>
    </row>
    <row r="3839" spans="25:33">
      <c r="Y3839" s="47">
        <v>3844</v>
      </c>
      <c r="Z3839" s="52" t="s">
        <v>411</v>
      </c>
      <c r="AA3839" s="52" t="s">
        <v>247</v>
      </c>
      <c r="AB3839" s="52" t="s">
        <v>247</v>
      </c>
      <c r="AC3839" s="52">
        <v>4</v>
      </c>
      <c r="AD3839" s="52" t="s">
        <v>2</v>
      </c>
      <c r="AE3839" s="52" t="s">
        <v>373</v>
      </c>
      <c r="AF3839" s="155" t="s">
        <v>559</v>
      </c>
      <c r="AG3839" s="155">
        <v>4</v>
      </c>
    </row>
    <row r="3840" spans="25:33">
      <c r="Y3840" s="47">
        <v>3845</v>
      </c>
      <c r="Z3840" s="52" t="s">
        <v>411</v>
      </c>
      <c r="AA3840" s="52" t="s">
        <v>247</v>
      </c>
      <c r="AB3840" s="52" t="s">
        <v>247</v>
      </c>
      <c r="AC3840" s="52" t="s">
        <v>247</v>
      </c>
      <c r="AD3840" s="52" t="s">
        <v>1</v>
      </c>
      <c r="AE3840" s="52" t="s">
        <v>373</v>
      </c>
      <c r="AF3840" s="155" t="s">
        <v>247</v>
      </c>
      <c r="AG3840" s="155" t="s">
        <v>247</v>
      </c>
    </row>
    <row r="3841" spans="25:33">
      <c r="Y3841" s="47">
        <v>3846</v>
      </c>
      <c r="Z3841" s="52" t="s">
        <v>411</v>
      </c>
      <c r="AA3841" s="52" t="s">
        <v>247</v>
      </c>
      <c r="AB3841" s="52" t="s">
        <v>247</v>
      </c>
      <c r="AC3841" s="52" t="s">
        <v>247</v>
      </c>
      <c r="AD3841" s="52" t="s">
        <v>1</v>
      </c>
      <c r="AE3841" s="52" t="s">
        <v>373</v>
      </c>
      <c r="AF3841" s="155" t="s">
        <v>247</v>
      </c>
      <c r="AG3841" s="155" t="s">
        <v>247</v>
      </c>
    </row>
    <row r="3842" spans="25:33">
      <c r="Y3842" s="47">
        <v>3847</v>
      </c>
      <c r="Z3842" s="52" t="s">
        <v>411</v>
      </c>
      <c r="AA3842" s="52" t="s">
        <v>247</v>
      </c>
      <c r="AB3842" s="52" t="s">
        <v>247</v>
      </c>
      <c r="AC3842" s="52">
        <v>4</v>
      </c>
      <c r="AD3842" s="52" t="s">
        <v>2</v>
      </c>
      <c r="AE3842" s="52" t="s">
        <v>373</v>
      </c>
      <c r="AF3842" s="155" t="s">
        <v>559</v>
      </c>
      <c r="AG3842" s="155">
        <v>4</v>
      </c>
    </row>
    <row r="3843" spans="25:33">
      <c r="Y3843" s="47">
        <v>3848</v>
      </c>
      <c r="Z3843" s="52" t="s">
        <v>411</v>
      </c>
      <c r="AA3843" s="52" t="s">
        <v>247</v>
      </c>
      <c r="AB3843" s="52" t="s">
        <v>247</v>
      </c>
      <c r="AC3843" s="52" t="s">
        <v>247</v>
      </c>
      <c r="AD3843" s="52" t="s">
        <v>1</v>
      </c>
      <c r="AE3843" s="52" t="s">
        <v>373</v>
      </c>
      <c r="AF3843" s="155" t="s">
        <v>247</v>
      </c>
      <c r="AG3843" s="155" t="s">
        <v>247</v>
      </c>
    </row>
    <row r="3844" spans="25:33">
      <c r="Y3844" s="47">
        <v>3849</v>
      </c>
      <c r="Z3844" s="52" t="s">
        <v>411</v>
      </c>
      <c r="AA3844" s="52" t="s">
        <v>247</v>
      </c>
      <c r="AB3844" s="52" t="s">
        <v>247</v>
      </c>
      <c r="AC3844" s="52" t="s">
        <v>247</v>
      </c>
      <c r="AD3844" s="52" t="s">
        <v>1</v>
      </c>
      <c r="AE3844" s="52" t="s">
        <v>373</v>
      </c>
      <c r="AF3844" s="155" t="s">
        <v>247</v>
      </c>
      <c r="AG3844" s="155" t="s">
        <v>247</v>
      </c>
    </row>
    <row r="3845" spans="25:33">
      <c r="Y3845" s="47">
        <v>3850</v>
      </c>
      <c r="Z3845" s="52" t="s">
        <v>411</v>
      </c>
      <c r="AA3845" s="52" t="s">
        <v>247</v>
      </c>
      <c r="AB3845" s="52" t="s">
        <v>247</v>
      </c>
      <c r="AC3845" s="52">
        <v>4</v>
      </c>
      <c r="AD3845" s="52" t="s">
        <v>2</v>
      </c>
      <c r="AE3845" s="52" t="s">
        <v>373</v>
      </c>
      <c r="AF3845" s="155" t="s">
        <v>559</v>
      </c>
      <c r="AG3845" s="155">
        <v>4</v>
      </c>
    </row>
    <row r="3846" spans="25:33">
      <c r="Y3846" s="47">
        <v>3851</v>
      </c>
      <c r="Z3846" s="52" t="s">
        <v>411</v>
      </c>
      <c r="AA3846" s="52" t="s">
        <v>247</v>
      </c>
      <c r="AB3846" s="52" t="s">
        <v>247</v>
      </c>
      <c r="AC3846" s="52">
        <v>4</v>
      </c>
      <c r="AD3846" s="52" t="s">
        <v>2</v>
      </c>
      <c r="AE3846" s="52" t="s">
        <v>373</v>
      </c>
      <c r="AF3846" s="155" t="s">
        <v>559</v>
      </c>
      <c r="AG3846" s="155">
        <v>4</v>
      </c>
    </row>
    <row r="3847" spans="25:33">
      <c r="Y3847" s="47">
        <v>3852</v>
      </c>
      <c r="Z3847" s="52" t="s">
        <v>411</v>
      </c>
      <c r="AA3847" s="52" t="s">
        <v>247</v>
      </c>
      <c r="AB3847" s="52" t="s">
        <v>247</v>
      </c>
      <c r="AC3847" s="52">
        <v>4</v>
      </c>
      <c r="AD3847" s="52" t="s">
        <v>2</v>
      </c>
      <c r="AE3847" s="52" t="s">
        <v>373</v>
      </c>
      <c r="AF3847" s="155" t="s">
        <v>559</v>
      </c>
      <c r="AG3847" s="155">
        <v>4</v>
      </c>
    </row>
    <row r="3848" spans="25:33">
      <c r="Y3848" s="47">
        <v>3853</v>
      </c>
      <c r="Z3848" s="52" t="s">
        <v>411</v>
      </c>
      <c r="AA3848" s="52" t="s">
        <v>247</v>
      </c>
      <c r="AB3848" s="52" t="s">
        <v>247</v>
      </c>
      <c r="AC3848" s="52">
        <v>4</v>
      </c>
      <c r="AD3848" s="52" t="s">
        <v>2</v>
      </c>
      <c r="AE3848" s="52" t="s">
        <v>373</v>
      </c>
      <c r="AF3848" s="155" t="s">
        <v>559</v>
      </c>
      <c r="AG3848" s="155">
        <v>4</v>
      </c>
    </row>
    <row r="3849" spans="25:33">
      <c r="Y3849" s="47">
        <v>3854</v>
      </c>
      <c r="Z3849" s="52" t="s">
        <v>411</v>
      </c>
      <c r="AA3849" s="52" t="s">
        <v>247</v>
      </c>
      <c r="AB3849" s="52" t="s">
        <v>247</v>
      </c>
      <c r="AC3849" s="52">
        <v>4</v>
      </c>
      <c r="AD3849" s="52" t="s">
        <v>2</v>
      </c>
      <c r="AE3849" s="52" t="s">
        <v>373</v>
      </c>
      <c r="AF3849" s="155" t="s">
        <v>559</v>
      </c>
      <c r="AG3849" s="155">
        <v>4</v>
      </c>
    </row>
    <row r="3850" spans="25:33">
      <c r="Y3850" s="47">
        <v>3855</v>
      </c>
      <c r="Z3850" s="52" t="s">
        <v>411</v>
      </c>
      <c r="AA3850" s="52" t="s">
        <v>247</v>
      </c>
      <c r="AB3850" s="52" t="s">
        <v>247</v>
      </c>
      <c r="AC3850" s="52" t="s">
        <v>247</v>
      </c>
      <c r="AD3850" s="52" t="s">
        <v>1</v>
      </c>
      <c r="AE3850" s="52" t="s">
        <v>373</v>
      </c>
      <c r="AF3850" s="155" t="s">
        <v>247</v>
      </c>
      <c r="AG3850" s="155" t="s">
        <v>247</v>
      </c>
    </row>
    <row r="3851" spans="25:33">
      <c r="Y3851" s="47">
        <v>3856</v>
      </c>
      <c r="Z3851" s="52" t="s">
        <v>411</v>
      </c>
      <c r="AA3851" s="52" t="s">
        <v>247</v>
      </c>
      <c r="AB3851" s="52" t="s">
        <v>247</v>
      </c>
      <c r="AC3851" s="52">
        <v>4</v>
      </c>
      <c r="AD3851" s="52" t="s">
        <v>2</v>
      </c>
      <c r="AE3851" s="52" t="s">
        <v>373</v>
      </c>
      <c r="AF3851" s="155" t="s">
        <v>559</v>
      </c>
      <c r="AG3851" s="155">
        <v>4</v>
      </c>
    </row>
    <row r="3852" spans="25:33">
      <c r="Y3852" s="47">
        <v>3857</v>
      </c>
      <c r="Z3852" s="52" t="s">
        <v>411</v>
      </c>
      <c r="AA3852" s="52" t="s">
        <v>247</v>
      </c>
      <c r="AB3852" s="52" t="s">
        <v>247</v>
      </c>
      <c r="AC3852" s="52">
        <v>4</v>
      </c>
      <c r="AD3852" s="52" t="s">
        <v>2</v>
      </c>
      <c r="AE3852" s="52" t="s">
        <v>373</v>
      </c>
      <c r="AF3852" s="155" t="s">
        <v>559</v>
      </c>
      <c r="AG3852" s="155">
        <v>4</v>
      </c>
    </row>
    <row r="3853" spans="25:33">
      <c r="Y3853" s="47">
        <v>3858</v>
      </c>
      <c r="Z3853" s="52" t="s">
        <v>411</v>
      </c>
      <c r="AA3853" s="52" t="s">
        <v>247</v>
      </c>
      <c r="AB3853" s="52" t="s">
        <v>247</v>
      </c>
      <c r="AC3853" s="52">
        <v>5</v>
      </c>
      <c r="AD3853" s="52" t="s">
        <v>2</v>
      </c>
      <c r="AE3853" s="52" t="s">
        <v>373</v>
      </c>
      <c r="AF3853" s="155" t="s">
        <v>559</v>
      </c>
      <c r="AG3853" s="155">
        <v>5</v>
      </c>
    </row>
    <row r="3854" spans="25:33">
      <c r="Y3854" s="47">
        <v>3859</v>
      </c>
      <c r="Z3854" s="52" t="s">
        <v>411</v>
      </c>
      <c r="AA3854" s="52" t="s">
        <v>247</v>
      </c>
      <c r="AB3854" s="52" t="s">
        <v>247</v>
      </c>
      <c r="AC3854" s="52">
        <v>4</v>
      </c>
      <c r="AD3854" s="52" t="s">
        <v>2</v>
      </c>
      <c r="AE3854" s="52" t="s">
        <v>373</v>
      </c>
      <c r="AF3854" s="155" t="s">
        <v>559</v>
      </c>
      <c r="AG3854" s="155">
        <v>4</v>
      </c>
    </row>
    <row r="3855" spans="25:33">
      <c r="Y3855" s="47">
        <v>3860</v>
      </c>
      <c r="Z3855" s="52" t="s">
        <v>411</v>
      </c>
      <c r="AA3855" s="52" t="s">
        <v>247</v>
      </c>
      <c r="AB3855" s="52" t="s">
        <v>247</v>
      </c>
      <c r="AC3855" s="52">
        <v>4</v>
      </c>
      <c r="AD3855" s="52" t="s">
        <v>2</v>
      </c>
      <c r="AE3855" s="52" t="s">
        <v>373</v>
      </c>
      <c r="AF3855" s="155" t="s">
        <v>560</v>
      </c>
      <c r="AG3855" s="155">
        <v>4</v>
      </c>
    </row>
    <row r="3856" spans="25:33">
      <c r="Y3856" s="47">
        <v>3861</v>
      </c>
      <c r="Z3856" s="52" t="s">
        <v>411</v>
      </c>
      <c r="AA3856" s="52" t="s">
        <v>247</v>
      </c>
      <c r="AB3856" s="52" t="s">
        <v>247</v>
      </c>
      <c r="AC3856" s="52" t="s">
        <v>247</v>
      </c>
      <c r="AD3856" s="52" t="s">
        <v>1</v>
      </c>
      <c r="AE3856" s="52" t="s">
        <v>373</v>
      </c>
      <c r="AF3856" s="155" t="s">
        <v>247</v>
      </c>
      <c r="AG3856" s="155" t="s">
        <v>247</v>
      </c>
    </row>
    <row r="3857" spans="25:33">
      <c r="Y3857" s="47">
        <v>3862</v>
      </c>
      <c r="Z3857" s="52" t="s">
        <v>411</v>
      </c>
      <c r="AA3857" s="52" t="s">
        <v>247</v>
      </c>
      <c r="AB3857" s="52" t="s">
        <v>247</v>
      </c>
      <c r="AC3857" s="52">
        <v>5</v>
      </c>
      <c r="AD3857" s="52" t="s">
        <v>2</v>
      </c>
      <c r="AE3857" s="52" t="s">
        <v>373</v>
      </c>
      <c r="AF3857" s="155" t="s">
        <v>560</v>
      </c>
      <c r="AG3857" s="155">
        <v>5</v>
      </c>
    </row>
    <row r="3858" spans="25:33">
      <c r="Y3858" s="47">
        <v>3863</v>
      </c>
      <c r="Z3858" s="52" t="s">
        <v>411</v>
      </c>
      <c r="AA3858" s="52" t="s">
        <v>247</v>
      </c>
      <c r="AB3858" s="52" t="s">
        <v>247</v>
      </c>
      <c r="AC3858" s="52" t="s">
        <v>247</v>
      </c>
      <c r="AD3858" s="52" t="s">
        <v>1</v>
      </c>
      <c r="AE3858" s="52" t="s">
        <v>373</v>
      </c>
      <c r="AF3858" s="155" t="s">
        <v>247</v>
      </c>
      <c r="AG3858" s="155" t="s">
        <v>247</v>
      </c>
    </row>
    <row r="3859" spans="25:33">
      <c r="Y3859" s="47">
        <v>3864</v>
      </c>
      <c r="Z3859" s="52" t="s">
        <v>411</v>
      </c>
      <c r="AA3859" s="52" t="s">
        <v>247</v>
      </c>
      <c r="AB3859" s="52" t="s">
        <v>247</v>
      </c>
      <c r="AC3859" s="52">
        <v>4</v>
      </c>
      <c r="AD3859" s="52" t="s">
        <v>2</v>
      </c>
      <c r="AE3859" s="52" t="s">
        <v>373</v>
      </c>
      <c r="AF3859" s="155" t="s">
        <v>560</v>
      </c>
      <c r="AG3859" s="155">
        <v>4</v>
      </c>
    </row>
    <row r="3860" spans="25:33">
      <c r="Y3860" s="47">
        <v>3865</v>
      </c>
      <c r="Z3860" s="52" t="s">
        <v>411</v>
      </c>
      <c r="AA3860" s="52" t="s">
        <v>247</v>
      </c>
      <c r="AB3860" s="52" t="s">
        <v>247</v>
      </c>
      <c r="AC3860" s="52">
        <v>4</v>
      </c>
      <c r="AD3860" s="52" t="s">
        <v>2</v>
      </c>
      <c r="AE3860" s="52" t="s">
        <v>373</v>
      </c>
      <c r="AF3860" s="155" t="s">
        <v>559</v>
      </c>
      <c r="AG3860" s="155">
        <v>4</v>
      </c>
    </row>
    <row r="3861" spans="25:33">
      <c r="Y3861" s="47">
        <v>3866</v>
      </c>
      <c r="Z3861" s="52" t="s">
        <v>411</v>
      </c>
      <c r="AA3861" s="52" t="s">
        <v>247</v>
      </c>
      <c r="AB3861" s="52" t="s">
        <v>247</v>
      </c>
      <c r="AC3861" s="52" t="s">
        <v>247</v>
      </c>
      <c r="AD3861" s="52" t="s">
        <v>1</v>
      </c>
      <c r="AE3861" s="52" t="s">
        <v>373</v>
      </c>
      <c r="AF3861" s="155" t="s">
        <v>247</v>
      </c>
      <c r="AG3861" s="155" t="s">
        <v>247</v>
      </c>
    </row>
    <row r="3862" spans="25:33">
      <c r="Y3862" s="47">
        <v>3867</v>
      </c>
      <c r="Z3862" s="52" t="s">
        <v>411</v>
      </c>
      <c r="AA3862" s="52" t="s">
        <v>247</v>
      </c>
      <c r="AB3862" s="52" t="s">
        <v>247</v>
      </c>
      <c r="AC3862" s="52" t="s">
        <v>247</v>
      </c>
      <c r="AD3862" s="52" t="s">
        <v>1</v>
      </c>
      <c r="AE3862" s="52" t="s">
        <v>373</v>
      </c>
      <c r="AF3862" s="155" t="s">
        <v>247</v>
      </c>
      <c r="AG3862" s="155" t="s">
        <v>247</v>
      </c>
    </row>
    <row r="3863" spans="25:33">
      <c r="Y3863" s="47">
        <v>3868</v>
      </c>
      <c r="Z3863" s="52" t="s">
        <v>411</v>
      </c>
      <c r="AA3863" s="52" t="s">
        <v>247</v>
      </c>
      <c r="AB3863" s="52" t="s">
        <v>247</v>
      </c>
      <c r="AC3863" s="52" t="s">
        <v>247</v>
      </c>
      <c r="AD3863" s="52" t="s">
        <v>1</v>
      </c>
      <c r="AE3863" s="52" t="s">
        <v>373</v>
      </c>
      <c r="AF3863" s="155" t="s">
        <v>247</v>
      </c>
      <c r="AG3863" s="155" t="s">
        <v>247</v>
      </c>
    </row>
    <row r="3864" spans="25:33">
      <c r="Y3864" s="47">
        <v>3869</v>
      </c>
      <c r="Z3864" s="52" t="s">
        <v>411</v>
      </c>
      <c r="AA3864" s="52" t="s">
        <v>247</v>
      </c>
      <c r="AB3864" s="52" t="s">
        <v>247</v>
      </c>
      <c r="AC3864" s="52">
        <v>4</v>
      </c>
      <c r="AD3864" s="52" t="s">
        <v>2</v>
      </c>
      <c r="AE3864" s="52" t="s">
        <v>373</v>
      </c>
      <c r="AF3864" s="155" t="s">
        <v>559</v>
      </c>
      <c r="AG3864" s="155">
        <v>4</v>
      </c>
    </row>
    <row r="3865" spans="25:33">
      <c r="Y3865" s="47">
        <v>3870</v>
      </c>
      <c r="Z3865" s="52" t="s">
        <v>411</v>
      </c>
      <c r="AA3865" s="52" t="s">
        <v>247</v>
      </c>
      <c r="AB3865" s="52" t="s">
        <v>247</v>
      </c>
      <c r="AC3865" s="52">
        <v>4</v>
      </c>
      <c r="AD3865" s="52" t="s">
        <v>2</v>
      </c>
      <c r="AE3865" s="52" t="s">
        <v>373</v>
      </c>
      <c r="AF3865" s="155" t="s">
        <v>559</v>
      </c>
      <c r="AG3865" s="155">
        <v>4</v>
      </c>
    </row>
    <row r="3866" spans="25:33">
      <c r="Y3866" s="47">
        <v>3871</v>
      </c>
      <c r="Z3866" s="52" t="s">
        <v>411</v>
      </c>
      <c r="AA3866" s="52" t="s">
        <v>247</v>
      </c>
      <c r="AB3866" s="52" t="s">
        <v>247</v>
      </c>
      <c r="AC3866" s="52">
        <v>4</v>
      </c>
      <c r="AD3866" s="52" t="s">
        <v>2</v>
      </c>
      <c r="AE3866" s="52" t="s">
        <v>373</v>
      </c>
      <c r="AF3866" s="155" t="s">
        <v>559</v>
      </c>
      <c r="AG3866" s="155">
        <v>4</v>
      </c>
    </row>
    <row r="3867" spans="25:33">
      <c r="Y3867" s="47">
        <v>3872</v>
      </c>
      <c r="Z3867" s="52" t="s">
        <v>411</v>
      </c>
      <c r="AA3867" s="52" t="s">
        <v>247</v>
      </c>
      <c r="AB3867" s="52" t="s">
        <v>247</v>
      </c>
      <c r="AC3867" s="52" t="s">
        <v>247</v>
      </c>
      <c r="AD3867" s="52" t="s">
        <v>1</v>
      </c>
      <c r="AE3867" s="52" t="s">
        <v>373</v>
      </c>
      <c r="AF3867" s="155" t="s">
        <v>247</v>
      </c>
      <c r="AG3867" s="155" t="s">
        <v>247</v>
      </c>
    </row>
    <row r="3868" spans="25:33">
      <c r="Y3868" s="47">
        <v>3873</v>
      </c>
      <c r="Z3868" s="52" t="s">
        <v>411</v>
      </c>
      <c r="AA3868" s="52" t="s">
        <v>247</v>
      </c>
      <c r="AB3868" s="52" t="s">
        <v>247</v>
      </c>
      <c r="AC3868" s="52">
        <v>4</v>
      </c>
      <c r="AD3868" s="52" t="s">
        <v>2</v>
      </c>
      <c r="AE3868" s="52" t="s">
        <v>373</v>
      </c>
      <c r="AF3868" s="155" t="s">
        <v>559</v>
      </c>
      <c r="AG3868" s="155">
        <v>4</v>
      </c>
    </row>
    <row r="3869" spans="25:33">
      <c r="Y3869" s="47">
        <v>3874</v>
      </c>
      <c r="Z3869" s="52" t="s">
        <v>411</v>
      </c>
      <c r="AA3869" s="52" t="s">
        <v>247</v>
      </c>
      <c r="AB3869" s="52" t="s">
        <v>247</v>
      </c>
      <c r="AC3869" s="52">
        <v>4</v>
      </c>
      <c r="AD3869" s="52" t="s">
        <v>2</v>
      </c>
      <c r="AE3869" s="52" t="s">
        <v>373</v>
      </c>
      <c r="AF3869" s="155" t="s">
        <v>559</v>
      </c>
      <c r="AG3869" s="155">
        <v>4</v>
      </c>
    </row>
    <row r="3870" spans="25:33">
      <c r="Y3870" s="47">
        <v>3875</v>
      </c>
      <c r="Z3870" s="52" t="s">
        <v>411</v>
      </c>
      <c r="AA3870" s="52" t="s">
        <v>247</v>
      </c>
      <c r="AB3870" s="52" t="s">
        <v>247</v>
      </c>
      <c r="AC3870" s="52">
        <v>4</v>
      </c>
      <c r="AD3870" s="52" t="s">
        <v>2</v>
      </c>
      <c r="AE3870" s="52" t="s">
        <v>373</v>
      </c>
      <c r="AF3870" s="155" t="s">
        <v>559</v>
      </c>
      <c r="AG3870" s="155">
        <v>4</v>
      </c>
    </row>
    <row r="3871" spans="25:33">
      <c r="Y3871" s="47">
        <v>3876</v>
      </c>
      <c r="Z3871" s="52" t="s">
        <v>411</v>
      </c>
      <c r="AA3871" s="52" t="s">
        <v>247</v>
      </c>
      <c r="AB3871" s="52" t="s">
        <v>247</v>
      </c>
      <c r="AC3871" s="52" t="s">
        <v>247</v>
      </c>
      <c r="AD3871" s="52" t="s">
        <v>1</v>
      </c>
      <c r="AE3871" s="52" t="s">
        <v>373</v>
      </c>
      <c r="AF3871" s="155" t="s">
        <v>247</v>
      </c>
      <c r="AG3871" s="155" t="s">
        <v>247</v>
      </c>
    </row>
    <row r="3872" spans="25:33">
      <c r="Y3872" s="47">
        <v>3877</v>
      </c>
      <c r="Z3872" s="52" t="s">
        <v>411</v>
      </c>
      <c r="AA3872" s="52" t="s">
        <v>247</v>
      </c>
      <c r="AB3872" s="52" t="s">
        <v>247</v>
      </c>
      <c r="AC3872" s="52" t="s">
        <v>247</v>
      </c>
      <c r="AD3872" s="52" t="s">
        <v>1</v>
      </c>
      <c r="AE3872" s="52" t="s">
        <v>373</v>
      </c>
      <c r="AF3872" s="155" t="s">
        <v>247</v>
      </c>
      <c r="AG3872" s="155" t="s">
        <v>247</v>
      </c>
    </row>
    <row r="3873" spans="25:33">
      <c r="Y3873" s="47">
        <v>3878</v>
      </c>
      <c r="Z3873" s="52" t="s">
        <v>411</v>
      </c>
      <c r="AA3873" s="52" t="s">
        <v>247</v>
      </c>
      <c r="AB3873" s="52" t="s">
        <v>247</v>
      </c>
      <c r="AC3873" s="52">
        <v>4</v>
      </c>
      <c r="AD3873" s="52" t="s">
        <v>2</v>
      </c>
      <c r="AE3873" s="52" t="s">
        <v>373</v>
      </c>
      <c r="AF3873" s="155" t="s">
        <v>559</v>
      </c>
      <c r="AG3873" s="155">
        <v>4</v>
      </c>
    </row>
    <row r="3874" spans="25:33">
      <c r="Y3874" s="47">
        <v>3879</v>
      </c>
      <c r="Z3874" s="52" t="s">
        <v>411</v>
      </c>
      <c r="AA3874" s="52" t="s">
        <v>247</v>
      </c>
      <c r="AB3874" s="52" t="s">
        <v>247</v>
      </c>
      <c r="AC3874" s="52" t="s">
        <v>247</v>
      </c>
      <c r="AD3874" s="52" t="s">
        <v>1</v>
      </c>
      <c r="AE3874" s="52" t="s">
        <v>373</v>
      </c>
      <c r="AF3874" s="155" t="s">
        <v>247</v>
      </c>
      <c r="AG3874" s="155" t="s">
        <v>247</v>
      </c>
    </row>
    <row r="3875" spans="25:33">
      <c r="Y3875" s="47">
        <v>3880</v>
      </c>
      <c r="Z3875" s="52" t="s">
        <v>411</v>
      </c>
      <c r="AA3875" s="52" t="s">
        <v>247</v>
      </c>
      <c r="AB3875" s="52" t="s">
        <v>247</v>
      </c>
      <c r="AC3875" s="52">
        <v>4</v>
      </c>
      <c r="AD3875" s="52" t="s">
        <v>2</v>
      </c>
      <c r="AE3875" s="52" t="s">
        <v>373</v>
      </c>
      <c r="AF3875" s="155" t="s">
        <v>559</v>
      </c>
      <c r="AG3875" s="155">
        <v>4</v>
      </c>
    </row>
    <row r="3876" spans="25:33">
      <c r="Y3876" s="47">
        <v>3881</v>
      </c>
      <c r="Z3876" s="52" t="s">
        <v>411</v>
      </c>
      <c r="AA3876" s="52" t="s">
        <v>247</v>
      </c>
      <c r="AB3876" s="52" t="s">
        <v>247</v>
      </c>
      <c r="AC3876" s="52" t="s">
        <v>247</v>
      </c>
      <c r="AD3876" s="52" t="s">
        <v>1</v>
      </c>
      <c r="AE3876" s="52" t="s">
        <v>373</v>
      </c>
      <c r="AF3876" s="155" t="s">
        <v>247</v>
      </c>
      <c r="AG3876" s="155" t="s">
        <v>247</v>
      </c>
    </row>
    <row r="3877" spans="25:33">
      <c r="Y3877" s="47">
        <v>3882</v>
      </c>
      <c r="Z3877" s="52" t="s">
        <v>411</v>
      </c>
      <c r="AA3877" s="52" t="s">
        <v>247</v>
      </c>
      <c r="AB3877" s="52" t="s">
        <v>247</v>
      </c>
      <c r="AC3877" s="52">
        <v>4</v>
      </c>
      <c r="AD3877" s="52" t="s">
        <v>2</v>
      </c>
      <c r="AE3877" s="52" t="s">
        <v>373</v>
      </c>
      <c r="AF3877" s="155" t="s">
        <v>559</v>
      </c>
      <c r="AG3877" s="155">
        <v>4</v>
      </c>
    </row>
    <row r="3878" spans="25:33">
      <c r="Y3878" s="47">
        <v>3883</v>
      </c>
      <c r="Z3878" s="52" t="s">
        <v>411</v>
      </c>
      <c r="AA3878" s="52" t="s">
        <v>247</v>
      </c>
      <c r="AB3878" s="52" t="s">
        <v>247</v>
      </c>
      <c r="AC3878" s="52" t="s">
        <v>247</v>
      </c>
      <c r="AD3878" s="52" t="s">
        <v>1</v>
      </c>
      <c r="AE3878" s="52" t="s">
        <v>373</v>
      </c>
      <c r="AF3878" s="155" t="s">
        <v>247</v>
      </c>
      <c r="AG3878" s="155" t="s">
        <v>247</v>
      </c>
    </row>
    <row r="3879" spans="25:33">
      <c r="Y3879" s="47">
        <v>3884</v>
      </c>
      <c r="Z3879" s="52" t="s">
        <v>411</v>
      </c>
      <c r="AA3879" s="52" t="s">
        <v>247</v>
      </c>
      <c r="AB3879" s="52" t="s">
        <v>247</v>
      </c>
      <c r="AC3879" s="52" t="s">
        <v>247</v>
      </c>
      <c r="AD3879" s="52" t="s">
        <v>1</v>
      </c>
      <c r="AE3879" s="52" t="s">
        <v>373</v>
      </c>
      <c r="AF3879" s="155" t="s">
        <v>247</v>
      </c>
      <c r="AG3879" s="155" t="s">
        <v>247</v>
      </c>
    </row>
    <row r="3880" spans="25:33">
      <c r="Y3880" s="47">
        <v>3885</v>
      </c>
      <c r="Z3880" s="52" t="s">
        <v>411</v>
      </c>
      <c r="AA3880" s="52" t="s">
        <v>247</v>
      </c>
      <c r="AB3880" s="52" t="s">
        <v>247</v>
      </c>
      <c r="AC3880" s="52">
        <v>5</v>
      </c>
      <c r="AD3880" s="52" t="s">
        <v>2</v>
      </c>
      <c r="AE3880" s="52" t="s">
        <v>373</v>
      </c>
      <c r="AF3880" s="155" t="s">
        <v>559</v>
      </c>
      <c r="AG3880" s="155">
        <v>5</v>
      </c>
    </row>
    <row r="3881" spans="25:33">
      <c r="Y3881" s="47">
        <v>3886</v>
      </c>
      <c r="Z3881" s="52" t="s">
        <v>411</v>
      </c>
      <c r="AA3881" s="52" t="s">
        <v>247</v>
      </c>
      <c r="AB3881" s="52" t="s">
        <v>247</v>
      </c>
      <c r="AC3881" s="52">
        <v>4</v>
      </c>
      <c r="AD3881" s="52" t="s">
        <v>2</v>
      </c>
      <c r="AE3881" s="52" t="s">
        <v>373</v>
      </c>
      <c r="AF3881" s="155" t="s">
        <v>559</v>
      </c>
      <c r="AG3881" s="155">
        <v>4</v>
      </c>
    </row>
    <row r="3882" spans="25:33">
      <c r="Y3882" s="47">
        <v>3887</v>
      </c>
      <c r="Z3882" s="52" t="s">
        <v>411</v>
      </c>
      <c r="AA3882" s="52" t="s">
        <v>247</v>
      </c>
      <c r="AB3882" s="52" t="s">
        <v>247</v>
      </c>
      <c r="AC3882" s="52">
        <v>4</v>
      </c>
      <c r="AD3882" s="52" t="s">
        <v>2</v>
      </c>
      <c r="AE3882" s="52" t="s">
        <v>373</v>
      </c>
      <c r="AF3882" s="155" t="s">
        <v>559</v>
      </c>
      <c r="AG3882" s="155">
        <v>4</v>
      </c>
    </row>
    <row r="3883" spans="25:33">
      <c r="Y3883" s="47">
        <v>3888</v>
      </c>
      <c r="Z3883" s="52" t="s">
        <v>411</v>
      </c>
      <c r="AA3883" s="52" t="s">
        <v>247</v>
      </c>
      <c r="AB3883" s="52" t="s">
        <v>247</v>
      </c>
      <c r="AC3883" s="52">
        <v>4</v>
      </c>
      <c r="AD3883" s="52" t="s">
        <v>2</v>
      </c>
      <c r="AE3883" s="52" t="s">
        <v>373</v>
      </c>
      <c r="AF3883" s="155" t="s">
        <v>559</v>
      </c>
      <c r="AG3883" s="155">
        <v>4</v>
      </c>
    </row>
    <row r="3884" spans="25:33">
      <c r="Y3884" s="47">
        <v>3889</v>
      </c>
      <c r="Z3884" s="52" t="s">
        <v>411</v>
      </c>
      <c r="AA3884" s="52" t="s">
        <v>247</v>
      </c>
      <c r="AB3884" s="52" t="s">
        <v>247</v>
      </c>
      <c r="AC3884" s="52">
        <v>4</v>
      </c>
      <c r="AD3884" s="52" t="s">
        <v>2</v>
      </c>
      <c r="AE3884" s="52" t="s">
        <v>373</v>
      </c>
      <c r="AF3884" s="155" t="s">
        <v>560</v>
      </c>
      <c r="AG3884" s="155">
        <v>4</v>
      </c>
    </row>
    <row r="3885" spans="25:33">
      <c r="Y3885" s="47">
        <v>3890</v>
      </c>
      <c r="Z3885" s="52" t="s">
        <v>411</v>
      </c>
      <c r="AA3885" s="52" t="s">
        <v>247</v>
      </c>
      <c r="AB3885" s="52" t="s">
        <v>247</v>
      </c>
      <c r="AC3885" s="52">
        <v>4</v>
      </c>
      <c r="AD3885" s="52" t="s">
        <v>2</v>
      </c>
      <c r="AE3885" s="52" t="s">
        <v>373</v>
      </c>
      <c r="AF3885" s="155" t="s">
        <v>559</v>
      </c>
      <c r="AG3885" s="155">
        <v>4</v>
      </c>
    </row>
    <row r="3886" spans="25:33">
      <c r="Y3886" s="47">
        <v>3891</v>
      </c>
      <c r="Z3886" s="52" t="s">
        <v>411</v>
      </c>
      <c r="AA3886" s="52" t="s">
        <v>247</v>
      </c>
      <c r="AB3886" s="52" t="s">
        <v>247</v>
      </c>
      <c r="AC3886" s="52">
        <v>4</v>
      </c>
      <c r="AD3886" s="52" t="s">
        <v>2</v>
      </c>
      <c r="AE3886" s="52" t="s">
        <v>373</v>
      </c>
      <c r="AF3886" s="155" t="s">
        <v>559</v>
      </c>
      <c r="AG3886" s="155">
        <v>4</v>
      </c>
    </row>
    <row r="3887" spans="25:33">
      <c r="Y3887" s="47">
        <v>3892</v>
      </c>
      <c r="Z3887" s="52" t="s">
        <v>411</v>
      </c>
      <c r="AA3887" s="52" t="s">
        <v>247</v>
      </c>
      <c r="AB3887" s="52" t="s">
        <v>247</v>
      </c>
      <c r="AC3887" s="52">
        <v>4</v>
      </c>
      <c r="AD3887" s="52" t="s">
        <v>2</v>
      </c>
      <c r="AE3887" s="52" t="s">
        <v>373</v>
      </c>
      <c r="AF3887" s="155" t="s">
        <v>559</v>
      </c>
      <c r="AG3887" s="155">
        <v>4</v>
      </c>
    </row>
    <row r="3888" spans="25:33">
      <c r="Y3888" s="47">
        <v>3893</v>
      </c>
      <c r="Z3888" s="52" t="s">
        <v>407</v>
      </c>
      <c r="AA3888" s="52" t="s">
        <v>247</v>
      </c>
      <c r="AB3888" s="52" t="s">
        <v>247</v>
      </c>
      <c r="AC3888" s="52">
        <v>5</v>
      </c>
      <c r="AD3888" s="52" t="s">
        <v>2</v>
      </c>
      <c r="AE3888" s="52" t="s">
        <v>373</v>
      </c>
      <c r="AF3888" s="155" t="s">
        <v>560</v>
      </c>
      <c r="AG3888" s="155">
        <v>5</v>
      </c>
    </row>
    <row r="3889" spans="25:33">
      <c r="Y3889" s="47">
        <v>3894</v>
      </c>
      <c r="Z3889" s="52" t="s">
        <v>407</v>
      </c>
      <c r="AA3889" s="52" t="s">
        <v>247</v>
      </c>
      <c r="AB3889" s="52" t="s">
        <v>247</v>
      </c>
      <c r="AC3889" s="52" t="s">
        <v>247</v>
      </c>
      <c r="AD3889" s="52" t="s">
        <v>1</v>
      </c>
      <c r="AE3889" s="52" t="s">
        <v>373</v>
      </c>
      <c r="AF3889" s="155" t="s">
        <v>247</v>
      </c>
      <c r="AG3889" s="155" t="s">
        <v>247</v>
      </c>
    </row>
    <row r="3890" spans="25:33">
      <c r="Y3890" s="47">
        <v>3895</v>
      </c>
      <c r="Z3890" s="52" t="s">
        <v>407</v>
      </c>
      <c r="AA3890" s="52" t="s">
        <v>247</v>
      </c>
      <c r="AB3890" s="52" t="s">
        <v>247</v>
      </c>
      <c r="AC3890" s="52">
        <v>5</v>
      </c>
      <c r="AD3890" s="52" t="s">
        <v>2</v>
      </c>
      <c r="AE3890" s="52" t="s">
        <v>373</v>
      </c>
      <c r="AF3890" s="155" t="s">
        <v>560</v>
      </c>
      <c r="AG3890" s="155">
        <v>5</v>
      </c>
    </row>
    <row r="3891" spans="25:33">
      <c r="Y3891" s="47">
        <v>3896</v>
      </c>
      <c r="Z3891" s="52" t="s">
        <v>407</v>
      </c>
      <c r="AA3891" s="52" t="s">
        <v>247</v>
      </c>
      <c r="AB3891" s="52" t="s">
        <v>247</v>
      </c>
      <c r="AC3891" s="52">
        <v>5</v>
      </c>
      <c r="AD3891" s="52" t="s">
        <v>2</v>
      </c>
      <c r="AE3891" s="52" t="s">
        <v>373</v>
      </c>
      <c r="AF3891" s="155" t="s">
        <v>560</v>
      </c>
      <c r="AG3891" s="155">
        <v>5</v>
      </c>
    </row>
    <row r="3892" spans="25:33">
      <c r="Y3892" s="47">
        <v>3897</v>
      </c>
      <c r="Z3892" s="52" t="s">
        <v>407</v>
      </c>
      <c r="AA3892" s="52" t="s">
        <v>247</v>
      </c>
      <c r="AB3892" s="52" t="s">
        <v>247</v>
      </c>
      <c r="AC3892" s="52" t="s">
        <v>247</v>
      </c>
      <c r="AD3892" s="52" t="s">
        <v>1</v>
      </c>
      <c r="AE3892" s="52" t="s">
        <v>373</v>
      </c>
      <c r="AF3892" s="155" t="s">
        <v>247</v>
      </c>
      <c r="AG3892" s="155" t="s">
        <v>247</v>
      </c>
    </row>
    <row r="3893" spans="25:33">
      <c r="Y3893" s="47">
        <v>3898</v>
      </c>
      <c r="Z3893" s="52" t="s">
        <v>407</v>
      </c>
      <c r="AA3893" s="52" t="s">
        <v>247</v>
      </c>
      <c r="AB3893" s="52" t="s">
        <v>247</v>
      </c>
      <c r="AC3893" s="52">
        <v>5</v>
      </c>
      <c r="AD3893" s="52" t="s">
        <v>2</v>
      </c>
      <c r="AE3893" s="52" t="s">
        <v>373</v>
      </c>
      <c r="AF3893" s="155" t="s">
        <v>560</v>
      </c>
      <c r="AG3893" s="155">
        <v>5</v>
      </c>
    </row>
    <row r="3894" spans="25:33">
      <c r="Y3894" s="47">
        <v>3899</v>
      </c>
      <c r="Z3894" s="52" t="s">
        <v>407</v>
      </c>
      <c r="AA3894" s="52" t="s">
        <v>247</v>
      </c>
      <c r="AB3894" s="52" t="s">
        <v>247</v>
      </c>
      <c r="AC3894" s="52" t="s">
        <v>247</v>
      </c>
      <c r="AD3894" s="52" t="s">
        <v>1</v>
      </c>
      <c r="AE3894" s="52" t="s">
        <v>373</v>
      </c>
      <c r="AF3894" s="155" t="s">
        <v>247</v>
      </c>
      <c r="AG3894" s="155" t="s">
        <v>247</v>
      </c>
    </row>
    <row r="3895" spans="25:33">
      <c r="Y3895" s="47">
        <v>3900</v>
      </c>
      <c r="Z3895" s="52" t="s">
        <v>407</v>
      </c>
      <c r="AA3895" s="52" t="s">
        <v>247</v>
      </c>
      <c r="AB3895" s="52" t="s">
        <v>247</v>
      </c>
      <c r="AC3895" s="52">
        <v>5</v>
      </c>
      <c r="AD3895" s="52" t="s">
        <v>2</v>
      </c>
      <c r="AE3895" s="52" t="s">
        <v>373</v>
      </c>
      <c r="AF3895" s="155" t="s">
        <v>560</v>
      </c>
      <c r="AG3895" s="155">
        <v>5</v>
      </c>
    </row>
    <row r="3896" spans="25:33">
      <c r="Y3896" s="47">
        <v>3902</v>
      </c>
      <c r="Z3896" s="52" t="s">
        <v>411</v>
      </c>
      <c r="AA3896" s="52" t="s">
        <v>247</v>
      </c>
      <c r="AB3896" s="52" t="s">
        <v>247</v>
      </c>
      <c r="AC3896" s="52">
        <v>4</v>
      </c>
      <c r="AD3896" s="52" t="s">
        <v>2</v>
      </c>
      <c r="AE3896" s="52" t="s">
        <v>373</v>
      </c>
      <c r="AF3896" s="155" t="s">
        <v>559</v>
      </c>
      <c r="AG3896" s="155">
        <v>4</v>
      </c>
    </row>
    <row r="3897" spans="25:33">
      <c r="Y3897" s="47">
        <v>3903</v>
      </c>
      <c r="Z3897" s="52" t="s">
        <v>411</v>
      </c>
      <c r="AA3897" s="52" t="s">
        <v>247</v>
      </c>
      <c r="AB3897" s="52" t="s">
        <v>247</v>
      </c>
      <c r="AC3897" s="52">
        <v>4</v>
      </c>
      <c r="AD3897" s="52" t="s">
        <v>2</v>
      </c>
      <c r="AE3897" s="52" t="s">
        <v>373</v>
      </c>
      <c r="AF3897" s="155" t="s">
        <v>559</v>
      </c>
      <c r="AG3897" s="155">
        <v>4</v>
      </c>
    </row>
    <row r="3898" spans="25:33">
      <c r="Y3898" s="47">
        <v>3904</v>
      </c>
      <c r="Z3898" s="52" t="s">
        <v>411</v>
      </c>
      <c r="AA3898" s="52" t="s">
        <v>247</v>
      </c>
      <c r="AB3898" s="52" t="s">
        <v>247</v>
      </c>
      <c r="AC3898" s="52">
        <v>4</v>
      </c>
      <c r="AD3898" s="52" t="s">
        <v>2</v>
      </c>
      <c r="AE3898" s="52" t="s">
        <v>373</v>
      </c>
      <c r="AF3898" s="155" t="s">
        <v>559</v>
      </c>
      <c r="AG3898" s="155">
        <v>4</v>
      </c>
    </row>
    <row r="3899" spans="25:33">
      <c r="Y3899" s="47">
        <v>3905</v>
      </c>
      <c r="Z3899" s="52" t="s">
        <v>411</v>
      </c>
      <c r="AA3899" s="52" t="s">
        <v>247</v>
      </c>
      <c r="AB3899" s="52" t="s">
        <v>247</v>
      </c>
      <c r="AC3899" s="52" t="s">
        <v>247</v>
      </c>
      <c r="AD3899" s="52" t="s">
        <v>1</v>
      </c>
      <c r="AE3899" s="52" t="s">
        <v>373</v>
      </c>
      <c r="AF3899" s="155" t="s">
        <v>247</v>
      </c>
      <c r="AG3899" s="155" t="s">
        <v>247</v>
      </c>
    </row>
    <row r="3900" spans="25:33">
      <c r="Y3900" s="47">
        <v>3906</v>
      </c>
      <c r="Z3900" s="52" t="s">
        <v>411</v>
      </c>
      <c r="AA3900" s="52" t="s">
        <v>247</v>
      </c>
      <c r="AB3900" s="52" t="s">
        <v>247</v>
      </c>
      <c r="AC3900" s="52" t="s">
        <v>247</v>
      </c>
      <c r="AD3900" s="52" t="s">
        <v>1</v>
      </c>
      <c r="AE3900" s="52" t="s">
        <v>373</v>
      </c>
      <c r="AF3900" s="155" t="s">
        <v>247</v>
      </c>
      <c r="AG3900" s="155" t="s">
        <v>247</v>
      </c>
    </row>
    <row r="3901" spans="25:33">
      <c r="Y3901" s="47">
        <v>3907</v>
      </c>
      <c r="Z3901" s="52" t="s">
        <v>411</v>
      </c>
      <c r="AA3901" s="52" t="s">
        <v>247</v>
      </c>
      <c r="AB3901" s="52" t="s">
        <v>247</v>
      </c>
      <c r="AC3901" s="52" t="s">
        <v>247</v>
      </c>
      <c r="AD3901" s="52" t="s">
        <v>1</v>
      </c>
      <c r="AE3901" s="52" t="s">
        <v>373</v>
      </c>
      <c r="AF3901" s="155" t="s">
        <v>247</v>
      </c>
      <c r="AG3901" s="155" t="s">
        <v>247</v>
      </c>
    </row>
    <row r="3902" spans="25:33">
      <c r="Y3902" s="47">
        <v>3908</v>
      </c>
      <c r="Z3902" s="52" t="s">
        <v>411</v>
      </c>
      <c r="AA3902" s="52" t="s">
        <v>247</v>
      </c>
      <c r="AB3902" s="52" t="s">
        <v>247</v>
      </c>
      <c r="AC3902" s="52" t="s">
        <v>247</v>
      </c>
      <c r="AD3902" s="52" t="s">
        <v>1</v>
      </c>
      <c r="AE3902" s="52" t="s">
        <v>373</v>
      </c>
      <c r="AF3902" s="155" t="s">
        <v>247</v>
      </c>
      <c r="AG3902" s="155" t="s">
        <v>247</v>
      </c>
    </row>
    <row r="3903" spans="25:33">
      <c r="Y3903" s="47">
        <v>3909</v>
      </c>
      <c r="Z3903" s="52" t="s">
        <v>411</v>
      </c>
      <c r="AA3903" s="52" t="s">
        <v>247</v>
      </c>
      <c r="AB3903" s="52" t="s">
        <v>247</v>
      </c>
      <c r="AC3903" s="52">
        <v>4</v>
      </c>
      <c r="AD3903" s="52" t="s">
        <v>2</v>
      </c>
      <c r="AE3903" s="52" t="s">
        <v>373</v>
      </c>
      <c r="AF3903" s="155" t="s">
        <v>559</v>
      </c>
      <c r="AG3903" s="155">
        <v>4</v>
      </c>
    </row>
    <row r="3904" spans="25:33">
      <c r="Y3904" s="47">
        <v>3910</v>
      </c>
      <c r="Z3904" s="52" t="s">
        <v>411</v>
      </c>
      <c r="AA3904" s="52" t="s">
        <v>247</v>
      </c>
      <c r="AB3904" s="52" t="s">
        <v>247</v>
      </c>
      <c r="AC3904" s="52">
        <v>4</v>
      </c>
      <c r="AD3904" s="52" t="s">
        <v>1</v>
      </c>
      <c r="AE3904" s="52" t="s">
        <v>373</v>
      </c>
      <c r="AF3904" s="155" t="s">
        <v>559</v>
      </c>
      <c r="AG3904" s="155">
        <v>4</v>
      </c>
    </row>
    <row r="3905" spans="25:33">
      <c r="Y3905" s="47">
        <v>3911</v>
      </c>
      <c r="Z3905" s="52" t="s">
        <v>411</v>
      </c>
      <c r="AA3905" s="52" t="s">
        <v>247</v>
      </c>
      <c r="AB3905" s="52" t="s">
        <v>247</v>
      </c>
      <c r="AC3905" s="52">
        <v>4</v>
      </c>
      <c r="AD3905" s="52" t="s">
        <v>1</v>
      </c>
      <c r="AE3905" s="52" t="s">
        <v>373</v>
      </c>
      <c r="AF3905" s="155" t="s">
        <v>559</v>
      </c>
      <c r="AG3905" s="155">
        <v>4</v>
      </c>
    </row>
    <row r="3906" spans="25:33">
      <c r="Y3906" s="47">
        <v>3912</v>
      </c>
      <c r="Z3906" s="52" t="s">
        <v>411</v>
      </c>
      <c r="AA3906" s="52" t="s">
        <v>247</v>
      </c>
      <c r="AB3906" s="52" t="s">
        <v>247</v>
      </c>
      <c r="AC3906" s="52">
        <v>4</v>
      </c>
      <c r="AD3906" s="52" t="s">
        <v>1</v>
      </c>
      <c r="AE3906" s="52" t="s">
        <v>373</v>
      </c>
      <c r="AF3906" s="155" t="s">
        <v>559</v>
      </c>
      <c r="AG3906" s="155">
        <v>4</v>
      </c>
    </row>
    <row r="3907" spans="25:33">
      <c r="Y3907" s="47">
        <v>3913</v>
      </c>
      <c r="Z3907" s="52" t="s">
        <v>411</v>
      </c>
      <c r="AA3907" s="52" t="s">
        <v>247</v>
      </c>
      <c r="AB3907" s="52" t="s">
        <v>247</v>
      </c>
      <c r="AC3907" s="52">
        <v>4</v>
      </c>
      <c r="AD3907" s="52" t="s">
        <v>1</v>
      </c>
      <c r="AE3907" s="52" t="s">
        <v>373</v>
      </c>
      <c r="AF3907" s="155" t="s">
        <v>559</v>
      </c>
      <c r="AG3907" s="155">
        <v>4</v>
      </c>
    </row>
    <row r="3908" spans="25:33">
      <c r="Y3908" s="47">
        <v>3914</v>
      </c>
      <c r="Z3908" s="52" t="s">
        <v>411</v>
      </c>
      <c r="AA3908" s="52" t="s">
        <v>247</v>
      </c>
      <c r="AB3908" s="52" t="s">
        <v>247</v>
      </c>
      <c r="AC3908" s="52" t="s">
        <v>247</v>
      </c>
      <c r="AD3908" s="52" t="s">
        <v>1</v>
      </c>
      <c r="AE3908" s="52" t="s">
        <v>373</v>
      </c>
      <c r="AF3908" s="155" t="s">
        <v>247</v>
      </c>
      <c r="AG3908" s="155" t="s">
        <v>247</v>
      </c>
    </row>
    <row r="3909" spans="25:33">
      <c r="Y3909" s="47">
        <v>3915</v>
      </c>
      <c r="Z3909" s="52" t="s">
        <v>411</v>
      </c>
      <c r="AA3909" s="52" t="s">
        <v>247</v>
      </c>
      <c r="AB3909" s="52" t="s">
        <v>247</v>
      </c>
      <c r="AC3909" s="52">
        <v>4</v>
      </c>
      <c r="AD3909" s="52" t="s">
        <v>1</v>
      </c>
      <c r="AE3909" s="52" t="s">
        <v>373</v>
      </c>
      <c r="AF3909" s="155" t="s">
        <v>559</v>
      </c>
      <c r="AG3909" s="155">
        <v>4</v>
      </c>
    </row>
    <row r="3910" spans="25:33">
      <c r="Y3910" s="47">
        <v>3916</v>
      </c>
      <c r="Z3910" s="52" t="s">
        <v>411</v>
      </c>
      <c r="AA3910" s="52" t="s">
        <v>247</v>
      </c>
      <c r="AB3910" s="52" t="s">
        <v>247</v>
      </c>
      <c r="AC3910" s="52">
        <v>4</v>
      </c>
      <c r="AD3910" s="52" t="s">
        <v>1</v>
      </c>
      <c r="AE3910" s="52" t="s">
        <v>373</v>
      </c>
      <c r="AF3910" s="155" t="s">
        <v>559</v>
      </c>
      <c r="AG3910" s="155">
        <v>4</v>
      </c>
    </row>
    <row r="3911" spans="25:33">
      <c r="Y3911" s="47">
        <v>3917</v>
      </c>
      <c r="Z3911" s="52" t="s">
        <v>411</v>
      </c>
      <c r="AA3911" s="52" t="s">
        <v>247</v>
      </c>
      <c r="AB3911" s="52" t="s">
        <v>247</v>
      </c>
      <c r="AC3911" s="52" t="s">
        <v>247</v>
      </c>
      <c r="AD3911" s="52" t="s">
        <v>1</v>
      </c>
      <c r="AE3911" s="52" t="s">
        <v>373</v>
      </c>
      <c r="AF3911" s="155" t="s">
        <v>247</v>
      </c>
      <c r="AG3911" s="155" t="s">
        <v>247</v>
      </c>
    </row>
    <row r="3912" spans="25:33">
      <c r="Y3912" s="47">
        <v>3918</v>
      </c>
      <c r="Z3912" s="52" t="s">
        <v>411</v>
      </c>
      <c r="AA3912" s="52" t="s">
        <v>247</v>
      </c>
      <c r="AB3912" s="52" t="s">
        <v>247</v>
      </c>
      <c r="AC3912" s="52">
        <v>4</v>
      </c>
      <c r="AD3912" s="52" t="s">
        <v>1</v>
      </c>
      <c r="AE3912" s="52" t="s">
        <v>373</v>
      </c>
      <c r="AF3912" s="155" t="s">
        <v>559</v>
      </c>
      <c r="AG3912" s="155">
        <v>4</v>
      </c>
    </row>
    <row r="3913" spans="25:33">
      <c r="Y3913" s="47">
        <v>3919</v>
      </c>
      <c r="Z3913" s="52" t="s">
        <v>411</v>
      </c>
      <c r="AA3913" s="52" t="s">
        <v>247</v>
      </c>
      <c r="AB3913" s="52" t="s">
        <v>247</v>
      </c>
      <c r="AC3913" s="52">
        <v>4</v>
      </c>
      <c r="AD3913" s="52" t="s">
        <v>1</v>
      </c>
      <c r="AE3913" s="52" t="s">
        <v>373</v>
      </c>
      <c r="AF3913" s="155" t="s">
        <v>559</v>
      </c>
      <c r="AG3913" s="155">
        <v>4</v>
      </c>
    </row>
    <row r="3914" spans="25:33">
      <c r="Y3914" s="47">
        <v>3920</v>
      </c>
      <c r="Z3914" s="52" t="s">
        <v>411</v>
      </c>
      <c r="AA3914" s="52" t="s">
        <v>247</v>
      </c>
      <c r="AB3914" s="52" t="s">
        <v>247</v>
      </c>
      <c r="AC3914" s="52">
        <v>4</v>
      </c>
      <c r="AD3914" s="52" t="s">
        <v>1</v>
      </c>
      <c r="AE3914" s="52" t="s">
        <v>373</v>
      </c>
      <c r="AF3914" s="155" t="s">
        <v>559</v>
      </c>
      <c r="AG3914" s="155">
        <v>4</v>
      </c>
    </row>
    <row r="3915" spans="25:33">
      <c r="Y3915" s="47">
        <v>3921</v>
      </c>
      <c r="Z3915" s="52" t="s">
        <v>411</v>
      </c>
      <c r="AA3915" s="52" t="s">
        <v>247</v>
      </c>
      <c r="AB3915" s="52" t="s">
        <v>247</v>
      </c>
      <c r="AC3915" s="52">
        <v>4</v>
      </c>
      <c r="AD3915" s="52" t="s">
        <v>2</v>
      </c>
      <c r="AE3915" s="52" t="s">
        <v>373</v>
      </c>
      <c r="AF3915" s="155" t="s">
        <v>559</v>
      </c>
      <c r="AG3915" s="155">
        <v>4</v>
      </c>
    </row>
    <row r="3916" spans="25:33">
      <c r="Y3916" s="47">
        <v>3922</v>
      </c>
      <c r="Z3916" s="52" t="s">
        <v>411</v>
      </c>
      <c r="AA3916" s="52" t="s">
        <v>247</v>
      </c>
      <c r="AB3916" s="52" t="s">
        <v>247</v>
      </c>
      <c r="AC3916" s="52">
        <v>4</v>
      </c>
      <c r="AD3916" s="52" t="s">
        <v>2</v>
      </c>
      <c r="AE3916" s="52" t="s">
        <v>373</v>
      </c>
      <c r="AF3916" s="155" t="s">
        <v>559</v>
      </c>
      <c r="AG3916" s="155">
        <v>4</v>
      </c>
    </row>
    <row r="3917" spans="25:33">
      <c r="Y3917" s="47">
        <v>3923</v>
      </c>
      <c r="Z3917" s="52" t="s">
        <v>411</v>
      </c>
      <c r="AA3917" s="52" t="s">
        <v>247</v>
      </c>
      <c r="AB3917" s="52" t="s">
        <v>247</v>
      </c>
      <c r="AC3917" s="52">
        <v>4</v>
      </c>
      <c r="AD3917" s="52" t="s">
        <v>2</v>
      </c>
      <c r="AE3917" s="52" t="s">
        <v>373</v>
      </c>
      <c r="AF3917" s="155" t="s">
        <v>559</v>
      </c>
      <c r="AG3917" s="155">
        <v>4</v>
      </c>
    </row>
    <row r="3918" spans="25:33">
      <c r="Y3918" s="47">
        <v>3924</v>
      </c>
      <c r="Z3918" s="52" t="s">
        <v>411</v>
      </c>
      <c r="AA3918" s="52" t="s">
        <v>247</v>
      </c>
      <c r="AB3918" s="52" t="s">
        <v>247</v>
      </c>
      <c r="AC3918" s="52" t="s">
        <v>247</v>
      </c>
      <c r="AD3918" s="52" t="s">
        <v>1</v>
      </c>
      <c r="AE3918" s="52" t="s">
        <v>373</v>
      </c>
      <c r="AF3918" s="155" t="s">
        <v>247</v>
      </c>
      <c r="AG3918" s="155" t="s">
        <v>247</v>
      </c>
    </row>
    <row r="3919" spans="25:33">
      <c r="Y3919" s="47">
        <v>3925</v>
      </c>
      <c r="Z3919" s="52" t="s">
        <v>411</v>
      </c>
      <c r="AA3919" s="52" t="s">
        <v>247</v>
      </c>
      <c r="AB3919" s="52" t="s">
        <v>247</v>
      </c>
      <c r="AC3919" s="52">
        <v>4</v>
      </c>
      <c r="AD3919" s="52" t="s">
        <v>2</v>
      </c>
      <c r="AE3919" s="52" t="s">
        <v>373</v>
      </c>
      <c r="AF3919" s="155" t="s">
        <v>559</v>
      </c>
      <c r="AG3919" s="155">
        <v>4</v>
      </c>
    </row>
    <row r="3920" spans="25:33">
      <c r="Y3920" s="47">
        <v>3926</v>
      </c>
      <c r="Z3920" s="52" t="s">
        <v>411</v>
      </c>
      <c r="AA3920" s="52" t="s">
        <v>247</v>
      </c>
      <c r="AB3920" s="52" t="s">
        <v>247</v>
      </c>
      <c r="AC3920" s="52">
        <v>4</v>
      </c>
      <c r="AD3920" s="52" t="s">
        <v>1</v>
      </c>
      <c r="AE3920" s="52" t="s">
        <v>373</v>
      </c>
      <c r="AF3920" s="155" t="s">
        <v>559</v>
      </c>
      <c r="AG3920" s="155">
        <v>4</v>
      </c>
    </row>
    <row r="3921" spans="25:33">
      <c r="Y3921" s="47">
        <v>3927</v>
      </c>
      <c r="Z3921" s="52" t="s">
        <v>411</v>
      </c>
      <c r="AA3921" s="52" t="s">
        <v>247</v>
      </c>
      <c r="AB3921" s="52" t="s">
        <v>247</v>
      </c>
      <c r="AC3921" s="52">
        <v>4</v>
      </c>
      <c r="AD3921" s="52" t="s">
        <v>1</v>
      </c>
      <c r="AE3921" s="52" t="s">
        <v>373</v>
      </c>
      <c r="AF3921" s="155" t="s">
        <v>559</v>
      </c>
      <c r="AG3921" s="155">
        <v>4</v>
      </c>
    </row>
    <row r="3922" spans="25:33">
      <c r="Y3922" s="47">
        <v>3928</v>
      </c>
      <c r="Z3922" s="52" t="s">
        <v>411</v>
      </c>
      <c r="AA3922" s="52" t="s">
        <v>247</v>
      </c>
      <c r="AB3922" s="52" t="s">
        <v>247</v>
      </c>
      <c r="AC3922" s="52">
        <v>4</v>
      </c>
      <c r="AD3922" s="52" t="s">
        <v>1</v>
      </c>
      <c r="AE3922" s="52" t="s">
        <v>373</v>
      </c>
      <c r="AF3922" s="155" t="s">
        <v>559</v>
      </c>
      <c r="AG3922" s="155">
        <v>4</v>
      </c>
    </row>
    <row r="3923" spans="25:33">
      <c r="Y3923" s="47">
        <v>3929</v>
      </c>
      <c r="Z3923" s="52" t="s">
        <v>411</v>
      </c>
      <c r="AA3923" s="52" t="s">
        <v>247</v>
      </c>
      <c r="AB3923" s="52" t="s">
        <v>247</v>
      </c>
      <c r="AC3923" s="52">
        <v>4</v>
      </c>
      <c r="AD3923" s="52" t="s">
        <v>1</v>
      </c>
      <c r="AE3923" s="52" t="s">
        <v>373</v>
      </c>
      <c r="AF3923" s="155" t="s">
        <v>559</v>
      </c>
      <c r="AG3923" s="155">
        <v>4</v>
      </c>
    </row>
    <row r="3924" spans="25:33">
      <c r="Y3924" s="47">
        <v>3930</v>
      </c>
      <c r="Z3924" s="52" t="s">
        <v>411</v>
      </c>
      <c r="AA3924" s="52" t="s">
        <v>247</v>
      </c>
      <c r="AB3924" s="52" t="s">
        <v>247</v>
      </c>
      <c r="AC3924" s="52">
        <v>4</v>
      </c>
      <c r="AD3924" s="52" t="s">
        <v>1</v>
      </c>
      <c r="AE3924" s="52" t="s">
        <v>373</v>
      </c>
      <c r="AF3924" s="155" t="s">
        <v>559</v>
      </c>
      <c r="AG3924" s="155">
        <v>4</v>
      </c>
    </row>
    <row r="3925" spans="25:33">
      <c r="Y3925" s="47">
        <v>3931</v>
      </c>
      <c r="Z3925" s="52" t="s">
        <v>411</v>
      </c>
      <c r="AA3925" s="52" t="s">
        <v>247</v>
      </c>
      <c r="AB3925" s="52" t="s">
        <v>247</v>
      </c>
      <c r="AC3925" s="52">
        <v>4</v>
      </c>
      <c r="AD3925" s="52" t="s">
        <v>1</v>
      </c>
      <c r="AE3925" s="52" t="s">
        <v>373</v>
      </c>
      <c r="AF3925" s="155" t="s">
        <v>559</v>
      </c>
      <c r="AG3925" s="155">
        <v>4</v>
      </c>
    </row>
    <row r="3926" spans="25:33">
      <c r="Y3926" s="47">
        <v>3932</v>
      </c>
      <c r="Z3926" s="52" t="s">
        <v>411</v>
      </c>
      <c r="AA3926" s="52" t="s">
        <v>247</v>
      </c>
      <c r="AB3926" s="52" t="s">
        <v>247</v>
      </c>
      <c r="AC3926" s="52" t="s">
        <v>247</v>
      </c>
      <c r="AD3926" s="52" t="s">
        <v>1</v>
      </c>
      <c r="AE3926" s="52" t="s">
        <v>373</v>
      </c>
      <c r="AF3926" s="155" t="s">
        <v>247</v>
      </c>
      <c r="AG3926" s="155" t="s">
        <v>247</v>
      </c>
    </row>
    <row r="3927" spans="25:33">
      <c r="Y3927" s="47">
        <v>3933</v>
      </c>
      <c r="Z3927" s="52" t="s">
        <v>411</v>
      </c>
      <c r="AA3927" s="52" t="s">
        <v>247</v>
      </c>
      <c r="AB3927" s="52" t="s">
        <v>247</v>
      </c>
      <c r="AC3927" s="52">
        <v>4</v>
      </c>
      <c r="AD3927" s="52" t="s">
        <v>1</v>
      </c>
      <c r="AE3927" s="52" t="s">
        <v>373</v>
      </c>
      <c r="AF3927" s="155" t="s">
        <v>559</v>
      </c>
      <c r="AG3927" s="155">
        <v>4</v>
      </c>
    </row>
    <row r="3928" spans="25:33">
      <c r="Y3928" s="47">
        <v>3934</v>
      </c>
      <c r="Z3928" s="52" t="s">
        <v>411</v>
      </c>
      <c r="AA3928" s="52" t="s">
        <v>247</v>
      </c>
      <c r="AB3928" s="52" t="s">
        <v>247</v>
      </c>
      <c r="AC3928" s="52">
        <v>4</v>
      </c>
      <c r="AD3928" s="52" t="s">
        <v>1</v>
      </c>
      <c r="AE3928" s="52" t="s">
        <v>373</v>
      </c>
      <c r="AF3928" s="155" t="s">
        <v>559</v>
      </c>
      <c r="AG3928" s="155">
        <v>4</v>
      </c>
    </row>
    <row r="3929" spans="25:33">
      <c r="Y3929" s="47">
        <v>3935</v>
      </c>
      <c r="Z3929" s="52" t="s">
        <v>411</v>
      </c>
      <c r="AA3929" s="52" t="s">
        <v>247</v>
      </c>
      <c r="AB3929" s="52" t="s">
        <v>247</v>
      </c>
      <c r="AC3929" s="52" t="s">
        <v>247</v>
      </c>
      <c r="AD3929" s="52" t="s">
        <v>1</v>
      </c>
      <c r="AE3929" s="52" t="s">
        <v>373</v>
      </c>
      <c r="AF3929" s="155" t="s">
        <v>247</v>
      </c>
      <c r="AG3929" s="155" t="s">
        <v>247</v>
      </c>
    </row>
    <row r="3930" spans="25:33">
      <c r="Y3930" s="47">
        <v>3936</v>
      </c>
      <c r="Z3930" s="52" t="s">
        <v>411</v>
      </c>
      <c r="AA3930" s="52" t="s">
        <v>247</v>
      </c>
      <c r="AB3930" s="52" t="s">
        <v>247</v>
      </c>
      <c r="AC3930" s="52">
        <v>4</v>
      </c>
      <c r="AD3930" s="52" t="s">
        <v>1</v>
      </c>
      <c r="AE3930" s="52" t="s">
        <v>373</v>
      </c>
      <c r="AF3930" s="155" t="s">
        <v>559</v>
      </c>
      <c r="AG3930" s="155">
        <v>4</v>
      </c>
    </row>
    <row r="3931" spans="25:33">
      <c r="Y3931" s="47">
        <v>3937</v>
      </c>
      <c r="Z3931" s="52" t="s">
        <v>411</v>
      </c>
      <c r="AA3931" s="52" t="s">
        <v>247</v>
      </c>
      <c r="AB3931" s="52" t="s">
        <v>247</v>
      </c>
      <c r="AC3931" s="52">
        <v>4</v>
      </c>
      <c r="AD3931" s="52" t="s">
        <v>1</v>
      </c>
      <c r="AE3931" s="52" t="s">
        <v>373</v>
      </c>
      <c r="AF3931" s="155" t="s">
        <v>559</v>
      </c>
      <c r="AG3931" s="155">
        <v>4</v>
      </c>
    </row>
    <row r="3932" spans="25:33">
      <c r="Y3932" s="47">
        <v>3938</v>
      </c>
      <c r="Z3932" s="52" t="s">
        <v>411</v>
      </c>
      <c r="AA3932" s="52" t="s">
        <v>247</v>
      </c>
      <c r="AB3932" s="52" t="s">
        <v>247</v>
      </c>
      <c r="AC3932" s="52">
        <v>4</v>
      </c>
      <c r="AD3932" s="52" t="s">
        <v>1</v>
      </c>
      <c r="AE3932" s="52" t="s">
        <v>373</v>
      </c>
      <c r="AF3932" s="155" t="s">
        <v>559</v>
      </c>
      <c r="AG3932" s="155">
        <v>4</v>
      </c>
    </row>
    <row r="3933" spans="25:33">
      <c r="Y3933" s="47">
        <v>3939</v>
      </c>
      <c r="Z3933" s="52" t="s">
        <v>411</v>
      </c>
      <c r="AA3933" s="52" t="s">
        <v>247</v>
      </c>
      <c r="AB3933" s="52" t="s">
        <v>247</v>
      </c>
      <c r="AC3933" s="52">
        <v>4</v>
      </c>
      <c r="AD3933" s="52" t="s">
        <v>1</v>
      </c>
      <c r="AE3933" s="52" t="s">
        <v>373</v>
      </c>
      <c r="AF3933" s="155" t="s">
        <v>559</v>
      </c>
      <c r="AG3933" s="155">
        <v>4</v>
      </c>
    </row>
    <row r="3934" spans="25:33">
      <c r="Y3934" s="47">
        <v>3940</v>
      </c>
      <c r="Z3934" s="52" t="s">
        <v>411</v>
      </c>
      <c r="AA3934" s="52" t="s">
        <v>247</v>
      </c>
      <c r="AB3934" s="52" t="s">
        <v>247</v>
      </c>
      <c r="AC3934" s="52">
        <v>4</v>
      </c>
      <c r="AD3934" s="52" t="s">
        <v>1</v>
      </c>
      <c r="AE3934" s="52" t="s">
        <v>373</v>
      </c>
      <c r="AF3934" s="155" t="s">
        <v>559</v>
      </c>
      <c r="AG3934" s="155">
        <v>4</v>
      </c>
    </row>
    <row r="3935" spans="25:33">
      <c r="Y3935" s="47">
        <v>3941</v>
      </c>
      <c r="Z3935" s="52" t="s">
        <v>411</v>
      </c>
      <c r="AA3935" s="52" t="s">
        <v>247</v>
      </c>
      <c r="AB3935" s="52" t="s">
        <v>247</v>
      </c>
      <c r="AC3935" s="52">
        <v>4</v>
      </c>
      <c r="AD3935" s="52" t="s">
        <v>1</v>
      </c>
      <c r="AE3935" s="52" t="s">
        <v>373</v>
      </c>
      <c r="AF3935" s="155" t="s">
        <v>559</v>
      </c>
      <c r="AG3935" s="155">
        <v>4</v>
      </c>
    </row>
    <row r="3936" spans="25:33">
      <c r="Y3936" s="47">
        <v>3942</v>
      </c>
      <c r="Z3936" s="52" t="s">
        <v>411</v>
      </c>
      <c r="AA3936" s="52" t="s">
        <v>247</v>
      </c>
      <c r="AB3936" s="52" t="s">
        <v>247</v>
      </c>
      <c r="AC3936" s="52">
        <v>4</v>
      </c>
      <c r="AD3936" s="52" t="s">
        <v>1</v>
      </c>
      <c r="AE3936" s="52" t="s">
        <v>373</v>
      </c>
      <c r="AF3936" s="155" t="s">
        <v>559</v>
      </c>
      <c r="AG3936" s="155">
        <v>4</v>
      </c>
    </row>
    <row r="3937" spans="25:33">
      <c r="Y3937" s="47">
        <v>3943</v>
      </c>
      <c r="Z3937" s="52" t="s">
        <v>411</v>
      </c>
      <c r="AA3937" s="52" t="s">
        <v>247</v>
      </c>
      <c r="AB3937" s="52" t="s">
        <v>247</v>
      </c>
      <c r="AC3937" s="52">
        <v>4</v>
      </c>
      <c r="AD3937" s="52" t="s">
        <v>1</v>
      </c>
      <c r="AE3937" s="52" t="s">
        <v>373</v>
      </c>
      <c r="AF3937" s="155" t="s">
        <v>559</v>
      </c>
      <c r="AG3937" s="155">
        <v>4</v>
      </c>
    </row>
    <row r="3938" spans="25:33">
      <c r="Y3938" s="47">
        <v>3944</v>
      </c>
      <c r="Z3938" s="52" t="s">
        <v>411</v>
      </c>
      <c r="AA3938" s="52" t="s">
        <v>247</v>
      </c>
      <c r="AB3938" s="52" t="s">
        <v>247</v>
      </c>
      <c r="AC3938" s="52">
        <v>4</v>
      </c>
      <c r="AD3938" s="52" t="s">
        <v>1</v>
      </c>
      <c r="AE3938" s="52" t="s">
        <v>373</v>
      </c>
      <c r="AF3938" s="155" t="s">
        <v>559</v>
      </c>
      <c r="AG3938" s="155">
        <v>4</v>
      </c>
    </row>
    <row r="3939" spans="25:33">
      <c r="Y3939" s="47">
        <v>3945</v>
      </c>
      <c r="Z3939" s="52" t="s">
        <v>411</v>
      </c>
      <c r="AA3939" s="52" t="s">
        <v>247</v>
      </c>
      <c r="AB3939" s="52" t="s">
        <v>247</v>
      </c>
      <c r="AC3939" s="52">
        <v>4</v>
      </c>
      <c r="AD3939" s="52" t="s">
        <v>2</v>
      </c>
      <c r="AE3939" s="52" t="s">
        <v>373</v>
      </c>
      <c r="AF3939" s="155" t="s">
        <v>559</v>
      </c>
      <c r="AG3939" s="155">
        <v>4</v>
      </c>
    </row>
    <row r="3940" spans="25:33">
      <c r="Y3940" s="47">
        <v>3946</v>
      </c>
      <c r="Z3940" s="52" t="s">
        <v>411</v>
      </c>
      <c r="AA3940" s="52" t="s">
        <v>247</v>
      </c>
      <c r="AB3940" s="52" t="s">
        <v>247</v>
      </c>
      <c r="AC3940" s="52">
        <v>4</v>
      </c>
      <c r="AD3940" s="52" t="s">
        <v>2</v>
      </c>
      <c r="AE3940" s="52" t="s">
        <v>373</v>
      </c>
      <c r="AF3940" s="155" t="s">
        <v>560</v>
      </c>
      <c r="AG3940" s="155">
        <v>4</v>
      </c>
    </row>
    <row r="3941" spans="25:33">
      <c r="Y3941" s="47">
        <v>3947</v>
      </c>
      <c r="Z3941" s="52" t="s">
        <v>411</v>
      </c>
      <c r="AA3941" s="52" t="s">
        <v>247</v>
      </c>
      <c r="AB3941" s="52" t="s">
        <v>247</v>
      </c>
      <c r="AC3941" s="52" t="s">
        <v>247</v>
      </c>
      <c r="AD3941" s="52" t="s">
        <v>1</v>
      </c>
      <c r="AE3941" s="52" t="s">
        <v>373</v>
      </c>
      <c r="AF3941" s="155" t="s">
        <v>247</v>
      </c>
      <c r="AG3941" s="155" t="s">
        <v>247</v>
      </c>
    </row>
    <row r="3942" spans="25:33">
      <c r="Y3942" s="47">
        <v>3948</v>
      </c>
      <c r="Z3942" s="52" t="s">
        <v>411</v>
      </c>
      <c r="AA3942" s="52" t="s">
        <v>247</v>
      </c>
      <c r="AB3942" s="52" t="s">
        <v>247</v>
      </c>
      <c r="AC3942" s="52" t="s">
        <v>247</v>
      </c>
      <c r="AD3942" s="52" t="s">
        <v>1</v>
      </c>
      <c r="AE3942" s="52" t="s">
        <v>373</v>
      </c>
      <c r="AF3942" s="155" t="s">
        <v>247</v>
      </c>
      <c r="AG3942" s="155" t="s">
        <v>247</v>
      </c>
    </row>
    <row r="3943" spans="25:33">
      <c r="Y3943" s="47">
        <v>3949</v>
      </c>
      <c r="Z3943" s="52" t="s">
        <v>411</v>
      </c>
      <c r="AA3943" s="52" t="s">
        <v>247</v>
      </c>
      <c r="AB3943" s="52" t="s">
        <v>247</v>
      </c>
      <c r="AC3943" s="52" t="s">
        <v>247</v>
      </c>
      <c r="AD3943" s="52" t="s">
        <v>1</v>
      </c>
      <c r="AE3943" s="52" t="s">
        <v>373</v>
      </c>
      <c r="AF3943" s="155" t="s">
        <v>247</v>
      </c>
      <c r="AG3943" s="155" t="s">
        <v>247</v>
      </c>
    </row>
    <row r="3944" spans="25:33">
      <c r="Y3944" s="47">
        <v>3950</v>
      </c>
      <c r="Z3944" s="52" t="s">
        <v>411</v>
      </c>
      <c r="AA3944" s="52" t="s">
        <v>247</v>
      </c>
      <c r="AB3944" s="52" t="s">
        <v>247</v>
      </c>
      <c r="AC3944" s="52">
        <v>4</v>
      </c>
      <c r="AD3944" s="52" t="s">
        <v>2</v>
      </c>
      <c r="AE3944" s="52" t="s">
        <v>373</v>
      </c>
      <c r="AF3944" s="155" t="s">
        <v>559</v>
      </c>
      <c r="AG3944" s="155">
        <v>4</v>
      </c>
    </row>
    <row r="3945" spans="25:33">
      <c r="Y3945" s="47">
        <v>3951</v>
      </c>
      <c r="Z3945" s="52" t="s">
        <v>411</v>
      </c>
      <c r="AA3945" s="52" t="s">
        <v>247</v>
      </c>
      <c r="AB3945" s="52" t="s">
        <v>247</v>
      </c>
      <c r="AC3945" s="52">
        <v>4</v>
      </c>
      <c r="AD3945" s="52" t="s">
        <v>2</v>
      </c>
      <c r="AE3945" s="52" t="s">
        <v>373</v>
      </c>
      <c r="AF3945" s="155" t="s">
        <v>559</v>
      </c>
      <c r="AG3945" s="155">
        <v>4</v>
      </c>
    </row>
    <row r="3946" spans="25:33">
      <c r="Y3946" s="47">
        <v>3952</v>
      </c>
      <c r="Z3946" s="52" t="s">
        <v>411</v>
      </c>
      <c r="AA3946" s="52" t="s">
        <v>247</v>
      </c>
      <c r="AB3946" s="52" t="s">
        <v>247</v>
      </c>
      <c r="AC3946" s="52" t="s">
        <v>247</v>
      </c>
      <c r="AD3946" s="52" t="s">
        <v>1</v>
      </c>
      <c r="AE3946" s="52" t="s">
        <v>373</v>
      </c>
      <c r="AF3946" s="155" t="s">
        <v>247</v>
      </c>
      <c r="AG3946" s="155" t="s">
        <v>247</v>
      </c>
    </row>
    <row r="3947" spans="25:33">
      <c r="Y3947" s="47">
        <v>3953</v>
      </c>
      <c r="Z3947" s="52" t="s">
        <v>411</v>
      </c>
      <c r="AA3947" s="52" t="s">
        <v>247</v>
      </c>
      <c r="AB3947" s="52" t="s">
        <v>247</v>
      </c>
      <c r="AC3947" s="52">
        <v>4</v>
      </c>
      <c r="AD3947" s="52" t="s">
        <v>2</v>
      </c>
      <c r="AE3947" s="52" t="s">
        <v>373</v>
      </c>
      <c r="AF3947" s="155" t="s">
        <v>559</v>
      </c>
      <c r="AG3947" s="155">
        <v>4</v>
      </c>
    </row>
    <row r="3948" spans="25:33">
      <c r="Y3948" s="47">
        <v>3954</v>
      </c>
      <c r="Z3948" s="52" t="s">
        <v>411</v>
      </c>
      <c r="AA3948" s="52" t="s">
        <v>247</v>
      </c>
      <c r="AB3948" s="52" t="s">
        <v>247</v>
      </c>
      <c r="AC3948" s="52">
        <v>4</v>
      </c>
      <c r="AD3948" s="52" t="s">
        <v>2</v>
      </c>
      <c r="AE3948" s="52" t="s">
        <v>373</v>
      </c>
      <c r="AF3948" s="155" t="s">
        <v>559</v>
      </c>
      <c r="AG3948" s="155">
        <v>4</v>
      </c>
    </row>
    <row r="3949" spans="25:33">
      <c r="Y3949" s="47">
        <v>3955</v>
      </c>
      <c r="Z3949" s="52" t="s">
        <v>411</v>
      </c>
      <c r="AA3949" s="52" t="s">
        <v>247</v>
      </c>
      <c r="AB3949" s="52" t="s">
        <v>247</v>
      </c>
      <c r="AC3949" s="52" t="s">
        <v>247</v>
      </c>
      <c r="AD3949" s="52" t="s">
        <v>1</v>
      </c>
      <c r="AE3949" s="52" t="s">
        <v>373</v>
      </c>
      <c r="AF3949" s="155" t="s">
        <v>247</v>
      </c>
      <c r="AG3949" s="155" t="s">
        <v>247</v>
      </c>
    </row>
    <row r="3950" spans="25:33">
      <c r="Y3950" s="47">
        <v>3956</v>
      </c>
      <c r="Z3950" s="52" t="s">
        <v>411</v>
      </c>
      <c r="AA3950" s="52" t="s">
        <v>247</v>
      </c>
      <c r="AB3950" s="52" t="s">
        <v>247</v>
      </c>
      <c r="AC3950" s="52">
        <v>4</v>
      </c>
      <c r="AD3950" s="52" t="s">
        <v>2</v>
      </c>
      <c r="AE3950" s="52" t="s">
        <v>373</v>
      </c>
      <c r="AF3950" s="155" t="s">
        <v>559</v>
      </c>
      <c r="AG3950" s="155">
        <v>4</v>
      </c>
    </row>
    <row r="3951" spans="25:33">
      <c r="Y3951" s="47">
        <v>3957</v>
      </c>
      <c r="Z3951" s="52" t="s">
        <v>411</v>
      </c>
      <c r="AA3951" s="52" t="s">
        <v>247</v>
      </c>
      <c r="AB3951" s="52" t="s">
        <v>247</v>
      </c>
      <c r="AC3951" s="52">
        <v>4</v>
      </c>
      <c r="AD3951" s="52" t="s">
        <v>2</v>
      </c>
      <c r="AE3951" s="52" t="s">
        <v>373</v>
      </c>
      <c r="AF3951" s="155" t="s">
        <v>559</v>
      </c>
      <c r="AG3951" s="155">
        <v>4</v>
      </c>
    </row>
    <row r="3952" spans="25:33">
      <c r="Y3952" s="47">
        <v>3958</v>
      </c>
      <c r="Z3952" s="52" t="s">
        <v>411</v>
      </c>
      <c r="AA3952" s="52" t="s">
        <v>247</v>
      </c>
      <c r="AB3952" s="52" t="s">
        <v>247</v>
      </c>
      <c r="AC3952" s="52">
        <v>4</v>
      </c>
      <c r="AD3952" s="52" t="s">
        <v>2</v>
      </c>
      <c r="AE3952" s="52" t="s">
        <v>373</v>
      </c>
      <c r="AF3952" s="155" t="s">
        <v>560</v>
      </c>
      <c r="AG3952" s="155">
        <v>4</v>
      </c>
    </row>
    <row r="3953" spans="25:33">
      <c r="Y3953" s="47">
        <v>3959</v>
      </c>
      <c r="Z3953" s="52" t="s">
        <v>411</v>
      </c>
      <c r="AA3953" s="52" t="s">
        <v>247</v>
      </c>
      <c r="AB3953" s="52" t="s">
        <v>247</v>
      </c>
      <c r="AC3953" s="52">
        <v>4</v>
      </c>
      <c r="AD3953" s="52" t="s">
        <v>2</v>
      </c>
      <c r="AE3953" s="52" t="s">
        <v>373</v>
      </c>
      <c r="AF3953" s="155" t="s">
        <v>559</v>
      </c>
      <c r="AG3953" s="155">
        <v>4</v>
      </c>
    </row>
    <row r="3954" spans="25:33">
      <c r="Y3954" s="47">
        <v>3960</v>
      </c>
      <c r="Z3954" s="52" t="s">
        <v>411</v>
      </c>
      <c r="AA3954" s="52" t="s">
        <v>247</v>
      </c>
      <c r="AB3954" s="52" t="s">
        <v>247</v>
      </c>
      <c r="AC3954" s="52">
        <v>4</v>
      </c>
      <c r="AD3954" s="52" t="s">
        <v>2</v>
      </c>
      <c r="AE3954" s="52" t="s">
        <v>373</v>
      </c>
      <c r="AF3954" s="155" t="s">
        <v>559</v>
      </c>
      <c r="AG3954" s="155">
        <v>4</v>
      </c>
    </row>
    <row r="3955" spans="25:33">
      <c r="Y3955" s="47">
        <v>3961</v>
      </c>
      <c r="Z3955" s="52" t="s">
        <v>411</v>
      </c>
      <c r="AA3955" s="52" t="s">
        <v>247</v>
      </c>
      <c r="AB3955" s="52" t="s">
        <v>247</v>
      </c>
      <c r="AC3955" s="52" t="s">
        <v>247</v>
      </c>
      <c r="AD3955" s="52" t="s">
        <v>1</v>
      </c>
      <c r="AE3955" s="52" t="s">
        <v>373</v>
      </c>
      <c r="AF3955" s="155" t="s">
        <v>247</v>
      </c>
      <c r="AG3955" s="155" t="s">
        <v>247</v>
      </c>
    </row>
    <row r="3956" spans="25:33">
      <c r="Y3956" s="47">
        <v>3962</v>
      </c>
      <c r="Z3956" s="52" t="s">
        <v>411</v>
      </c>
      <c r="AA3956" s="52" t="s">
        <v>247</v>
      </c>
      <c r="AB3956" s="52" t="s">
        <v>247</v>
      </c>
      <c r="AC3956" s="52">
        <v>4</v>
      </c>
      <c r="AD3956" s="52" t="s">
        <v>2</v>
      </c>
      <c r="AE3956" s="52" t="s">
        <v>373</v>
      </c>
      <c r="AF3956" s="155" t="s">
        <v>559</v>
      </c>
      <c r="AG3956" s="155">
        <v>4</v>
      </c>
    </row>
    <row r="3957" spans="25:33">
      <c r="Y3957" s="47">
        <v>3963</v>
      </c>
      <c r="Z3957" s="52" t="s">
        <v>411</v>
      </c>
      <c r="AA3957" s="52" t="s">
        <v>247</v>
      </c>
      <c r="AB3957" s="52" t="s">
        <v>247</v>
      </c>
      <c r="AC3957" s="52" t="s">
        <v>247</v>
      </c>
      <c r="AD3957" s="52" t="s">
        <v>1</v>
      </c>
      <c r="AE3957" s="52" t="s">
        <v>373</v>
      </c>
      <c r="AF3957" s="155" t="s">
        <v>247</v>
      </c>
      <c r="AG3957" s="155" t="s">
        <v>247</v>
      </c>
    </row>
    <row r="3958" spans="25:33">
      <c r="Y3958" s="47">
        <v>3964</v>
      </c>
      <c r="Z3958" s="52" t="s">
        <v>411</v>
      </c>
      <c r="AA3958" s="52" t="s">
        <v>247</v>
      </c>
      <c r="AB3958" s="52" t="s">
        <v>247</v>
      </c>
      <c r="AC3958" s="52">
        <v>4</v>
      </c>
      <c r="AD3958" s="52" t="s">
        <v>2</v>
      </c>
      <c r="AE3958" s="52" t="s">
        <v>373</v>
      </c>
      <c r="AF3958" s="155" t="s">
        <v>560</v>
      </c>
      <c r="AG3958" s="155">
        <v>4</v>
      </c>
    </row>
    <row r="3959" spans="25:33">
      <c r="Y3959" s="47">
        <v>3965</v>
      </c>
      <c r="Z3959" s="52" t="s">
        <v>411</v>
      </c>
      <c r="AA3959" s="52" t="s">
        <v>247</v>
      </c>
      <c r="AB3959" s="52" t="s">
        <v>247</v>
      </c>
      <c r="AC3959" s="52">
        <v>4</v>
      </c>
      <c r="AD3959" s="52" t="s">
        <v>2</v>
      </c>
      <c r="AE3959" s="52" t="s">
        <v>373</v>
      </c>
      <c r="AF3959" s="155" t="s">
        <v>559</v>
      </c>
      <c r="AG3959" s="155">
        <v>4</v>
      </c>
    </row>
    <row r="3960" spans="25:33">
      <c r="Y3960" s="47">
        <v>3966</v>
      </c>
      <c r="Z3960" s="52" t="s">
        <v>411</v>
      </c>
      <c r="AA3960" s="52" t="s">
        <v>247</v>
      </c>
      <c r="AB3960" s="52" t="s">
        <v>247</v>
      </c>
      <c r="AC3960" s="52">
        <v>4</v>
      </c>
      <c r="AD3960" s="52" t="s">
        <v>2</v>
      </c>
      <c r="AE3960" s="52" t="s">
        <v>373</v>
      </c>
      <c r="AF3960" s="155" t="s">
        <v>560</v>
      </c>
      <c r="AG3960" s="155">
        <v>4</v>
      </c>
    </row>
    <row r="3961" spans="25:33">
      <c r="Y3961" s="47">
        <v>3967</v>
      </c>
      <c r="Z3961" s="52" t="s">
        <v>411</v>
      </c>
      <c r="AA3961" s="52" t="s">
        <v>247</v>
      </c>
      <c r="AB3961" s="52" t="s">
        <v>247</v>
      </c>
      <c r="AC3961" s="52">
        <v>4</v>
      </c>
      <c r="AD3961" s="52" t="s">
        <v>2</v>
      </c>
      <c r="AE3961" s="52" t="s">
        <v>373</v>
      </c>
      <c r="AF3961" s="155" t="s">
        <v>560</v>
      </c>
      <c r="AG3961" s="155">
        <v>4</v>
      </c>
    </row>
    <row r="3962" spans="25:33">
      <c r="Y3962" s="47">
        <v>3968</v>
      </c>
      <c r="Z3962" s="52" t="s">
        <v>411</v>
      </c>
      <c r="AA3962" s="52" t="s">
        <v>247</v>
      </c>
      <c r="AB3962" s="52" t="s">
        <v>247</v>
      </c>
      <c r="AC3962" s="52" t="s">
        <v>247</v>
      </c>
      <c r="AD3962" s="52" t="s">
        <v>1</v>
      </c>
      <c r="AE3962" s="52" t="s">
        <v>373</v>
      </c>
      <c r="AF3962" s="155" t="s">
        <v>247</v>
      </c>
      <c r="AG3962" s="155" t="s">
        <v>247</v>
      </c>
    </row>
    <row r="3963" spans="25:33">
      <c r="Y3963" s="47">
        <v>3969</v>
      </c>
      <c r="Z3963" s="52" t="s">
        <v>411</v>
      </c>
      <c r="AA3963" s="52" t="s">
        <v>247</v>
      </c>
      <c r="AB3963" s="52" t="s">
        <v>247</v>
      </c>
      <c r="AC3963" s="52" t="s">
        <v>247</v>
      </c>
      <c r="AD3963" s="52" t="s">
        <v>1</v>
      </c>
      <c r="AE3963" s="52" t="s">
        <v>373</v>
      </c>
      <c r="AF3963" s="155" t="s">
        <v>247</v>
      </c>
      <c r="AG3963" s="155" t="s">
        <v>247</v>
      </c>
    </row>
    <row r="3964" spans="25:33">
      <c r="Y3964" s="47">
        <v>3970</v>
      </c>
      <c r="Z3964" s="52" t="s">
        <v>411</v>
      </c>
      <c r="AA3964" s="52" t="s">
        <v>247</v>
      </c>
      <c r="AB3964" s="52" t="s">
        <v>247</v>
      </c>
      <c r="AC3964" s="52" t="s">
        <v>247</v>
      </c>
      <c r="AD3964" s="52" t="s">
        <v>1</v>
      </c>
      <c r="AE3964" s="52" t="s">
        <v>373</v>
      </c>
      <c r="AF3964" s="155" t="s">
        <v>247</v>
      </c>
      <c r="AG3964" s="155" t="s">
        <v>247</v>
      </c>
    </row>
    <row r="3965" spans="25:33">
      <c r="Y3965" s="47">
        <v>3971</v>
      </c>
      <c r="Z3965" s="52" t="s">
        <v>411</v>
      </c>
      <c r="AA3965" s="52" t="s">
        <v>247</v>
      </c>
      <c r="AB3965" s="52" t="s">
        <v>247</v>
      </c>
      <c r="AC3965" s="52">
        <v>4</v>
      </c>
      <c r="AD3965" s="52" t="s">
        <v>2</v>
      </c>
      <c r="AE3965" s="52" t="s">
        <v>373</v>
      </c>
      <c r="AF3965" s="155" t="s">
        <v>560</v>
      </c>
      <c r="AG3965" s="155">
        <v>4</v>
      </c>
    </row>
    <row r="3966" spans="25:33">
      <c r="Y3966" s="47">
        <v>3972</v>
      </c>
      <c r="Z3966" s="52" t="s">
        <v>411</v>
      </c>
      <c r="AA3966" s="52" t="s">
        <v>247</v>
      </c>
      <c r="AB3966" s="52" t="s">
        <v>247</v>
      </c>
      <c r="AC3966" s="52" t="s">
        <v>247</v>
      </c>
      <c r="AD3966" s="52" t="s">
        <v>1</v>
      </c>
      <c r="AE3966" s="52" t="s">
        <v>373</v>
      </c>
      <c r="AF3966" s="155" t="s">
        <v>247</v>
      </c>
      <c r="AG3966" s="155" t="s">
        <v>247</v>
      </c>
    </row>
    <row r="3967" spans="25:33">
      <c r="Y3967" s="47">
        <v>3973</v>
      </c>
      <c r="Z3967" s="52" t="s">
        <v>411</v>
      </c>
      <c r="AA3967" s="52" t="s">
        <v>247</v>
      </c>
      <c r="AB3967" s="52" t="s">
        <v>247</v>
      </c>
      <c r="AC3967" s="52" t="s">
        <v>247</v>
      </c>
      <c r="AD3967" s="52" t="s">
        <v>1</v>
      </c>
      <c r="AE3967" s="52" t="s">
        <v>373</v>
      </c>
      <c r="AF3967" s="155" t="s">
        <v>247</v>
      </c>
      <c r="AG3967" s="155" t="s">
        <v>247</v>
      </c>
    </row>
    <row r="3968" spans="25:33">
      <c r="Y3968" s="47">
        <v>3974</v>
      </c>
      <c r="Z3968" s="52" t="s">
        <v>411</v>
      </c>
      <c r="AA3968" s="52" t="s">
        <v>247</v>
      </c>
      <c r="AB3968" s="52" t="s">
        <v>247</v>
      </c>
      <c r="AC3968" s="52" t="s">
        <v>247</v>
      </c>
      <c r="AD3968" s="52" t="s">
        <v>1</v>
      </c>
      <c r="AE3968" s="52" t="s">
        <v>373</v>
      </c>
      <c r="AF3968" s="155" t="s">
        <v>247</v>
      </c>
      <c r="AG3968" s="155" t="s">
        <v>247</v>
      </c>
    </row>
    <row r="3969" spans="25:33">
      <c r="Y3969" s="47">
        <v>3975</v>
      </c>
      <c r="Z3969" s="52" t="s">
        <v>411</v>
      </c>
      <c r="AA3969" s="52" t="s">
        <v>247</v>
      </c>
      <c r="AB3969" s="52" t="s">
        <v>247</v>
      </c>
      <c r="AC3969" s="52">
        <v>4</v>
      </c>
      <c r="AD3969" s="52" t="s">
        <v>1</v>
      </c>
      <c r="AE3969" s="52" t="s">
        <v>373</v>
      </c>
      <c r="AF3969" s="155" t="s">
        <v>559</v>
      </c>
      <c r="AG3969" s="155">
        <v>4</v>
      </c>
    </row>
    <row r="3970" spans="25:33">
      <c r="Y3970" s="47">
        <v>3976</v>
      </c>
      <c r="Z3970" s="52" t="s">
        <v>411</v>
      </c>
      <c r="AA3970" s="52" t="s">
        <v>247</v>
      </c>
      <c r="AB3970" s="52" t="s">
        <v>247</v>
      </c>
      <c r="AC3970" s="52">
        <v>4</v>
      </c>
      <c r="AD3970" s="52" t="s">
        <v>1</v>
      </c>
      <c r="AE3970" s="52" t="s">
        <v>373</v>
      </c>
      <c r="AF3970" s="155" t="s">
        <v>559</v>
      </c>
      <c r="AG3970" s="155">
        <v>4</v>
      </c>
    </row>
    <row r="3971" spans="25:33">
      <c r="Y3971" s="47">
        <v>3977</v>
      </c>
      <c r="Z3971" s="52" t="s">
        <v>411</v>
      </c>
      <c r="AA3971" s="52" t="s">
        <v>247</v>
      </c>
      <c r="AB3971" s="52" t="s">
        <v>247</v>
      </c>
      <c r="AC3971" s="52">
        <v>4</v>
      </c>
      <c r="AD3971" s="52" t="s">
        <v>1</v>
      </c>
      <c r="AE3971" s="52" t="s">
        <v>373</v>
      </c>
      <c r="AF3971" s="155" t="s">
        <v>559</v>
      </c>
      <c r="AG3971" s="155">
        <v>4</v>
      </c>
    </row>
    <row r="3972" spans="25:33">
      <c r="Y3972" s="47">
        <v>3978</v>
      </c>
      <c r="Z3972" s="52" t="s">
        <v>411</v>
      </c>
      <c r="AA3972" s="52" t="s">
        <v>247</v>
      </c>
      <c r="AB3972" s="52" t="s">
        <v>247</v>
      </c>
      <c r="AC3972" s="52">
        <v>4</v>
      </c>
      <c r="AD3972" s="52" t="s">
        <v>1</v>
      </c>
      <c r="AE3972" s="52" t="s">
        <v>373</v>
      </c>
      <c r="AF3972" s="155" t="s">
        <v>559</v>
      </c>
      <c r="AG3972" s="155">
        <v>4</v>
      </c>
    </row>
    <row r="3973" spans="25:33">
      <c r="Y3973" s="47">
        <v>3979</v>
      </c>
      <c r="Z3973" s="52" t="s">
        <v>411</v>
      </c>
      <c r="AA3973" s="52" t="s">
        <v>247</v>
      </c>
      <c r="AB3973" s="52" t="s">
        <v>247</v>
      </c>
      <c r="AC3973" s="52">
        <v>4</v>
      </c>
      <c r="AD3973" s="52" t="s">
        <v>2</v>
      </c>
      <c r="AE3973" s="52" t="s">
        <v>373</v>
      </c>
      <c r="AF3973" s="155" t="s">
        <v>559</v>
      </c>
      <c r="AG3973" s="155">
        <v>4</v>
      </c>
    </row>
    <row r="3974" spans="25:33">
      <c r="Y3974" s="47">
        <v>3980</v>
      </c>
      <c r="Z3974" s="52" t="s">
        <v>411</v>
      </c>
      <c r="AA3974" s="52" t="s">
        <v>247</v>
      </c>
      <c r="AB3974" s="52" t="s">
        <v>247</v>
      </c>
      <c r="AC3974" s="52">
        <v>4</v>
      </c>
      <c r="AD3974" s="52" t="s">
        <v>1</v>
      </c>
      <c r="AE3974" s="52" t="s">
        <v>373</v>
      </c>
      <c r="AF3974" s="155" t="s">
        <v>560</v>
      </c>
      <c r="AG3974" s="155">
        <v>4</v>
      </c>
    </row>
    <row r="3975" spans="25:33">
      <c r="Y3975" s="47">
        <v>3981</v>
      </c>
      <c r="Z3975" s="52" t="s">
        <v>411</v>
      </c>
      <c r="AA3975" s="52" t="s">
        <v>247</v>
      </c>
      <c r="AB3975" s="52" t="s">
        <v>247</v>
      </c>
      <c r="AC3975" s="52">
        <v>4</v>
      </c>
      <c r="AD3975" s="52" t="s">
        <v>2</v>
      </c>
      <c r="AE3975" s="52" t="s">
        <v>373</v>
      </c>
      <c r="AF3975" s="155" t="s">
        <v>560</v>
      </c>
      <c r="AG3975" s="155">
        <v>4</v>
      </c>
    </row>
    <row r="3976" spans="25:33">
      <c r="Y3976" s="47">
        <v>3982</v>
      </c>
      <c r="Z3976" s="52" t="s">
        <v>411</v>
      </c>
      <c r="AA3976" s="52" t="s">
        <v>247</v>
      </c>
      <c r="AB3976" s="52" t="s">
        <v>247</v>
      </c>
      <c r="AC3976" s="52" t="s">
        <v>247</v>
      </c>
      <c r="AD3976" s="52" t="s">
        <v>1</v>
      </c>
      <c r="AE3976" s="52" t="s">
        <v>373</v>
      </c>
      <c r="AF3976" s="155" t="s">
        <v>247</v>
      </c>
      <c r="AG3976" s="155" t="s">
        <v>247</v>
      </c>
    </row>
    <row r="3977" spans="25:33">
      <c r="Y3977" s="47">
        <v>3983</v>
      </c>
      <c r="Z3977" s="52" t="s">
        <v>411</v>
      </c>
      <c r="AA3977" s="52" t="s">
        <v>247</v>
      </c>
      <c r="AB3977" s="52" t="s">
        <v>247</v>
      </c>
      <c r="AC3977" s="52" t="s">
        <v>247</v>
      </c>
      <c r="AD3977" s="52" t="s">
        <v>1</v>
      </c>
      <c r="AE3977" s="52" t="s">
        <v>373</v>
      </c>
      <c r="AF3977" s="155" t="s">
        <v>247</v>
      </c>
      <c r="AG3977" s="155" t="s">
        <v>247</v>
      </c>
    </row>
    <row r="3978" spans="25:33">
      <c r="Y3978" s="47">
        <v>3984</v>
      </c>
      <c r="Z3978" s="52" t="s">
        <v>411</v>
      </c>
      <c r="AA3978" s="52" t="s">
        <v>247</v>
      </c>
      <c r="AB3978" s="52" t="s">
        <v>247</v>
      </c>
      <c r="AC3978" s="52">
        <v>4</v>
      </c>
      <c r="AD3978" s="52" t="s">
        <v>2</v>
      </c>
      <c r="AE3978" s="52" t="s">
        <v>373</v>
      </c>
      <c r="AF3978" s="155" t="s">
        <v>559</v>
      </c>
      <c r="AG3978" s="155">
        <v>4</v>
      </c>
    </row>
    <row r="3979" spans="25:33">
      <c r="Y3979" s="47">
        <v>3985</v>
      </c>
      <c r="Z3979" s="52" t="s">
        <v>411</v>
      </c>
      <c r="AA3979" s="52" t="s">
        <v>247</v>
      </c>
      <c r="AB3979" s="52" t="s">
        <v>247</v>
      </c>
      <c r="AC3979" s="52" t="s">
        <v>247</v>
      </c>
      <c r="AD3979" s="52" t="s">
        <v>1</v>
      </c>
      <c r="AE3979" s="52" t="s">
        <v>373</v>
      </c>
      <c r="AF3979" s="155" t="s">
        <v>247</v>
      </c>
      <c r="AG3979" s="155" t="s">
        <v>247</v>
      </c>
    </row>
    <row r="3980" spans="25:33">
      <c r="Y3980" s="47">
        <v>3986</v>
      </c>
      <c r="Z3980" s="52" t="s">
        <v>411</v>
      </c>
      <c r="AA3980" s="52" t="s">
        <v>247</v>
      </c>
      <c r="AB3980" s="52" t="s">
        <v>247</v>
      </c>
      <c r="AC3980" s="52" t="s">
        <v>247</v>
      </c>
      <c r="AD3980" s="52" t="s">
        <v>1</v>
      </c>
      <c r="AE3980" s="52" t="s">
        <v>373</v>
      </c>
      <c r="AF3980" s="155" t="s">
        <v>247</v>
      </c>
      <c r="AG3980" s="155" t="s">
        <v>247</v>
      </c>
    </row>
    <row r="3981" spans="25:33">
      <c r="Y3981" s="47">
        <v>3987</v>
      </c>
      <c r="Z3981" s="52" t="s">
        <v>411</v>
      </c>
      <c r="AA3981" s="52" t="s">
        <v>247</v>
      </c>
      <c r="AB3981" s="52" t="s">
        <v>247</v>
      </c>
      <c r="AC3981" s="52">
        <v>4</v>
      </c>
      <c r="AD3981" s="52" t="s">
        <v>2</v>
      </c>
      <c r="AE3981" s="52" t="s">
        <v>373</v>
      </c>
      <c r="AF3981" s="155" t="s">
        <v>559</v>
      </c>
      <c r="AG3981" s="155">
        <v>4</v>
      </c>
    </row>
    <row r="3982" spans="25:33">
      <c r="Y3982" s="47">
        <v>3988</v>
      </c>
      <c r="Z3982" s="52" t="s">
        <v>411</v>
      </c>
      <c r="AA3982" s="52" t="s">
        <v>247</v>
      </c>
      <c r="AB3982" s="52" t="s">
        <v>247</v>
      </c>
      <c r="AC3982" s="52">
        <v>4</v>
      </c>
      <c r="AD3982" s="52" t="s">
        <v>2</v>
      </c>
      <c r="AE3982" s="52" t="s">
        <v>373</v>
      </c>
      <c r="AF3982" s="155" t="s">
        <v>560</v>
      </c>
      <c r="AG3982" s="155">
        <v>4</v>
      </c>
    </row>
    <row r="3983" spans="25:33">
      <c r="Y3983" s="47">
        <v>3989</v>
      </c>
      <c r="Z3983" s="52" t="s">
        <v>411</v>
      </c>
      <c r="AA3983" s="52" t="s">
        <v>247</v>
      </c>
      <c r="AB3983" s="52" t="s">
        <v>247</v>
      </c>
      <c r="AC3983" s="52" t="s">
        <v>247</v>
      </c>
      <c r="AD3983" s="52" t="s">
        <v>1</v>
      </c>
      <c r="AE3983" s="52" t="s">
        <v>373</v>
      </c>
      <c r="AF3983" s="155" t="s">
        <v>247</v>
      </c>
      <c r="AG3983" s="155" t="s">
        <v>247</v>
      </c>
    </row>
    <row r="3984" spans="25:33">
      <c r="Y3984" s="47">
        <v>3990</v>
      </c>
      <c r="Z3984" s="52" t="s">
        <v>411</v>
      </c>
      <c r="AA3984" s="52" t="s">
        <v>247</v>
      </c>
      <c r="AB3984" s="52" t="s">
        <v>247</v>
      </c>
      <c r="AC3984" s="52">
        <v>4</v>
      </c>
      <c r="AD3984" s="52" t="s">
        <v>2</v>
      </c>
      <c r="AE3984" s="52" t="s">
        <v>373</v>
      </c>
      <c r="AF3984" s="155" t="s">
        <v>559</v>
      </c>
      <c r="AG3984" s="155">
        <v>4</v>
      </c>
    </row>
    <row r="3985" spans="25:33">
      <c r="Y3985" s="47">
        <v>3991</v>
      </c>
      <c r="Z3985" s="52" t="s">
        <v>411</v>
      </c>
      <c r="AA3985" s="52" t="s">
        <v>247</v>
      </c>
      <c r="AB3985" s="52" t="s">
        <v>247</v>
      </c>
      <c r="AC3985" s="52">
        <v>4</v>
      </c>
      <c r="AD3985" s="52" t="s">
        <v>2</v>
      </c>
      <c r="AE3985" s="52" t="s">
        <v>373</v>
      </c>
      <c r="AF3985" s="155" t="s">
        <v>559</v>
      </c>
      <c r="AG3985" s="155">
        <v>4</v>
      </c>
    </row>
    <row r="3986" spans="25:33">
      <c r="Y3986" s="47">
        <v>3992</v>
      </c>
      <c r="Z3986" s="52" t="s">
        <v>411</v>
      </c>
      <c r="AA3986" s="52" t="s">
        <v>247</v>
      </c>
      <c r="AB3986" s="52" t="s">
        <v>247</v>
      </c>
      <c r="AC3986" s="52">
        <v>4</v>
      </c>
      <c r="AD3986" s="52" t="s">
        <v>2</v>
      </c>
      <c r="AE3986" s="52" t="s">
        <v>373</v>
      </c>
      <c r="AF3986" s="155" t="s">
        <v>559</v>
      </c>
      <c r="AG3986" s="155">
        <v>4</v>
      </c>
    </row>
    <row r="3987" spans="25:33">
      <c r="Y3987" s="47">
        <v>3993</v>
      </c>
      <c r="Z3987" s="52" t="s">
        <v>411</v>
      </c>
      <c r="AA3987" s="52" t="s">
        <v>247</v>
      </c>
      <c r="AB3987" s="52" t="s">
        <v>247</v>
      </c>
      <c r="AC3987" s="52" t="s">
        <v>247</v>
      </c>
      <c r="AD3987" s="52" t="s">
        <v>1</v>
      </c>
      <c r="AE3987" s="52" t="s">
        <v>373</v>
      </c>
      <c r="AF3987" s="155" t="s">
        <v>247</v>
      </c>
      <c r="AG3987" s="155" t="s">
        <v>247</v>
      </c>
    </row>
    <row r="3988" spans="25:33">
      <c r="Y3988" s="47">
        <v>3994</v>
      </c>
      <c r="Z3988" s="52" t="s">
        <v>411</v>
      </c>
      <c r="AA3988" s="52" t="s">
        <v>247</v>
      </c>
      <c r="AB3988" s="52" t="s">
        <v>247</v>
      </c>
      <c r="AC3988" s="52" t="s">
        <v>247</v>
      </c>
      <c r="AD3988" s="52" t="s">
        <v>1</v>
      </c>
      <c r="AE3988" s="52" t="s">
        <v>373</v>
      </c>
      <c r="AF3988" s="155" t="s">
        <v>247</v>
      </c>
      <c r="AG3988" s="155" t="s">
        <v>247</v>
      </c>
    </row>
    <row r="3989" spans="25:33">
      <c r="Y3989" s="47">
        <v>3995</v>
      </c>
      <c r="Z3989" s="52" t="s">
        <v>411</v>
      </c>
      <c r="AA3989" s="52" t="s">
        <v>247</v>
      </c>
      <c r="AB3989" s="52" t="s">
        <v>247</v>
      </c>
      <c r="AC3989" s="52">
        <v>4</v>
      </c>
      <c r="AD3989" s="52" t="s">
        <v>2</v>
      </c>
      <c r="AE3989" s="52" t="s">
        <v>373</v>
      </c>
      <c r="AF3989" s="155" t="s">
        <v>559</v>
      </c>
      <c r="AG3989" s="155">
        <v>4</v>
      </c>
    </row>
    <row r="3990" spans="25:33">
      <c r="Y3990" s="47">
        <v>3996</v>
      </c>
      <c r="Z3990" s="52" t="s">
        <v>411</v>
      </c>
      <c r="AA3990" s="52" t="s">
        <v>247</v>
      </c>
      <c r="AB3990" s="52" t="s">
        <v>247</v>
      </c>
      <c r="AC3990" s="52">
        <v>4</v>
      </c>
      <c r="AD3990" s="52" t="s">
        <v>2</v>
      </c>
      <c r="AE3990" s="52" t="s">
        <v>373</v>
      </c>
      <c r="AF3990" s="155" t="s">
        <v>559</v>
      </c>
      <c r="AG3990" s="155">
        <v>4</v>
      </c>
    </row>
    <row r="3991" spans="25:33">
      <c r="Y3991" s="47">
        <v>6000</v>
      </c>
      <c r="Z3991" s="52" t="s">
        <v>410</v>
      </c>
      <c r="AA3991" s="52" t="s">
        <v>247</v>
      </c>
      <c r="AB3991" s="52" t="s">
        <v>247</v>
      </c>
      <c r="AC3991" s="52" t="s">
        <v>247</v>
      </c>
      <c r="AD3991" s="52" t="s">
        <v>1</v>
      </c>
      <c r="AE3991" s="52" t="s">
        <v>384</v>
      </c>
      <c r="AF3991" s="155" t="s">
        <v>247</v>
      </c>
      <c r="AG3991" s="155" t="s">
        <v>247</v>
      </c>
    </row>
    <row r="3992" spans="25:33">
      <c r="Y3992" s="47">
        <v>6001</v>
      </c>
      <c r="Z3992" s="52" t="s">
        <v>410</v>
      </c>
      <c r="AA3992" s="52" t="s">
        <v>247</v>
      </c>
      <c r="AB3992" s="52" t="s">
        <v>247</v>
      </c>
      <c r="AC3992" s="52" t="s">
        <v>247</v>
      </c>
      <c r="AD3992" s="52" t="s">
        <v>1</v>
      </c>
      <c r="AE3992" s="52" t="s">
        <v>384</v>
      </c>
      <c r="AF3992" s="155" t="s">
        <v>247</v>
      </c>
      <c r="AG3992" s="155" t="s">
        <v>247</v>
      </c>
    </row>
    <row r="3993" spans="25:33">
      <c r="Y3993" s="47">
        <v>6002</v>
      </c>
      <c r="Z3993" s="52" t="s">
        <v>410</v>
      </c>
      <c r="AA3993" s="52" t="s">
        <v>247</v>
      </c>
      <c r="AB3993" s="52" t="s">
        <v>247</v>
      </c>
      <c r="AC3993" s="52" t="s">
        <v>247</v>
      </c>
      <c r="AD3993" s="52" t="s">
        <v>1</v>
      </c>
      <c r="AE3993" s="52" t="s">
        <v>384</v>
      </c>
      <c r="AF3993" s="155" t="s">
        <v>247</v>
      </c>
      <c r="AG3993" s="155" t="s">
        <v>247</v>
      </c>
    </row>
    <row r="3994" spans="25:33">
      <c r="Y3994" s="47">
        <v>6003</v>
      </c>
      <c r="Z3994" s="52" t="s">
        <v>410</v>
      </c>
      <c r="AA3994" s="52" t="s">
        <v>247</v>
      </c>
      <c r="AB3994" s="52" t="s">
        <v>247</v>
      </c>
      <c r="AC3994" s="52" t="s">
        <v>247</v>
      </c>
      <c r="AD3994" s="52" t="s">
        <v>1</v>
      </c>
      <c r="AE3994" s="52" t="s">
        <v>384</v>
      </c>
      <c r="AF3994" s="155" t="s">
        <v>247</v>
      </c>
      <c r="AG3994" s="155" t="s">
        <v>247</v>
      </c>
    </row>
    <row r="3995" spans="25:33">
      <c r="Y3995" s="47">
        <v>6004</v>
      </c>
      <c r="Z3995" s="52" t="s">
        <v>410</v>
      </c>
      <c r="AA3995" s="52" t="s">
        <v>247</v>
      </c>
      <c r="AB3995" s="52" t="s">
        <v>247</v>
      </c>
      <c r="AC3995" s="52" t="s">
        <v>247</v>
      </c>
      <c r="AD3995" s="52" t="s">
        <v>1</v>
      </c>
      <c r="AE3995" s="52" t="s">
        <v>384</v>
      </c>
      <c r="AF3995" s="155" t="s">
        <v>247</v>
      </c>
      <c r="AG3995" s="155" t="s">
        <v>247</v>
      </c>
    </row>
    <row r="3996" spans="25:33">
      <c r="Y3996" s="47">
        <v>6005</v>
      </c>
      <c r="Z3996" s="52" t="s">
        <v>410</v>
      </c>
      <c r="AA3996" s="52" t="s">
        <v>247</v>
      </c>
      <c r="AB3996" s="52" t="s">
        <v>247</v>
      </c>
      <c r="AC3996" s="52" t="s">
        <v>247</v>
      </c>
      <c r="AD3996" s="52" t="s">
        <v>1</v>
      </c>
      <c r="AE3996" s="52" t="s">
        <v>384</v>
      </c>
      <c r="AF3996" s="155" t="s">
        <v>247</v>
      </c>
      <c r="AG3996" s="155" t="s">
        <v>247</v>
      </c>
    </row>
    <row r="3997" spans="25:33">
      <c r="Y3997" s="47">
        <v>6006</v>
      </c>
      <c r="Z3997" s="52" t="s">
        <v>410</v>
      </c>
      <c r="AA3997" s="52" t="s">
        <v>247</v>
      </c>
      <c r="AB3997" s="52" t="s">
        <v>247</v>
      </c>
      <c r="AC3997" s="52" t="s">
        <v>247</v>
      </c>
      <c r="AD3997" s="52" t="s">
        <v>1</v>
      </c>
      <c r="AE3997" s="52" t="s">
        <v>384</v>
      </c>
      <c r="AF3997" s="155" t="s">
        <v>247</v>
      </c>
      <c r="AG3997" s="155" t="s">
        <v>247</v>
      </c>
    </row>
    <row r="3998" spans="25:33">
      <c r="Y3998" s="47">
        <v>6007</v>
      </c>
      <c r="Z3998" s="52" t="s">
        <v>410</v>
      </c>
      <c r="AA3998" s="52" t="s">
        <v>247</v>
      </c>
      <c r="AB3998" s="52" t="s">
        <v>247</v>
      </c>
      <c r="AC3998" s="52" t="s">
        <v>247</v>
      </c>
      <c r="AD3998" s="52" t="s">
        <v>1</v>
      </c>
      <c r="AE3998" s="52" t="s">
        <v>384</v>
      </c>
      <c r="AF3998" s="155" t="s">
        <v>247</v>
      </c>
      <c r="AG3998" s="155" t="s">
        <v>247</v>
      </c>
    </row>
    <row r="3999" spans="25:33">
      <c r="Y3999" s="47">
        <v>6008</v>
      </c>
      <c r="Z3999" s="52" t="s">
        <v>410</v>
      </c>
      <c r="AA3999" s="52" t="s">
        <v>247</v>
      </c>
      <c r="AB3999" s="52" t="s">
        <v>247</v>
      </c>
      <c r="AC3999" s="52" t="s">
        <v>247</v>
      </c>
      <c r="AD3999" s="52" t="s">
        <v>1</v>
      </c>
      <c r="AE3999" s="52" t="s">
        <v>384</v>
      </c>
      <c r="AF3999" s="155" t="s">
        <v>247</v>
      </c>
      <c r="AG3999" s="155" t="s">
        <v>247</v>
      </c>
    </row>
    <row r="4000" spans="25:33">
      <c r="Y4000" s="47">
        <v>6009</v>
      </c>
      <c r="Z4000" s="52" t="s">
        <v>410</v>
      </c>
      <c r="AA4000" s="52" t="s">
        <v>247</v>
      </c>
      <c r="AB4000" s="52" t="s">
        <v>247</v>
      </c>
      <c r="AC4000" s="52" t="s">
        <v>247</v>
      </c>
      <c r="AD4000" s="52" t="s">
        <v>1</v>
      </c>
      <c r="AE4000" s="52" t="s">
        <v>384</v>
      </c>
      <c r="AF4000" s="155" t="s">
        <v>247</v>
      </c>
      <c r="AG4000" s="155" t="s">
        <v>247</v>
      </c>
    </row>
    <row r="4001" spans="25:33">
      <c r="Y4001" s="47">
        <v>6010</v>
      </c>
      <c r="Z4001" s="52" t="s">
        <v>410</v>
      </c>
      <c r="AA4001" s="52" t="s">
        <v>247</v>
      </c>
      <c r="AB4001" s="52" t="s">
        <v>247</v>
      </c>
      <c r="AC4001" s="52" t="s">
        <v>247</v>
      </c>
      <c r="AD4001" s="52" t="s">
        <v>1</v>
      </c>
      <c r="AE4001" s="52" t="s">
        <v>384</v>
      </c>
      <c r="AF4001" s="155" t="s">
        <v>247</v>
      </c>
      <c r="AG4001" s="155" t="s">
        <v>247</v>
      </c>
    </row>
    <row r="4002" spans="25:33">
      <c r="Y4002" s="47">
        <v>6011</v>
      </c>
      <c r="Z4002" s="52" t="s">
        <v>410</v>
      </c>
      <c r="AA4002" s="52" t="s">
        <v>247</v>
      </c>
      <c r="AB4002" s="52" t="s">
        <v>247</v>
      </c>
      <c r="AC4002" s="52" t="s">
        <v>247</v>
      </c>
      <c r="AD4002" s="52" t="s">
        <v>1</v>
      </c>
      <c r="AE4002" s="52" t="s">
        <v>384</v>
      </c>
      <c r="AF4002" s="155" t="s">
        <v>247</v>
      </c>
      <c r="AG4002" s="155" t="s">
        <v>247</v>
      </c>
    </row>
    <row r="4003" spans="25:33">
      <c r="Y4003" s="47">
        <v>6012</v>
      </c>
      <c r="Z4003" s="52" t="s">
        <v>410</v>
      </c>
      <c r="AA4003" s="52" t="s">
        <v>247</v>
      </c>
      <c r="AB4003" s="52" t="s">
        <v>247</v>
      </c>
      <c r="AC4003" s="52" t="s">
        <v>247</v>
      </c>
      <c r="AD4003" s="52" t="s">
        <v>1</v>
      </c>
      <c r="AE4003" s="52" t="s">
        <v>384</v>
      </c>
      <c r="AF4003" s="155" t="s">
        <v>247</v>
      </c>
      <c r="AG4003" s="155" t="s">
        <v>247</v>
      </c>
    </row>
    <row r="4004" spans="25:33">
      <c r="Y4004" s="47">
        <v>6013</v>
      </c>
      <c r="Z4004" s="52" t="s">
        <v>410</v>
      </c>
      <c r="AA4004" s="52" t="s">
        <v>247</v>
      </c>
      <c r="AB4004" s="52" t="s">
        <v>247</v>
      </c>
      <c r="AC4004" s="52" t="s">
        <v>247</v>
      </c>
      <c r="AD4004" s="52" t="s">
        <v>1</v>
      </c>
      <c r="AE4004" s="52" t="s">
        <v>384</v>
      </c>
      <c r="AF4004" s="155" t="s">
        <v>247</v>
      </c>
      <c r="AG4004" s="155" t="s">
        <v>247</v>
      </c>
    </row>
    <row r="4005" spans="25:33">
      <c r="Y4005" s="47">
        <v>6014</v>
      </c>
      <c r="Z4005" s="52" t="s">
        <v>410</v>
      </c>
      <c r="AA4005" s="52" t="s">
        <v>247</v>
      </c>
      <c r="AB4005" s="52" t="s">
        <v>247</v>
      </c>
      <c r="AC4005" s="52" t="s">
        <v>247</v>
      </c>
      <c r="AD4005" s="52" t="s">
        <v>1</v>
      </c>
      <c r="AE4005" s="52" t="s">
        <v>384</v>
      </c>
      <c r="AF4005" s="155" t="s">
        <v>247</v>
      </c>
      <c r="AG4005" s="155" t="s">
        <v>247</v>
      </c>
    </row>
    <row r="4006" spans="25:33">
      <c r="Y4006" s="47">
        <v>6015</v>
      </c>
      <c r="Z4006" s="52" t="s">
        <v>410</v>
      </c>
      <c r="AA4006" s="52" t="s">
        <v>247</v>
      </c>
      <c r="AB4006" s="52" t="s">
        <v>247</v>
      </c>
      <c r="AC4006" s="52" t="s">
        <v>247</v>
      </c>
      <c r="AD4006" s="52" t="s">
        <v>1</v>
      </c>
      <c r="AE4006" s="52" t="s">
        <v>384</v>
      </c>
      <c r="AF4006" s="155" t="s">
        <v>247</v>
      </c>
      <c r="AG4006" s="155" t="s">
        <v>247</v>
      </c>
    </row>
    <row r="4007" spans="25:33">
      <c r="Y4007" s="47">
        <v>6016</v>
      </c>
      <c r="Z4007" s="52" t="s">
        <v>410</v>
      </c>
      <c r="AA4007" s="52" t="s">
        <v>247</v>
      </c>
      <c r="AB4007" s="52" t="s">
        <v>247</v>
      </c>
      <c r="AC4007" s="52" t="s">
        <v>247</v>
      </c>
      <c r="AD4007" s="52" t="s">
        <v>1</v>
      </c>
      <c r="AE4007" s="52" t="s">
        <v>384</v>
      </c>
      <c r="AF4007" s="155" t="s">
        <v>247</v>
      </c>
      <c r="AG4007" s="155" t="s">
        <v>247</v>
      </c>
    </row>
    <row r="4008" spans="25:33">
      <c r="Y4008" s="47">
        <v>6017</v>
      </c>
      <c r="Z4008" s="52" t="s">
        <v>410</v>
      </c>
      <c r="AA4008" s="52" t="s">
        <v>247</v>
      </c>
      <c r="AB4008" s="52" t="s">
        <v>247</v>
      </c>
      <c r="AC4008" s="52" t="s">
        <v>247</v>
      </c>
      <c r="AD4008" s="52" t="s">
        <v>1</v>
      </c>
      <c r="AE4008" s="52" t="s">
        <v>384</v>
      </c>
      <c r="AF4008" s="155" t="s">
        <v>247</v>
      </c>
      <c r="AG4008" s="155" t="s">
        <v>247</v>
      </c>
    </row>
    <row r="4009" spans="25:33">
      <c r="Y4009" s="47">
        <v>6018</v>
      </c>
      <c r="Z4009" s="52" t="s">
        <v>410</v>
      </c>
      <c r="AA4009" s="52" t="s">
        <v>247</v>
      </c>
      <c r="AB4009" s="52" t="s">
        <v>247</v>
      </c>
      <c r="AC4009" s="52" t="s">
        <v>247</v>
      </c>
      <c r="AD4009" s="52" t="s">
        <v>1</v>
      </c>
      <c r="AE4009" s="52" t="s">
        <v>384</v>
      </c>
      <c r="AF4009" s="155" t="s">
        <v>247</v>
      </c>
      <c r="AG4009" s="155" t="s">
        <v>247</v>
      </c>
    </row>
    <row r="4010" spans="25:33">
      <c r="Y4010" s="47">
        <v>6019</v>
      </c>
      <c r="Z4010" s="52" t="s">
        <v>410</v>
      </c>
      <c r="AA4010" s="52" t="s">
        <v>247</v>
      </c>
      <c r="AB4010" s="52" t="s">
        <v>247</v>
      </c>
      <c r="AC4010" s="52" t="s">
        <v>247</v>
      </c>
      <c r="AD4010" s="52" t="s">
        <v>1</v>
      </c>
      <c r="AE4010" s="52" t="s">
        <v>384</v>
      </c>
      <c r="AF4010" s="155" t="s">
        <v>247</v>
      </c>
      <c r="AG4010" s="155" t="s">
        <v>247</v>
      </c>
    </row>
    <row r="4011" spans="25:33">
      <c r="Y4011" s="47">
        <v>6020</v>
      </c>
      <c r="Z4011" s="52" t="s">
        <v>410</v>
      </c>
      <c r="AA4011" s="52" t="s">
        <v>247</v>
      </c>
      <c r="AB4011" s="52" t="s">
        <v>247</v>
      </c>
      <c r="AC4011" s="52" t="s">
        <v>247</v>
      </c>
      <c r="AD4011" s="52" t="s">
        <v>1</v>
      </c>
      <c r="AE4011" s="52" t="s">
        <v>384</v>
      </c>
      <c r="AF4011" s="155" t="s">
        <v>247</v>
      </c>
      <c r="AG4011" s="155" t="s">
        <v>247</v>
      </c>
    </row>
    <row r="4012" spans="25:33">
      <c r="Y4012" s="47">
        <v>6021</v>
      </c>
      <c r="Z4012" s="52" t="s">
        <v>410</v>
      </c>
      <c r="AA4012" s="52" t="s">
        <v>247</v>
      </c>
      <c r="AB4012" s="52" t="s">
        <v>247</v>
      </c>
      <c r="AC4012" s="52" t="s">
        <v>247</v>
      </c>
      <c r="AD4012" s="52" t="s">
        <v>1</v>
      </c>
      <c r="AE4012" s="52" t="s">
        <v>384</v>
      </c>
      <c r="AF4012" s="155" t="s">
        <v>247</v>
      </c>
      <c r="AG4012" s="155" t="s">
        <v>247</v>
      </c>
    </row>
    <row r="4013" spans="25:33">
      <c r="Y4013" s="47">
        <v>6022</v>
      </c>
      <c r="Z4013" s="52" t="s">
        <v>410</v>
      </c>
      <c r="AA4013" s="52" t="s">
        <v>247</v>
      </c>
      <c r="AB4013" s="52" t="s">
        <v>247</v>
      </c>
      <c r="AC4013" s="52" t="s">
        <v>247</v>
      </c>
      <c r="AD4013" s="52" t="s">
        <v>1</v>
      </c>
      <c r="AE4013" s="52" t="s">
        <v>384</v>
      </c>
      <c r="AF4013" s="155" t="s">
        <v>247</v>
      </c>
      <c r="AG4013" s="155" t="s">
        <v>247</v>
      </c>
    </row>
    <row r="4014" spans="25:33">
      <c r="Y4014" s="47">
        <v>6023</v>
      </c>
      <c r="Z4014" s="52" t="s">
        <v>410</v>
      </c>
      <c r="AA4014" s="52" t="s">
        <v>247</v>
      </c>
      <c r="AB4014" s="52" t="s">
        <v>247</v>
      </c>
      <c r="AC4014" s="52" t="s">
        <v>247</v>
      </c>
      <c r="AD4014" s="52" t="s">
        <v>1</v>
      </c>
      <c r="AE4014" s="52" t="s">
        <v>384</v>
      </c>
      <c r="AF4014" s="155" t="s">
        <v>247</v>
      </c>
      <c r="AG4014" s="155" t="s">
        <v>247</v>
      </c>
    </row>
    <row r="4015" spans="25:33">
      <c r="Y4015" s="47">
        <v>6024</v>
      </c>
      <c r="Z4015" s="52" t="s">
        <v>410</v>
      </c>
      <c r="AA4015" s="52" t="s">
        <v>247</v>
      </c>
      <c r="AB4015" s="52" t="s">
        <v>247</v>
      </c>
      <c r="AC4015" s="52" t="s">
        <v>247</v>
      </c>
      <c r="AD4015" s="52" t="s">
        <v>1</v>
      </c>
      <c r="AE4015" s="52" t="s">
        <v>384</v>
      </c>
      <c r="AF4015" s="155" t="s">
        <v>247</v>
      </c>
      <c r="AG4015" s="155" t="s">
        <v>247</v>
      </c>
    </row>
    <row r="4016" spans="25:33">
      <c r="Y4016" s="47">
        <v>6025</v>
      </c>
      <c r="Z4016" s="52" t="s">
        <v>410</v>
      </c>
      <c r="AA4016" s="52" t="s">
        <v>247</v>
      </c>
      <c r="AB4016" s="52" t="s">
        <v>247</v>
      </c>
      <c r="AC4016" s="52" t="s">
        <v>247</v>
      </c>
      <c r="AD4016" s="52" t="s">
        <v>1</v>
      </c>
      <c r="AE4016" s="52" t="s">
        <v>384</v>
      </c>
      <c r="AF4016" s="155" t="s">
        <v>247</v>
      </c>
      <c r="AG4016" s="155" t="s">
        <v>247</v>
      </c>
    </row>
    <row r="4017" spans="25:33">
      <c r="Y4017" s="47">
        <v>6026</v>
      </c>
      <c r="Z4017" s="52" t="s">
        <v>410</v>
      </c>
      <c r="AA4017" s="52" t="s">
        <v>247</v>
      </c>
      <c r="AB4017" s="52" t="s">
        <v>247</v>
      </c>
      <c r="AC4017" s="52" t="s">
        <v>247</v>
      </c>
      <c r="AD4017" s="52" t="s">
        <v>1</v>
      </c>
      <c r="AE4017" s="52" t="s">
        <v>384</v>
      </c>
      <c r="AF4017" s="155" t="s">
        <v>247</v>
      </c>
      <c r="AG4017" s="155" t="s">
        <v>247</v>
      </c>
    </row>
    <row r="4018" spans="25:33">
      <c r="Y4018" s="47">
        <v>6027</v>
      </c>
      <c r="Z4018" s="52" t="s">
        <v>410</v>
      </c>
      <c r="AA4018" s="52" t="s">
        <v>247</v>
      </c>
      <c r="AB4018" s="52" t="s">
        <v>247</v>
      </c>
      <c r="AC4018" s="52" t="s">
        <v>247</v>
      </c>
      <c r="AD4018" s="52" t="s">
        <v>1</v>
      </c>
      <c r="AE4018" s="52" t="s">
        <v>384</v>
      </c>
      <c r="AF4018" s="155" t="s">
        <v>247</v>
      </c>
      <c r="AG4018" s="155" t="s">
        <v>247</v>
      </c>
    </row>
    <row r="4019" spans="25:33">
      <c r="Y4019" s="47">
        <v>6028</v>
      </c>
      <c r="Z4019" s="52" t="s">
        <v>410</v>
      </c>
      <c r="AA4019" s="52" t="s">
        <v>247</v>
      </c>
      <c r="AB4019" s="52" t="s">
        <v>247</v>
      </c>
      <c r="AC4019" s="52" t="s">
        <v>247</v>
      </c>
      <c r="AD4019" s="52" t="s">
        <v>1</v>
      </c>
      <c r="AE4019" s="52" t="s">
        <v>384</v>
      </c>
      <c r="AF4019" s="155" t="s">
        <v>247</v>
      </c>
      <c r="AG4019" s="155" t="s">
        <v>247</v>
      </c>
    </row>
    <row r="4020" spans="25:33">
      <c r="Y4020" s="47">
        <v>6029</v>
      </c>
      <c r="Z4020" s="52" t="s">
        <v>410</v>
      </c>
      <c r="AA4020" s="52" t="s">
        <v>247</v>
      </c>
      <c r="AB4020" s="52" t="s">
        <v>247</v>
      </c>
      <c r="AC4020" s="52" t="s">
        <v>247</v>
      </c>
      <c r="AD4020" s="52" t="s">
        <v>1</v>
      </c>
      <c r="AE4020" s="52" t="s">
        <v>384</v>
      </c>
      <c r="AF4020" s="155" t="s">
        <v>247</v>
      </c>
      <c r="AG4020" s="155" t="s">
        <v>247</v>
      </c>
    </row>
    <row r="4021" spans="25:33">
      <c r="Y4021" s="47">
        <v>6030</v>
      </c>
      <c r="Z4021" s="52" t="s">
        <v>410</v>
      </c>
      <c r="AA4021" s="52" t="s">
        <v>247</v>
      </c>
      <c r="AB4021" s="52" t="s">
        <v>247</v>
      </c>
      <c r="AC4021" s="52" t="s">
        <v>247</v>
      </c>
      <c r="AD4021" s="52" t="s">
        <v>1</v>
      </c>
      <c r="AE4021" s="52" t="s">
        <v>384</v>
      </c>
      <c r="AF4021" s="155" t="s">
        <v>247</v>
      </c>
      <c r="AG4021" s="155" t="s">
        <v>247</v>
      </c>
    </row>
    <row r="4022" spans="25:33">
      <c r="Y4022" s="47">
        <v>6031</v>
      </c>
      <c r="Z4022" s="52" t="s">
        <v>410</v>
      </c>
      <c r="AA4022" s="52" t="s">
        <v>247</v>
      </c>
      <c r="AB4022" s="52" t="s">
        <v>247</v>
      </c>
      <c r="AC4022" s="52" t="s">
        <v>247</v>
      </c>
      <c r="AD4022" s="52" t="s">
        <v>1</v>
      </c>
      <c r="AE4022" s="52" t="s">
        <v>384</v>
      </c>
      <c r="AF4022" s="155" t="s">
        <v>247</v>
      </c>
      <c r="AG4022" s="155" t="s">
        <v>247</v>
      </c>
    </row>
    <row r="4023" spans="25:33">
      <c r="Y4023" s="47">
        <v>6032</v>
      </c>
      <c r="Z4023" s="52" t="s">
        <v>410</v>
      </c>
      <c r="AA4023" s="52" t="s">
        <v>247</v>
      </c>
      <c r="AB4023" s="52" t="s">
        <v>247</v>
      </c>
      <c r="AC4023" s="52" t="s">
        <v>247</v>
      </c>
      <c r="AD4023" s="52" t="s">
        <v>1</v>
      </c>
      <c r="AE4023" s="52" t="s">
        <v>384</v>
      </c>
      <c r="AF4023" s="155" t="s">
        <v>247</v>
      </c>
      <c r="AG4023" s="155" t="s">
        <v>247</v>
      </c>
    </row>
    <row r="4024" spans="25:33">
      <c r="Y4024" s="47">
        <v>6033</v>
      </c>
      <c r="Z4024" s="52" t="s">
        <v>410</v>
      </c>
      <c r="AA4024" s="52" t="s">
        <v>247</v>
      </c>
      <c r="AB4024" s="52" t="s">
        <v>247</v>
      </c>
      <c r="AC4024" s="52" t="s">
        <v>247</v>
      </c>
      <c r="AD4024" s="52" t="s">
        <v>1</v>
      </c>
      <c r="AE4024" s="52" t="s">
        <v>384</v>
      </c>
      <c r="AF4024" s="155" t="s">
        <v>247</v>
      </c>
      <c r="AG4024" s="155" t="s">
        <v>247</v>
      </c>
    </row>
    <row r="4025" spans="25:33">
      <c r="Y4025" s="47">
        <v>6034</v>
      </c>
      <c r="Z4025" s="52" t="s">
        <v>410</v>
      </c>
      <c r="AA4025" s="52" t="s">
        <v>247</v>
      </c>
      <c r="AB4025" s="52" t="s">
        <v>247</v>
      </c>
      <c r="AC4025" s="52" t="s">
        <v>247</v>
      </c>
      <c r="AD4025" s="52" t="s">
        <v>1</v>
      </c>
      <c r="AE4025" s="52" t="s">
        <v>384</v>
      </c>
      <c r="AF4025" s="155" t="s">
        <v>247</v>
      </c>
      <c r="AG4025" s="155" t="s">
        <v>247</v>
      </c>
    </row>
    <row r="4026" spans="25:33">
      <c r="Y4026" s="47">
        <v>6035</v>
      </c>
      <c r="Z4026" s="52" t="s">
        <v>410</v>
      </c>
      <c r="AA4026" s="52" t="s">
        <v>247</v>
      </c>
      <c r="AB4026" s="52" t="s">
        <v>247</v>
      </c>
      <c r="AC4026" s="52" t="s">
        <v>247</v>
      </c>
      <c r="AD4026" s="52" t="s">
        <v>1</v>
      </c>
      <c r="AE4026" s="52" t="s">
        <v>384</v>
      </c>
      <c r="AF4026" s="155" t="s">
        <v>247</v>
      </c>
      <c r="AG4026" s="155" t="s">
        <v>247</v>
      </c>
    </row>
    <row r="4027" spans="25:33">
      <c r="Y4027" s="47">
        <v>6036</v>
      </c>
      <c r="Z4027" s="52" t="s">
        <v>410</v>
      </c>
      <c r="AA4027" s="52" t="s">
        <v>247</v>
      </c>
      <c r="AB4027" s="52" t="s">
        <v>247</v>
      </c>
      <c r="AC4027" s="52" t="s">
        <v>247</v>
      </c>
      <c r="AD4027" s="52" t="s">
        <v>1</v>
      </c>
      <c r="AE4027" s="52" t="s">
        <v>384</v>
      </c>
      <c r="AF4027" s="155" t="s">
        <v>247</v>
      </c>
      <c r="AG4027" s="155" t="s">
        <v>247</v>
      </c>
    </row>
    <row r="4028" spans="25:33">
      <c r="Y4028" s="47">
        <v>6037</v>
      </c>
      <c r="Z4028" s="52" t="s">
        <v>410</v>
      </c>
      <c r="AA4028" s="52" t="s">
        <v>247</v>
      </c>
      <c r="AB4028" s="52" t="s">
        <v>247</v>
      </c>
      <c r="AC4028" s="52" t="s">
        <v>247</v>
      </c>
      <c r="AD4028" s="52" t="s">
        <v>1</v>
      </c>
      <c r="AE4028" s="52" t="s">
        <v>384</v>
      </c>
      <c r="AF4028" s="155" t="s">
        <v>247</v>
      </c>
      <c r="AG4028" s="155" t="s">
        <v>247</v>
      </c>
    </row>
    <row r="4029" spans="25:33">
      <c r="Y4029" s="47">
        <v>6038</v>
      </c>
      <c r="Z4029" s="52" t="s">
        <v>410</v>
      </c>
      <c r="AA4029" s="52" t="s">
        <v>247</v>
      </c>
      <c r="AB4029" s="52" t="s">
        <v>247</v>
      </c>
      <c r="AC4029" s="52" t="s">
        <v>247</v>
      </c>
      <c r="AD4029" s="52" t="s">
        <v>1</v>
      </c>
      <c r="AE4029" s="52" t="s">
        <v>384</v>
      </c>
      <c r="AF4029" s="155" t="s">
        <v>247</v>
      </c>
      <c r="AG4029" s="155" t="s">
        <v>247</v>
      </c>
    </row>
    <row r="4030" spans="25:33">
      <c r="Y4030" s="47">
        <v>6039</v>
      </c>
      <c r="Z4030" s="52" t="s">
        <v>410</v>
      </c>
      <c r="AA4030" s="52" t="s">
        <v>247</v>
      </c>
      <c r="AB4030" s="52" t="s">
        <v>247</v>
      </c>
      <c r="AC4030" s="52" t="s">
        <v>247</v>
      </c>
      <c r="AD4030" s="52" t="s">
        <v>1</v>
      </c>
      <c r="AE4030" s="52" t="s">
        <v>384</v>
      </c>
      <c r="AF4030" s="155" t="s">
        <v>247</v>
      </c>
      <c r="AG4030" s="155" t="s">
        <v>247</v>
      </c>
    </row>
    <row r="4031" spans="25:33">
      <c r="Y4031" s="47">
        <v>6040</v>
      </c>
      <c r="Z4031" s="52" t="s">
        <v>410</v>
      </c>
      <c r="AA4031" s="52" t="s">
        <v>247</v>
      </c>
      <c r="AB4031" s="52" t="s">
        <v>247</v>
      </c>
      <c r="AC4031" s="52" t="s">
        <v>247</v>
      </c>
      <c r="AD4031" s="52" t="s">
        <v>1</v>
      </c>
      <c r="AE4031" s="52" t="s">
        <v>384</v>
      </c>
      <c r="AF4031" s="155" t="s">
        <v>247</v>
      </c>
      <c r="AG4031" s="155" t="s">
        <v>247</v>
      </c>
    </row>
    <row r="4032" spans="25:33">
      <c r="Y4032" s="47">
        <v>6041</v>
      </c>
      <c r="Z4032" s="52" t="s">
        <v>410</v>
      </c>
      <c r="AA4032" s="52" t="s">
        <v>247</v>
      </c>
      <c r="AB4032" s="52" t="s">
        <v>247</v>
      </c>
      <c r="AC4032" s="52" t="s">
        <v>247</v>
      </c>
      <c r="AD4032" s="52" t="s">
        <v>1</v>
      </c>
      <c r="AE4032" s="52" t="s">
        <v>384</v>
      </c>
      <c r="AF4032" s="155" t="s">
        <v>247</v>
      </c>
      <c r="AG4032" s="155" t="s">
        <v>247</v>
      </c>
    </row>
    <row r="4033" spans="25:33">
      <c r="Y4033" s="47">
        <v>6042</v>
      </c>
      <c r="Z4033" s="52" t="s">
        <v>410</v>
      </c>
      <c r="AA4033" s="52" t="s">
        <v>247</v>
      </c>
      <c r="AB4033" s="52" t="s">
        <v>247</v>
      </c>
      <c r="AC4033" s="52" t="s">
        <v>247</v>
      </c>
      <c r="AD4033" s="52" t="s">
        <v>1</v>
      </c>
      <c r="AE4033" s="52" t="s">
        <v>384</v>
      </c>
      <c r="AF4033" s="155" t="s">
        <v>247</v>
      </c>
      <c r="AG4033" s="155" t="s">
        <v>247</v>
      </c>
    </row>
    <row r="4034" spans="25:33">
      <c r="Y4034" s="47">
        <v>6043</v>
      </c>
      <c r="Z4034" s="52" t="s">
        <v>410</v>
      </c>
      <c r="AA4034" s="52" t="s">
        <v>247</v>
      </c>
      <c r="AB4034" s="52" t="s">
        <v>247</v>
      </c>
      <c r="AC4034" s="52" t="s">
        <v>247</v>
      </c>
      <c r="AD4034" s="52" t="s">
        <v>1</v>
      </c>
      <c r="AE4034" s="52" t="s">
        <v>384</v>
      </c>
      <c r="AF4034" s="155" t="s">
        <v>247</v>
      </c>
      <c r="AG4034" s="155" t="s">
        <v>247</v>
      </c>
    </row>
    <row r="4035" spans="25:33">
      <c r="Y4035" s="47">
        <v>6044</v>
      </c>
      <c r="Z4035" s="52" t="s">
        <v>410</v>
      </c>
      <c r="AA4035" s="52" t="s">
        <v>247</v>
      </c>
      <c r="AB4035" s="52" t="s">
        <v>247</v>
      </c>
      <c r="AC4035" s="52" t="s">
        <v>247</v>
      </c>
      <c r="AD4035" s="52" t="s">
        <v>1</v>
      </c>
      <c r="AE4035" s="52" t="s">
        <v>384</v>
      </c>
      <c r="AF4035" s="155" t="s">
        <v>247</v>
      </c>
      <c r="AG4035" s="155" t="s">
        <v>247</v>
      </c>
    </row>
    <row r="4036" spans="25:33">
      <c r="Y4036" s="47">
        <v>6045</v>
      </c>
      <c r="Z4036" s="52" t="s">
        <v>410</v>
      </c>
      <c r="AA4036" s="52" t="s">
        <v>247</v>
      </c>
      <c r="AB4036" s="52" t="s">
        <v>247</v>
      </c>
      <c r="AC4036" s="52" t="s">
        <v>247</v>
      </c>
      <c r="AD4036" s="52" t="s">
        <v>1</v>
      </c>
      <c r="AE4036" s="52" t="s">
        <v>384</v>
      </c>
      <c r="AF4036" s="155" t="s">
        <v>247</v>
      </c>
      <c r="AG4036" s="155" t="s">
        <v>247</v>
      </c>
    </row>
    <row r="4037" spans="25:33">
      <c r="Y4037" s="47">
        <v>6046</v>
      </c>
      <c r="Z4037" s="52" t="s">
        <v>410</v>
      </c>
      <c r="AA4037" s="52" t="s">
        <v>247</v>
      </c>
      <c r="AB4037" s="52" t="s">
        <v>247</v>
      </c>
      <c r="AC4037" s="52" t="s">
        <v>247</v>
      </c>
      <c r="AD4037" s="52" t="s">
        <v>1</v>
      </c>
      <c r="AE4037" s="52" t="s">
        <v>384</v>
      </c>
      <c r="AF4037" s="155" t="s">
        <v>247</v>
      </c>
      <c r="AG4037" s="155" t="s">
        <v>247</v>
      </c>
    </row>
    <row r="4038" spans="25:33">
      <c r="Y4038" s="47">
        <v>6047</v>
      </c>
      <c r="Z4038" s="52" t="s">
        <v>410</v>
      </c>
      <c r="AA4038" s="52" t="s">
        <v>247</v>
      </c>
      <c r="AB4038" s="52" t="s">
        <v>247</v>
      </c>
      <c r="AC4038" s="52" t="s">
        <v>247</v>
      </c>
      <c r="AD4038" s="52" t="s">
        <v>1</v>
      </c>
      <c r="AE4038" s="52" t="s">
        <v>384</v>
      </c>
      <c r="AF4038" s="155" t="s">
        <v>247</v>
      </c>
      <c r="AG4038" s="155" t="s">
        <v>247</v>
      </c>
    </row>
    <row r="4039" spans="25:33">
      <c r="Y4039" s="47">
        <v>6048</v>
      </c>
      <c r="Z4039" s="52" t="s">
        <v>410</v>
      </c>
      <c r="AA4039" s="52" t="s">
        <v>247</v>
      </c>
      <c r="AB4039" s="52" t="s">
        <v>247</v>
      </c>
      <c r="AC4039" s="52" t="s">
        <v>247</v>
      </c>
      <c r="AD4039" s="52" t="s">
        <v>1</v>
      </c>
      <c r="AE4039" s="52" t="s">
        <v>384</v>
      </c>
      <c r="AF4039" s="155" t="s">
        <v>247</v>
      </c>
      <c r="AG4039" s="155" t="s">
        <v>247</v>
      </c>
    </row>
    <row r="4040" spans="25:33">
      <c r="Y4040" s="47">
        <v>6049</v>
      </c>
      <c r="Z4040" s="52" t="s">
        <v>410</v>
      </c>
      <c r="AA4040" s="52" t="s">
        <v>247</v>
      </c>
      <c r="AB4040" s="52" t="s">
        <v>247</v>
      </c>
      <c r="AC4040" s="52" t="s">
        <v>247</v>
      </c>
      <c r="AD4040" s="52" t="s">
        <v>1</v>
      </c>
      <c r="AE4040" s="52" t="s">
        <v>384</v>
      </c>
      <c r="AF4040" s="155" t="s">
        <v>247</v>
      </c>
      <c r="AG4040" s="155" t="s">
        <v>247</v>
      </c>
    </row>
    <row r="4041" spans="25:33">
      <c r="Y4041" s="47">
        <v>6050</v>
      </c>
      <c r="Z4041" s="52" t="s">
        <v>410</v>
      </c>
      <c r="AA4041" s="52" t="s">
        <v>247</v>
      </c>
      <c r="AB4041" s="52" t="s">
        <v>247</v>
      </c>
      <c r="AC4041" s="52" t="s">
        <v>247</v>
      </c>
      <c r="AD4041" s="52" t="s">
        <v>1</v>
      </c>
      <c r="AE4041" s="52" t="s">
        <v>384</v>
      </c>
      <c r="AF4041" s="155" t="s">
        <v>247</v>
      </c>
      <c r="AG4041" s="155" t="s">
        <v>247</v>
      </c>
    </row>
    <row r="4042" spans="25:33">
      <c r="Y4042" s="47">
        <v>6051</v>
      </c>
      <c r="Z4042" s="52" t="s">
        <v>410</v>
      </c>
      <c r="AA4042" s="52" t="s">
        <v>247</v>
      </c>
      <c r="AB4042" s="52" t="s">
        <v>247</v>
      </c>
      <c r="AC4042" s="52" t="s">
        <v>247</v>
      </c>
      <c r="AD4042" s="52" t="s">
        <v>1</v>
      </c>
      <c r="AE4042" s="52" t="s">
        <v>384</v>
      </c>
      <c r="AF4042" s="155" t="s">
        <v>247</v>
      </c>
      <c r="AG4042" s="155" t="s">
        <v>247</v>
      </c>
    </row>
    <row r="4043" spans="25:33">
      <c r="Y4043" s="47">
        <v>6052</v>
      </c>
      <c r="Z4043" s="52" t="s">
        <v>410</v>
      </c>
      <c r="AA4043" s="52" t="s">
        <v>247</v>
      </c>
      <c r="AB4043" s="52" t="s">
        <v>247</v>
      </c>
      <c r="AC4043" s="52" t="s">
        <v>247</v>
      </c>
      <c r="AD4043" s="52" t="s">
        <v>1</v>
      </c>
      <c r="AE4043" s="52" t="s">
        <v>384</v>
      </c>
      <c r="AF4043" s="155" t="s">
        <v>247</v>
      </c>
      <c r="AG4043" s="155" t="s">
        <v>247</v>
      </c>
    </row>
    <row r="4044" spans="25:33">
      <c r="Y4044" s="47">
        <v>6053</v>
      </c>
      <c r="Z4044" s="52" t="s">
        <v>410</v>
      </c>
      <c r="AA4044" s="52" t="s">
        <v>247</v>
      </c>
      <c r="AB4044" s="52" t="s">
        <v>247</v>
      </c>
      <c r="AC4044" s="52" t="s">
        <v>247</v>
      </c>
      <c r="AD4044" s="52" t="s">
        <v>1</v>
      </c>
      <c r="AE4044" s="52" t="s">
        <v>384</v>
      </c>
      <c r="AF4044" s="155" t="s">
        <v>247</v>
      </c>
      <c r="AG4044" s="155" t="s">
        <v>247</v>
      </c>
    </row>
    <row r="4045" spans="25:33">
      <c r="Y4045" s="47">
        <v>6054</v>
      </c>
      <c r="Z4045" s="52" t="s">
        <v>410</v>
      </c>
      <c r="AA4045" s="52" t="s">
        <v>247</v>
      </c>
      <c r="AB4045" s="52" t="s">
        <v>247</v>
      </c>
      <c r="AC4045" s="52" t="s">
        <v>247</v>
      </c>
      <c r="AD4045" s="52" t="s">
        <v>1</v>
      </c>
      <c r="AE4045" s="52" t="s">
        <v>384</v>
      </c>
      <c r="AF4045" s="155" t="s">
        <v>247</v>
      </c>
      <c r="AG4045" s="155" t="s">
        <v>247</v>
      </c>
    </row>
    <row r="4046" spans="25:33">
      <c r="Y4046" s="47">
        <v>6055</v>
      </c>
      <c r="Z4046" s="52" t="s">
        <v>410</v>
      </c>
      <c r="AA4046" s="52" t="s">
        <v>247</v>
      </c>
      <c r="AB4046" s="52" t="s">
        <v>247</v>
      </c>
      <c r="AC4046" s="52" t="s">
        <v>247</v>
      </c>
      <c r="AD4046" s="52" t="s">
        <v>1</v>
      </c>
      <c r="AE4046" s="52" t="s">
        <v>384</v>
      </c>
      <c r="AF4046" s="155" t="s">
        <v>247</v>
      </c>
      <c r="AG4046" s="155" t="s">
        <v>247</v>
      </c>
    </row>
    <row r="4047" spans="25:33">
      <c r="Y4047" s="47">
        <v>6056</v>
      </c>
      <c r="Z4047" s="52" t="s">
        <v>410</v>
      </c>
      <c r="AA4047" s="52" t="s">
        <v>247</v>
      </c>
      <c r="AB4047" s="52" t="s">
        <v>247</v>
      </c>
      <c r="AC4047" s="52" t="s">
        <v>247</v>
      </c>
      <c r="AD4047" s="52" t="s">
        <v>1</v>
      </c>
      <c r="AE4047" s="52" t="s">
        <v>384</v>
      </c>
      <c r="AF4047" s="155" t="s">
        <v>247</v>
      </c>
      <c r="AG4047" s="155" t="s">
        <v>247</v>
      </c>
    </row>
    <row r="4048" spans="25:33">
      <c r="Y4048" s="47">
        <v>6057</v>
      </c>
      <c r="Z4048" s="52" t="s">
        <v>410</v>
      </c>
      <c r="AA4048" s="52" t="s">
        <v>247</v>
      </c>
      <c r="AB4048" s="52" t="s">
        <v>247</v>
      </c>
      <c r="AC4048" s="52" t="s">
        <v>247</v>
      </c>
      <c r="AD4048" s="52" t="s">
        <v>1</v>
      </c>
      <c r="AE4048" s="52" t="s">
        <v>384</v>
      </c>
      <c r="AF4048" s="155" t="s">
        <v>247</v>
      </c>
      <c r="AG4048" s="155" t="s">
        <v>247</v>
      </c>
    </row>
    <row r="4049" spans="25:33">
      <c r="Y4049" s="47">
        <v>6058</v>
      </c>
      <c r="Z4049" s="52" t="s">
        <v>410</v>
      </c>
      <c r="AA4049" s="52" t="s">
        <v>247</v>
      </c>
      <c r="AB4049" s="52" t="s">
        <v>247</v>
      </c>
      <c r="AC4049" s="52" t="s">
        <v>247</v>
      </c>
      <c r="AD4049" s="52" t="s">
        <v>1</v>
      </c>
      <c r="AE4049" s="52" t="s">
        <v>384</v>
      </c>
      <c r="AF4049" s="155" t="s">
        <v>247</v>
      </c>
      <c r="AG4049" s="155" t="s">
        <v>247</v>
      </c>
    </row>
    <row r="4050" spans="25:33">
      <c r="Y4050" s="47">
        <v>6059</v>
      </c>
      <c r="Z4050" s="52" t="s">
        <v>410</v>
      </c>
      <c r="AA4050" s="52" t="s">
        <v>247</v>
      </c>
      <c r="AB4050" s="52" t="s">
        <v>247</v>
      </c>
      <c r="AC4050" s="52" t="s">
        <v>247</v>
      </c>
      <c r="AD4050" s="52" t="s">
        <v>1</v>
      </c>
      <c r="AE4050" s="52" t="s">
        <v>384</v>
      </c>
      <c r="AF4050" s="155" t="s">
        <v>247</v>
      </c>
      <c r="AG4050" s="155" t="s">
        <v>247</v>
      </c>
    </row>
    <row r="4051" spans="25:33">
      <c r="Y4051" s="47">
        <v>6060</v>
      </c>
      <c r="Z4051" s="52" t="s">
        <v>410</v>
      </c>
      <c r="AA4051" s="52" t="s">
        <v>247</v>
      </c>
      <c r="AB4051" s="52" t="s">
        <v>247</v>
      </c>
      <c r="AC4051" s="52" t="s">
        <v>247</v>
      </c>
      <c r="AD4051" s="52" t="s">
        <v>1</v>
      </c>
      <c r="AE4051" s="52" t="s">
        <v>384</v>
      </c>
      <c r="AF4051" s="155" t="s">
        <v>247</v>
      </c>
      <c r="AG4051" s="155" t="s">
        <v>247</v>
      </c>
    </row>
    <row r="4052" spans="25:33">
      <c r="Y4052" s="47">
        <v>6061</v>
      </c>
      <c r="Z4052" s="52" t="s">
        <v>410</v>
      </c>
      <c r="AA4052" s="52" t="s">
        <v>247</v>
      </c>
      <c r="AB4052" s="52" t="s">
        <v>247</v>
      </c>
      <c r="AC4052" s="52" t="s">
        <v>247</v>
      </c>
      <c r="AD4052" s="52" t="s">
        <v>1</v>
      </c>
      <c r="AE4052" s="52" t="s">
        <v>384</v>
      </c>
      <c r="AF4052" s="155" t="s">
        <v>247</v>
      </c>
      <c r="AG4052" s="155" t="s">
        <v>247</v>
      </c>
    </row>
    <row r="4053" spans="25:33">
      <c r="Y4053" s="47">
        <v>6062</v>
      </c>
      <c r="Z4053" s="52" t="s">
        <v>410</v>
      </c>
      <c r="AA4053" s="52" t="s">
        <v>247</v>
      </c>
      <c r="AB4053" s="52" t="s">
        <v>247</v>
      </c>
      <c r="AC4053" s="52" t="s">
        <v>247</v>
      </c>
      <c r="AD4053" s="52" t="s">
        <v>1</v>
      </c>
      <c r="AE4053" s="52" t="s">
        <v>384</v>
      </c>
      <c r="AF4053" s="155" t="s">
        <v>247</v>
      </c>
      <c r="AG4053" s="155" t="s">
        <v>247</v>
      </c>
    </row>
    <row r="4054" spans="25:33">
      <c r="Y4054" s="47">
        <v>6063</v>
      </c>
      <c r="Z4054" s="52" t="s">
        <v>410</v>
      </c>
      <c r="AA4054" s="52" t="s">
        <v>247</v>
      </c>
      <c r="AB4054" s="52" t="s">
        <v>247</v>
      </c>
      <c r="AC4054" s="52" t="s">
        <v>247</v>
      </c>
      <c r="AD4054" s="52" t="s">
        <v>1</v>
      </c>
      <c r="AE4054" s="52" t="s">
        <v>384</v>
      </c>
      <c r="AF4054" s="155" t="s">
        <v>247</v>
      </c>
      <c r="AG4054" s="155" t="s">
        <v>247</v>
      </c>
    </row>
    <row r="4055" spans="25:33">
      <c r="Y4055" s="47">
        <v>6064</v>
      </c>
      <c r="Z4055" s="52" t="s">
        <v>410</v>
      </c>
      <c r="AA4055" s="52" t="s">
        <v>247</v>
      </c>
      <c r="AB4055" s="52" t="s">
        <v>247</v>
      </c>
      <c r="AC4055" s="52" t="s">
        <v>247</v>
      </c>
      <c r="AD4055" s="52" t="s">
        <v>1</v>
      </c>
      <c r="AE4055" s="52" t="s">
        <v>384</v>
      </c>
      <c r="AF4055" s="155" t="s">
        <v>247</v>
      </c>
      <c r="AG4055" s="155" t="s">
        <v>247</v>
      </c>
    </row>
    <row r="4056" spans="25:33">
      <c r="Y4056" s="47">
        <v>6065</v>
      </c>
      <c r="Z4056" s="52" t="s">
        <v>410</v>
      </c>
      <c r="AA4056" s="52" t="s">
        <v>247</v>
      </c>
      <c r="AB4056" s="52" t="s">
        <v>247</v>
      </c>
      <c r="AC4056" s="52" t="s">
        <v>247</v>
      </c>
      <c r="AD4056" s="52" t="s">
        <v>1</v>
      </c>
      <c r="AE4056" s="52" t="s">
        <v>384</v>
      </c>
      <c r="AF4056" s="155" t="s">
        <v>247</v>
      </c>
      <c r="AG4056" s="155" t="s">
        <v>247</v>
      </c>
    </row>
    <row r="4057" spans="25:33">
      <c r="Y4057" s="47">
        <v>6066</v>
      </c>
      <c r="Z4057" s="52" t="s">
        <v>410</v>
      </c>
      <c r="AA4057" s="52" t="s">
        <v>247</v>
      </c>
      <c r="AB4057" s="52" t="s">
        <v>247</v>
      </c>
      <c r="AC4057" s="52" t="s">
        <v>247</v>
      </c>
      <c r="AD4057" s="52" t="s">
        <v>1</v>
      </c>
      <c r="AE4057" s="52" t="s">
        <v>384</v>
      </c>
      <c r="AF4057" s="155" t="s">
        <v>247</v>
      </c>
      <c r="AG4057" s="155" t="s">
        <v>247</v>
      </c>
    </row>
    <row r="4058" spans="25:33">
      <c r="Y4058" s="47">
        <v>6067</v>
      </c>
      <c r="Z4058" s="52" t="s">
        <v>410</v>
      </c>
      <c r="AA4058" s="52" t="s">
        <v>247</v>
      </c>
      <c r="AB4058" s="52" t="s">
        <v>247</v>
      </c>
      <c r="AC4058" s="52" t="s">
        <v>247</v>
      </c>
      <c r="AD4058" s="52" t="s">
        <v>1</v>
      </c>
      <c r="AE4058" s="52" t="s">
        <v>384</v>
      </c>
      <c r="AF4058" s="155" t="s">
        <v>247</v>
      </c>
      <c r="AG4058" s="155" t="s">
        <v>247</v>
      </c>
    </row>
    <row r="4059" spans="25:33">
      <c r="Y4059" s="47">
        <v>6068</v>
      </c>
      <c r="Z4059" s="52" t="s">
        <v>410</v>
      </c>
      <c r="AA4059" s="52" t="s">
        <v>247</v>
      </c>
      <c r="AB4059" s="52" t="s">
        <v>247</v>
      </c>
      <c r="AC4059" s="52" t="s">
        <v>247</v>
      </c>
      <c r="AD4059" s="52" t="s">
        <v>1</v>
      </c>
      <c r="AE4059" s="52" t="s">
        <v>384</v>
      </c>
      <c r="AF4059" s="155" t="s">
        <v>247</v>
      </c>
      <c r="AG4059" s="155" t="s">
        <v>247</v>
      </c>
    </row>
    <row r="4060" spans="25:33">
      <c r="Y4060" s="47">
        <v>6069</v>
      </c>
      <c r="Z4060" s="52" t="s">
        <v>410</v>
      </c>
      <c r="AA4060" s="52" t="s">
        <v>247</v>
      </c>
      <c r="AB4060" s="52" t="s">
        <v>247</v>
      </c>
      <c r="AC4060" s="52" t="s">
        <v>247</v>
      </c>
      <c r="AD4060" s="52" t="s">
        <v>1</v>
      </c>
      <c r="AE4060" s="52" t="s">
        <v>384</v>
      </c>
      <c r="AF4060" s="155" t="s">
        <v>247</v>
      </c>
      <c r="AG4060" s="155" t="s">
        <v>247</v>
      </c>
    </row>
    <row r="4061" spans="25:33">
      <c r="Y4061" s="47">
        <v>6070</v>
      </c>
      <c r="Z4061" s="52" t="s">
        <v>410</v>
      </c>
      <c r="AA4061" s="52" t="s">
        <v>247</v>
      </c>
      <c r="AB4061" s="52" t="s">
        <v>247</v>
      </c>
      <c r="AC4061" s="52" t="s">
        <v>247</v>
      </c>
      <c r="AD4061" s="52" t="s">
        <v>1</v>
      </c>
      <c r="AE4061" s="52" t="s">
        <v>384</v>
      </c>
      <c r="AF4061" s="155" t="s">
        <v>247</v>
      </c>
      <c r="AG4061" s="155" t="s">
        <v>247</v>
      </c>
    </row>
    <row r="4062" spans="25:33">
      <c r="Y4062" s="47">
        <v>6071</v>
      </c>
      <c r="Z4062" s="52" t="s">
        <v>410</v>
      </c>
      <c r="AA4062" s="52" t="s">
        <v>247</v>
      </c>
      <c r="AB4062" s="52" t="s">
        <v>247</v>
      </c>
      <c r="AC4062" s="52" t="s">
        <v>247</v>
      </c>
      <c r="AD4062" s="52" t="s">
        <v>1</v>
      </c>
      <c r="AE4062" s="52" t="s">
        <v>384</v>
      </c>
      <c r="AF4062" s="155" t="s">
        <v>247</v>
      </c>
      <c r="AG4062" s="155" t="s">
        <v>247</v>
      </c>
    </row>
    <row r="4063" spans="25:33">
      <c r="Y4063" s="47">
        <v>6072</v>
      </c>
      <c r="Z4063" s="52" t="s">
        <v>410</v>
      </c>
      <c r="AA4063" s="52" t="s">
        <v>247</v>
      </c>
      <c r="AB4063" s="52" t="s">
        <v>247</v>
      </c>
      <c r="AC4063" s="52" t="s">
        <v>247</v>
      </c>
      <c r="AD4063" s="52" t="s">
        <v>1</v>
      </c>
      <c r="AE4063" s="52" t="s">
        <v>384</v>
      </c>
      <c r="AF4063" s="155" t="s">
        <v>247</v>
      </c>
      <c r="AG4063" s="155" t="s">
        <v>247</v>
      </c>
    </row>
    <row r="4064" spans="25:33">
      <c r="Y4064" s="47">
        <v>6073</v>
      </c>
      <c r="Z4064" s="52" t="s">
        <v>410</v>
      </c>
      <c r="AA4064" s="52" t="s">
        <v>247</v>
      </c>
      <c r="AB4064" s="52" t="s">
        <v>247</v>
      </c>
      <c r="AC4064" s="52" t="s">
        <v>247</v>
      </c>
      <c r="AD4064" s="52" t="s">
        <v>1</v>
      </c>
      <c r="AE4064" s="52" t="s">
        <v>384</v>
      </c>
      <c r="AF4064" s="155" t="s">
        <v>247</v>
      </c>
      <c r="AG4064" s="155" t="s">
        <v>247</v>
      </c>
    </row>
    <row r="4065" spans="25:33">
      <c r="Y4065" s="47">
        <v>6074</v>
      </c>
      <c r="Z4065" s="52" t="s">
        <v>410</v>
      </c>
      <c r="AA4065" s="52" t="s">
        <v>247</v>
      </c>
      <c r="AB4065" s="52" t="s">
        <v>247</v>
      </c>
      <c r="AC4065" s="52" t="s">
        <v>247</v>
      </c>
      <c r="AD4065" s="52" t="s">
        <v>1</v>
      </c>
      <c r="AE4065" s="52" t="s">
        <v>384</v>
      </c>
      <c r="AF4065" s="155" t="s">
        <v>247</v>
      </c>
      <c r="AG4065" s="155" t="s">
        <v>247</v>
      </c>
    </row>
    <row r="4066" spans="25:33">
      <c r="Y4066" s="47">
        <v>6075</v>
      </c>
      <c r="Z4066" s="52" t="s">
        <v>410</v>
      </c>
      <c r="AA4066" s="52" t="s">
        <v>247</v>
      </c>
      <c r="AB4066" s="52" t="s">
        <v>247</v>
      </c>
      <c r="AC4066" s="52" t="s">
        <v>247</v>
      </c>
      <c r="AD4066" s="52" t="s">
        <v>1</v>
      </c>
      <c r="AE4066" s="52" t="s">
        <v>384</v>
      </c>
      <c r="AF4066" s="155" t="s">
        <v>247</v>
      </c>
      <c r="AG4066" s="155" t="s">
        <v>247</v>
      </c>
    </row>
    <row r="4067" spans="25:33">
      <c r="Y4067" s="47">
        <v>6076</v>
      </c>
      <c r="Z4067" s="52" t="s">
        <v>410</v>
      </c>
      <c r="AA4067" s="52" t="s">
        <v>247</v>
      </c>
      <c r="AB4067" s="52" t="s">
        <v>247</v>
      </c>
      <c r="AC4067" s="52" t="s">
        <v>247</v>
      </c>
      <c r="AD4067" s="52" t="s">
        <v>1</v>
      </c>
      <c r="AE4067" s="52" t="s">
        <v>384</v>
      </c>
      <c r="AF4067" s="155" t="s">
        <v>247</v>
      </c>
      <c r="AG4067" s="155" t="s">
        <v>247</v>
      </c>
    </row>
    <row r="4068" spans="25:33">
      <c r="Y4068" s="47">
        <v>6077</v>
      </c>
      <c r="Z4068" s="52" t="s">
        <v>410</v>
      </c>
      <c r="AA4068" s="52" t="s">
        <v>247</v>
      </c>
      <c r="AB4068" s="52" t="s">
        <v>247</v>
      </c>
      <c r="AC4068" s="52" t="s">
        <v>247</v>
      </c>
      <c r="AD4068" s="52" t="s">
        <v>1</v>
      </c>
      <c r="AE4068" s="52" t="s">
        <v>384</v>
      </c>
      <c r="AF4068" s="155" t="s">
        <v>247</v>
      </c>
      <c r="AG4068" s="155" t="s">
        <v>247</v>
      </c>
    </row>
    <row r="4069" spans="25:33">
      <c r="Y4069" s="47">
        <v>6078</v>
      </c>
      <c r="Z4069" s="52" t="s">
        <v>410</v>
      </c>
      <c r="AA4069" s="52" t="s">
        <v>247</v>
      </c>
      <c r="AB4069" s="52" t="s">
        <v>247</v>
      </c>
      <c r="AC4069" s="52" t="s">
        <v>247</v>
      </c>
      <c r="AD4069" s="52" t="s">
        <v>1</v>
      </c>
      <c r="AE4069" s="52" t="s">
        <v>384</v>
      </c>
      <c r="AF4069" s="155" t="s">
        <v>247</v>
      </c>
      <c r="AG4069" s="155" t="s">
        <v>247</v>
      </c>
    </row>
    <row r="4070" spans="25:33">
      <c r="Y4070" s="47">
        <v>6079</v>
      </c>
      <c r="Z4070" s="52" t="s">
        <v>410</v>
      </c>
      <c r="AA4070" s="52" t="s">
        <v>247</v>
      </c>
      <c r="AB4070" s="52" t="s">
        <v>247</v>
      </c>
      <c r="AC4070" s="52" t="s">
        <v>247</v>
      </c>
      <c r="AD4070" s="52" t="s">
        <v>1</v>
      </c>
      <c r="AE4070" s="52" t="s">
        <v>384</v>
      </c>
      <c r="AF4070" s="155" t="s">
        <v>247</v>
      </c>
      <c r="AG4070" s="155" t="s">
        <v>247</v>
      </c>
    </row>
    <row r="4071" spans="25:33">
      <c r="Y4071" s="47">
        <v>6080</v>
      </c>
      <c r="Z4071" s="52" t="s">
        <v>410</v>
      </c>
      <c r="AA4071" s="52" t="s">
        <v>247</v>
      </c>
      <c r="AB4071" s="52" t="s">
        <v>247</v>
      </c>
      <c r="AC4071" s="52" t="s">
        <v>247</v>
      </c>
      <c r="AD4071" s="52" t="s">
        <v>1</v>
      </c>
      <c r="AE4071" s="52" t="s">
        <v>384</v>
      </c>
      <c r="AF4071" s="155" t="s">
        <v>247</v>
      </c>
      <c r="AG4071" s="155" t="s">
        <v>247</v>
      </c>
    </row>
    <row r="4072" spans="25:33">
      <c r="Y4072" s="47">
        <v>6081</v>
      </c>
      <c r="Z4072" s="52" t="s">
        <v>410</v>
      </c>
      <c r="AA4072" s="52" t="s">
        <v>247</v>
      </c>
      <c r="AB4072" s="52" t="s">
        <v>247</v>
      </c>
      <c r="AC4072" s="52" t="s">
        <v>247</v>
      </c>
      <c r="AD4072" s="52" t="s">
        <v>1</v>
      </c>
      <c r="AE4072" s="52" t="s">
        <v>384</v>
      </c>
      <c r="AF4072" s="155" t="s">
        <v>247</v>
      </c>
      <c r="AG4072" s="155" t="s">
        <v>247</v>
      </c>
    </row>
    <row r="4073" spans="25:33">
      <c r="Y4073" s="47">
        <v>6082</v>
      </c>
      <c r="Z4073" s="52" t="s">
        <v>410</v>
      </c>
      <c r="AA4073" s="52" t="s">
        <v>247</v>
      </c>
      <c r="AB4073" s="52" t="s">
        <v>247</v>
      </c>
      <c r="AC4073" s="52" t="s">
        <v>247</v>
      </c>
      <c r="AD4073" s="52" t="s">
        <v>1</v>
      </c>
      <c r="AE4073" s="52" t="s">
        <v>384</v>
      </c>
      <c r="AF4073" s="155" t="s">
        <v>247</v>
      </c>
      <c r="AG4073" s="155" t="s">
        <v>247</v>
      </c>
    </row>
    <row r="4074" spans="25:33">
      <c r="Y4074" s="47">
        <v>6083</v>
      </c>
      <c r="Z4074" s="52" t="s">
        <v>410</v>
      </c>
      <c r="AA4074" s="52" t="s">
        <v>247</v>
      </c>
      <c r="AB4074" s="52" t="s">
        <v>247</v>
      </c>
      <c r="AC4074" s="52" t="s">
        <v>247</v>
      </c>
      <c r="AD4074" s="52" t="s">
        <v>1</v>
      </c>
      <c r="AE4074" s="52" t="s">
        <v>384</v>
      </c>
      <c r="AF4074" s="155" t="s">
        <v>247</v>
      </c>
      <c r="AG4074" s="155" t="s">
        <v>247</v>
      </c>
    </row>
    <row r="4075" spans="25:33">
      <c r="Y4075" s="47">
        <v>6084</v>
      </c>
      <c r="Z4075" s="52" t="s">
        <v>410</v>
      </c>
      <c r="AA4075" s="52" t="s">
        <v>247</v>
      </c>
      <c r="AB4075" s="52" t="s">
        <v>247</v>
      </c>
      <c r="AC4075" s="52" t="s">
        <v>247</v>
      </c>
      <c r="AD4075" s="52" t="s">
        <v>1</v>
      </c>
      <c r="AE4075" s="52" t="s">
        <v>384</v>
      </c>
      <c r="AF4075" s="155" t="s">
        <v>247</v>
      </c>
      <c r="AG4075" s="155" t="s">
        <v>247</v>
      </c>
    </row>
    <row r="4076" spans="25:33">
      <c r="Y4076" s="47">
        <v>6085</v>
      </c>
      <c r="Z4076" s="52" t="s">
        <v>410</v>
      </c>
      <c r="AA4076" s="52" t="s">
        <v>247</v>
      </c>
      <c r="AB4076" s="52" t="s">
        <v>247</v>
      </c>
      <c r="AC4076" s="52" t="s">
        <v>247</v>
      </c>
      <c r="AD4076" s="52" t="s">
        <v>1</v>
      </c>
      <c r="AE4076" s="52" t="s">
        <v>384</v>
      </c>
      <c r="AF4076" s="155" t="s">
        <v>247</v>
      </c>
      <c r="AG4076" s="155" t="s">
        <v>247</v>
      </c>
    </row>
    <row r="4077" spans="25:33">
      <c r="Y4077" s="47">
        <v>6086</v>
      </c>
      <c r="Z4077" s="52" t="s">
        <v>410</v>
      </c>
      <c r="AA4077" s="52" t="s">
        <v>247</v>
      </c>
      <c r="AB4077" s="52" t="s">
        <v>247</v>
      </c>
      <c r="AC4077" s="52" t="s">
        <v>247</v>
      </c>
      <c r="AD4077" s="52" t="s">
        <v>1</v>
      </c>
      <c r="AE4077" s="52" t="s">
        <v>384</v>
      </c>
      <c r="AF4077" s="155" t="s">
        <v>247</v>
      </c>
      <c r="AG4077" s="155" t="s">
        <v>247</v>
      </c>
    </row>
    <row r="4078" spans="25:33">
      <c r="Y4078" s="47">
        <v>6087</v>
      </c>
      <c r="Z4078" s="52" t="s">
        <v>410</v>
      </c>
      <c r="AA4078" s="52" t="s">
        <v>247</v>
      </c>
      <c r="AB4078" s="52" t="s">
        <v>247</v>
      </c>
      <c r="AC4078" s="52" t="s">
        <v>247</v>
      </c>
      <c r="AD4078" s="52" t="s">
        <v>1</v>
      </c>
      <c r="AE4078" s="52" t="s">
        <v>384</v>
      </c>
      <c r="AF4078" s="155" t="s">
        <v>247</v>
      </c>
      <c r="AG4078" s="155" t="s">
        <v>247</v>
      </c>
    </row>
    <row r="4079" spans="25:33">
      <c r="Y4079" s="47">
        <v>6088</v>
      </c>
      <c r="Z4079" s="52" t="s">
        <v>410</v>
      </c>
      <c r="AA4079" s="52" t="s">
        <v>247</v>
      </c>
      <c r="AB4079" s="52" t="s">
        <v>247</v>
      </c>
      <c r="AC4079" s="52" t="s">
        <v>247</v>
      </c>
      <c r="AD4079" s="52" t="s">
        <v>1</v>
      </c>
      <c r="AE4079" s="52" t="s">
        <v>384</v>
      </c>
      <c r="AF4079" s="155" t="s">
        <v>247</v>
      </c>
      <c r="AG4079" s="155" t="s">
        <v>247</v>
      </c>
    </row>
    <row r="4080" spans="25:33">
      <c r="Y4080" s="47">
        <v>6089</v>
      </c>
      <c r="Z4080" s="52" t="s">
        <v>410</v>
      </c>
      <c r="AA4080" s="52" t="s">
        <v>247</v>
      </c>
      <c r="AB4080" s="52" t="s">
        <v>247</v>
      </c>
      <c r="AC4080" s="52" t="s">
        <v>247</v>
      </c>
      <c r="AD4080" s="52" t="s">
        <v>1</v>
      </c>
      <c r="AE4080" s="52" t="s">
        <v>384</v>
      </c>
      <c r="AF4080" s="155" t="s">
        <v>247</v>
      </c>
      <c r="AG4080" s="155" t="s">
        <v>247</v>
      </c>
    </row>
    <row r="4081" spans="25:33">
      <c r="Y4081" s="47">
        <v>6090</v>
      </c>
      <c r="Z4081" s="52" t="s">
        <v>410</v>
      </c>
      <c r="AA4081" s="52" t="s">
        <v>247</v>
      </c>
      <c r="AB4081" s="52" t="s">
        <v>247</v>
      </c>
      <c r="AC4081" s="52" t="s">
        <v>247</v>
      </c>
      <c r="AD4081" s="52" t="s">
        <v>1</v>
      </c>
      <c r="AE4081" s="52" t="s">
        <v>384</v>
      </c>
      <c r="AF4081" s="155" t="s">
        <v>247</v>
      </c>
      <c r="AG4081" s="155" t="s">
        <v>247</v>
      </c>
    </row>
    <row r="4082" spans="25:33">
      <c r="Y4082" s="47">
        <v>6091</v>
      </c>
      <c r="Z4082" s="52" t="s">
        <v>410</v>
      </c>
      <c r="AA4082" s="52" t="s">
        <v>247</v>
      </c>
      <c r="AB4082" s="52" t="s">
        <v>247</v>
      </c>
      <c r="AC4082" s="52" t="s">
        <v>247</v>
      </c>
      <c r="AD4082" s="52" t="s">
        <v>1</v>
      </c>
      <c r="AE4082" s="52" t="s">
        <v>384</v>
      </c>
      <c r="AF4082" s="155" t="s">
        <v>247</v>
      </c>
      <c r="AG4082" s="155" t="s">
        <v>247</v>
      </c>
    </row>
    <row r="4083" spans="25:33">
      <c r="Y4083" s="47">
        <v>6092</v>
      </c>
      <c r="Z4083" s="52" t="s">
        <v>410</v>
      </c>
      <c r="AA4083" s="52" t="s">
        <v>247</v>
      </c>
      <c r="AB4083" s="52" t="s">
        <v>247</v>
      </c>
      <c r="AC4083" s="52" t="s">
        <v>247</v>
      </c>
      <c r="AD4083" s="52" t="s">
        <v>1</v>
      </c>
      <c r="AE4083" s="52" t="s">
        <v>384</v>
      </c>
      <c r="AF4083" s="155" t="s">
        <v>247</v>
      </c>
      <c r="AG4083" s="155" t="s">
        <v>247</v>
      </c>
    </row>
    <row r="4084" spans="25:33">
      <c r="Y4084" s="47">
        <v>6093</v>
      </c>
      <c r="Z4084" s="52" t="s">
        <v>410</v>
      </c>
      <c r="AA4084" s="52" t="s">
        <v>247</v>
      </c>
      <c r="AB4084" s="52" t="s">
        <v>247</v>
      </c>
      <c r="AC4084" s="52" t="s">
        <v>247</v>
      </c>
      <c r="AD4084" s="52" t="s">
        <v>1</v>
      </c>
      <c r="AE4084" s="52" t="s">
        <v>384</v>
      </c>
      <c r="AF4084" s="155" t="s">
        <v>247</v>
      </c>
      <c r="AG4084" s="155" t="s">
        <v>247</v>
      </c>
    </row>
    <row r="4085" spans="25:33">
      <c r="Y4085" s="47">
        <v>6094</v>
      </c>
      <c r="Z4085" s="52" t="s">
        <v>410</v>
      </c>
      <c r="AA4085" s="52" t="s">
        <v>247</v>
      </c>
      <c r="AB4085" s="52" t="s">
        <v>247</v>
      </c>
      <c r="AC4085" s="52" t="s">
        <v>247</v>
      </c>
      <c r="AD4085" s="52" t="s">
        <v>1</v>
      </c>
      <c r="AE4085" s="52" t="s">
        <v>384</v>
      </c>
      <c r="AF4085" s="155" t="s">
        <v>247</v>
      </c>
      <c r="AG4085" s="155" t="s">
        <v>247</v>
      </c>
    </row>
    <row r="4086" spans="25:33">
      <c r="Y4086" s="47">
        <v>6095</v>
      </c>
      <c r="Z4086" s="52" t="s">
        <v>410</v>
      </c>
      <c r="AA4086" s="52" t="s">
        <v>247</v>
      </c>
      <c r="AB4086" s="52" t="s">
        <v>247</v>
      </c>
      <c r="AC4086" s="52" t="s">
        <v>247</v>
      </c>
      <c r="AD4086" s="52" t="s">
        <v>1</v>
      </c>
      <c r="AE4086" s="52" t="s">
        <v>384</v>
      </c>
      <c r="AF4086" s="155" t="s">
        <v>247</v>
      </c>
      <c r="AG4086" s="155" t="s">
        <v>247</v>
      </c>
    </row>
    <row r="4087" spans="25:33">
      <c r="Y4087" s="47">
        <v>6096</v>
      </c>
      <c r="Z4087" s="52" t="s">
        <v>410</v>
      </c>
      <c r="AA4087" s="52" t="s">
        <v>247</v>
      </c>
      <c r="AB4087" s="52" t="s">
        <v>247</v>
      </c>
      <c r="AC4087" s="52" t="s">
        <v>247</v>
      </c>
      <c r="AD4087" s="52" t="s">
        <v>1</v>
      </c>
      <c r="AE4087" s="52" t="s">
        <v>384</v>
      </c>
      <c r="AF4087" s="155" t="s">
        <v>247</v>
      </c>
      <c r="AG4087" s="155" t="s">
        <v>247</v>
      </c>
    </row>
    <row r="4088" spans="25:33">
      <c r="Y4088" s="47">
        <v>6097</v>
      </c>
      <c r="Z4088" s="52" t="s">
        <v>410</v>
      </c>
      <c r="AA4088" s="52" t="s">
        <v>247</v>
      </c>
      <c r="AB4088" s="52" t="s">
        <v>247</v>
      </c>
      <c r="AC4088" s="52" t="s">
        <v>247</v>
      </c>
      <c r="AD4088" s="52" t="s">
        <v>1</v>
      </c>
      <c r="AE4088" s="52" t="s">
        <v>384</v>
      </c>
      <c r="AF4088" s="155" t="s">
        <v>247</v>
      </c>
      <c r="AG4088" s="155" t="s">
        <v>247</v>
      </c>
    </row>
    <row r="4089" spans="25:33">
      <c r="Y4089" s="47">
        <v>6098</v>
      </c>
      <c r="Z4089" s="52" t="s">
        <v>410</v>
      </c>
      <c r="AA4089" s="52" t="s">
        <v>247</v>
      </c>
      <c r="AB4089" s="52" t="s">
        <v>247</v>
      </c>
      <c r="AC4089" s="52" t="s">
        <v>247</v>
      </c>
      <c r="AD4089" s="52" t="s">
        <v>1</v>
      </c>
      <c r="AE4089" s="52" t="s">
        <v>384</v>
      </c>
      <c r="AF4089" s="155" t="s">
        <v>247</v>
      </c>
      <c r="AG4089" s="155" t="s">
        <v>247</v>
      </c>
    </row>
    <row r="4090" spans="25:33">
      <c r="Y4090" s="47">
        <v>6099</v>
      </c>
      <c r="Z4090" s="52" t="s">
        <v>410</v>
      </c>
      <c r="AA4090" s="52" t="s">
        <v>247</v>
      </c>
      <c r="AB4090" s="52" t="s">
        <v>247</v>
      </c>
      <c r="AC4090" s="52" t="s">
        <v>247</v>
      </c>
      <c r="AD4090" s="52" t="s">
        <v>1</v>
      </c>
      <c r="AE4090" s="52" t="s">
        <v>384</v>
      </c>
      <c r="AF4090" s="155" t="s">
        <v>247</v>
      </c>
      <c r="AG4090" s="155" t="s">
        <v>247</v>
      </c>
    </row>
    <row r="4091" spans="25:33">
      <c r="Y4091" s="47">
        <v>6100</v>
      </c>
      <c r="Z4091" s="52" t="s">
        <v>410</v>
      </c>
      <c r="AA4091" s="52" t="s">
        <v>247</v>
      </c>
      <c r="AB4091" s="52" t="s">
        <v>247</v>
      </c>
      <c r="AC4091" s="52" t="s">
        <v>247</v>
      </c>
      <c r="AD4091" s="52" t="s">
        <v>1</v>
      </c>
      <c r="AE4091" s="52" t="s">
        <v>384</v>
      </c>
      <c r="AF4091" s="155" t="s">
        <v>247</v>
      </c>
      <c r="AG4091" s="155" t="s">
        <v>247</v>
      </c>
    </row>
    <row r="4092" spans="25:33">
      <c r="Y4092" s="47">
        <v>6101</v>
      </c>
      <c r="Z4092" s="52" t="s">
        <v>410</v>
      </c>
      <c r="AA4092" s="52" t="s">
        <v>247</v>
      </c>
      <c r="AB4092" s="52" t="s">
        <v>247</v>
      </c>
      <c r="AC4092" s="52" t="s">
        <v>247</v>
      </c>
      <c r="AD4092" s="52" t="s">
        <v>1</v>
      </c>
      <c r="AE4092" s="52" t="s">
        <v>384</v>
      </c>
      <c r="AF4092" s="155" t="s">
        <v>247</v>
      </c>
      <c r="AG4092" s="155" t="s">
        <v>247</v>
      </c>
    </row>
    <row r="4093" spans="25:33">
      <c r="Y4093" s="47">
        <v>6102</v>
      </c>
      <c r="Z4093" s="52" t="s">
        <v>410</v>
      </c>
      <c r="AA4093" s="52" t="s">
        <v>247</v>
      </c>
      <c r="AB4093" s="52" t="s">
        <v>247</v>
      </c>
      <c r="AC4093" s="52" t="s">
        <v>247</v>
      </c>
      <c r="AD4093" s="52" t="s">
        <v>1</v>
      </c>
      <c r="AE4093" s="52" t="s">
        <v>384</v>
      </c>
      <c r="AF4093" s="155" t="s">
        <v>247</v>
      </c>
      <c r="AG4093" s="155" t="s">
        <v>247</v>
      </c>
    </row>
    <row r="4094" spans="25:33">
      <c r="Y4094" s="47">
        <v>6103</v>
      </c>
      <c r="Z4094" s="52" t="s">
        <v>410</v>
      </c>
      <c r="AA4094" s="52" t="s">
        <v>247</v>
      </c>
      <c r="AB4094" s="52" t="s">
        <v>247</v>
      </c>
      <c r="AC4094" s="52" t="s">
        <v>247</v>
      </c>
      <c r="AD4094" s="52" t="s">
        <v>1</v>
      </c>
      <c r="AE4094" s="52" t="s">
        <v>384</v>
      </c>
      <c r="AF4094" s="155" t="s">
        <v>247</v>
      </c>
      <c r="AG4094" s="155" t="s">
        <v>247</v>
      </c>
    </row>
    <row r="4095" spans="25:33">
      <c r="Y4095" s="47">
        <v>6104</v>
      </c>
      <c r="Z4095" s="52" t="s">
        <v>410</v>
      </c>
      <c r="AA4095" s="52" t="s">
        <v>247</v>
      </c>
      <c r="AB4095" s="52" t="s">
        <v>247</v>
      </c>
      <c r="AC4095" s="52" t="s">
        <v>247</v>
      </c>
      <c r="AD4095" s="52" t="s">
        <v>1</v>
      </c>
      <c r="AE4095" s="52" t="s">
        <v>384</v>
      </c>
      <c r="AF4095" s="155" t="s">
        <v>247</v>
      </c>
      <c r="AG4095" s="155" t="s">
        <v>247</v>
      </c>
    </row>
    <row r="4096" spans="25:33">
      <c r="Y4096" s="47">
        <v>6105</v>
      </c>
      <c r="Z4096" s="52" t="s">
        <v>410</v>
      </c>
      <c r="AA4096" s="52" t="s">
        <v>247</v>
      </c>
      <c r="AB4096" s="52" t="s">
        <v>247</v>
      </c>
      <c r="AC4096" s="52" t="s">
        <v>247</v>
      </c>
      <c r="AD4096" s="52" t="s">
        <v>1</v>
      </c>
      <c r="AE4096" s="52" t="s">
        <v>384</v>
      </c>
      <c r="AF4096" s="155" t="s">
        <v>247</v>
      </c>
      <c r="AG4096" s="155" t="s">
        <v>247</v>
      </c>
    </row>
    <row r="4097" spans="25:33">
      <c r="Y4097" s="47">
        <v>6106</v>
      </c>
      <c r="Z4097" s="52" t="s">
        <v>410</v>
      </c>
      <c r="AA4097" s="52" t="s">
        <v>247</v>
      </c>
      <c r="AB4097" s="52" t="s">
        <v>247</v>
      </c>
      <c r="AC4097" s="52" t="s">
        <v>247</v>
      </c>
      <c r="AD4097" s="52" t="s">
        <v>1</v>
      </c>
      <c r="AE4097" s="52" t="s">
        <v>384</v>
      </c>
      <c r="AF4097" s="155" t="s">
        <v>247</v>
      </c>
      <c r="AG4097" s="155" t="s">
        <v>247</v>
      </c>
    </row>
    <row r="4098" spans="25:33">
      <c r="Y4098" s="47">
        <v>6107</v>
      </c>
      <c r="Z4098" s="52" t="s">
        <v>410</v>
      </c>
      <c r="AA4098" s="52" t="s">
        <v>247</v>
      </c>
      <c r="AB4098" s="52" t="s">
        <v>247</v>
      </c>
      <c r="AC4098" s="52" t="s">
        <v>247</v>
      </c>
      <c r="AD4098" s="52" t="s">
        <v>1</v>
      </c>
      <c r="AE4098" s="52" t="s">
        <v>384</v>
      </c>
      <c r="AF4098" s="155" t="s">
        <v>247</v>
      </c>
      <c r="AG4098" s="155" t="s">
        <v>247</v>
      </c>
    </row>
    <row r="4099" spans="25:33">
      <c r="Y4099" s="47">
        <v>6108</v>
      </c>
      <c r="Z4099" s="52" t="s">
        <v>410</v>
      </c>
      <c r="AA4099" s="52" t="s">
        <v>247</v>
      </c>
      <c r="AB4099" s="52" t="s">
        <v>247</v>
      </c>
      <c r="AC4099" s="52" t="s">
        <v>247</v>
      </c>
      <c r="AD4099" s="52" t="s">
        <v>1</v>
      </c>
      <c r="AE4099" s="52" t="s">
        <v>384</v>
      </c>
      <c r="AF4099" s="155" t="s">
        <v>247</v>
      </c>
      <c r="AG4099" s="155" t="s">
        <v>247</v>
      </c>
    </row>
    <row r="4100" spans="25:33">
      <c r="Y4100" s="47">
        <v>6109</v>
      </c>
      <c r="Z4100" s="52" t="s">
        <v>410</v>
      </c>
      <c r="AA4100" s="52" t="s">
        <v>247</v>
      </c>
      <c r="AB4100" s="52" t="s">
        <v>247</v>
      </c>
      <c r="AC4100" s="52" t="s">
        <v>247</v>
      </c>
      <c r="AD4100" s="52" t="s">
        <v>1</v>
      </c>
      <c r="AE4100" s="52" t="s">
        <v>384</v>
      </c>
      <c r="AF4100" s="155" t="s">
        <v>247</v>
      </c>
      <c r="AG4100" s="155" t="s">
        <v>247</v>
      </c>
    </row>
    <row r="4101" spans="25:33">
      <c r="Y4101" s="47">
        <v>6110</v>
      </c>
      <c r="Z4101" s="52" t="s">
        <v>410</v>
      </c>
      <c r="AA4101" s="52" t="s">
        <v>247</v>
      </c>
      <c r="AB4101" s="52" t="s">
        <v>247</v>
      </c>
      <c r="AC4101" s="52" t="s">
        <v>247</v>
      </c>
      <c r="AD4101" s="52" t="s">
        <v>1</v>
      </c>
      <c r="AE4101" s="52" t="s">
        <v>384</v>
      </c>
      <c r="AF4101" s="155" t="s">
        <v>247</v>
      </c>
      <c r="AG4101" s="155" t="s">
        <v>247</v>
      </c>
    </row>
    <row r="4102" spans="25:33">
      <c r="Y4102" s="47">
        <v>6111</v>
      </c>
      <c r="Z4102" s="52" t="s">
        <v>410</v>
      </c>
      <c r="AA4102" s="52" t="s">
        <v>247</v>
      </c>
      <c r="AB4102" s="52" t="s">
        <v>247</v>
      </c>
      <c r="AC4102" s="52" t="s">
        <v>247</v>
      </c>
      <c r="AD4102" s="52" t="s">
        <v>1</v>
      </c>
      <c r="AE4102" s="52" t="s">
        <v>384</v>
      </c>
      <c r="AF4102" s="155" t="s">
        <v>247</v>
      </c>
      <c r="AG4102" s="155" t="s">
        <v>247</v>
      </c>
    </row>
    <row r="4103" spans="25:33">
      <c r="Y4103" s="47">
        <v>6112</v>
      </c>
      <c r="Z4103" s="52" t="s">
        <v>410</v>
      </c>
      <c r="AA4103" s="52" t="s">
        <v>247</v>
      </c>
      <c r="AB4103" s="52" t="s">
        <v>247</v>
      </c>
      <c r="AC4103" s="52" t="s">
        <v>247</v>
      </c>
      <c r="AD4103" s="52" t="s">
        <v>1</v>
      </c>
      <c r="AE4103" s="52" t="s">
        <v>384</v>
      </c>
      <c r="AF4103" s="155" t="s">
        <v>247</v>
      </c>
      <c r="AG4103" s="155" t="s">
        <v>247</v>
      </c>
    </row>
    <row r="4104" spans="25:33">
      <c r="Y4104" s="47">
        <v>6113</v>
      </c>
      <c r="Z4104" s="52" t="s">
        <v>410</v>
      </c>
      <c r="AA4104" s="52" t="s">
        <v>247</v>
      </c>
      <c r="AB4104" s="52" t="s">
        <v>247</v>
      </c>
      <c r="AC4104" s="52" t="s">
        <v>247</v>
      </c>
      <c r="AD4104" s="52" t="s">
        <v>1</v>
      </c>
      <c r="AE4104" s="52" t="s">
        <v>384</v>
      </c>
      <c r="AF4104" s="155" t="s">
        <v>247</v>
      </c>
      <c r="AG4104" s="155" t="s">
        <v>247</v>
      </c>
    </row>
    <row r="4105" spans="25:33">
      <c r="Y4105" s="47">
        <v>6114</v>
      </c>
      <c r="Z4105" s="52" t="s">
        <v>410</v>
      </c>
      <c r="AA4105" s="52" t="s">
        <v>247</v>
      </c>
      <c r="AB4105" s="52" t="s">
        <v>247</v>
      </c>
      <c r="AC4105" s="52" t="s">
        <v>247</v>
      </c>
      <c r="AD4105" s="52" t="s">
        <v>1</v>
      </c>
      <c r="AE4105" s="52" t="s">
        <v>384</v>
      </c>
      <c r="AF4105" s="155" t="s">
        <v>247</v>
      </c>
      <c r="AG4105" s="155" t="s">
        <v>247</v>
      </c>
    </row>
    <row r="4106" spans="25:33">
      <c r="Y4106" s="47">
        <v>6115</v>
      </c>
      <c r="Z4106" s="52" t="s">
        <v>410</v>
      </c>
      <c r="AA4106" s="52" t="s">
        <v>247</v>
      </c>
      <c r="AB4106" s="52" t="s">
        <v>247</v>
      </c>
      <c r="AC4106" s="52" t="s">
        <v>247</v>
      </c>
      <c r="AD4106" s="52" t="s">
        <v>1</v>
      </c>
      <c r="AE4106" s="52" t="s">
        <v>384</v>
      </c>
      <c r="AF4106" s="155" t="s">
        <v>247</v>
      </c>
      <c r="AG4106" s="155" t="s">
        <v>247</v>
      </c>
    </row>
    <row r="4107" spans="25:33">
      <c r="Y4107" s="47">
        <v>6116</v>
      </c>
      <c r="Z4107" s="52" t="s">
        <v>410</v>
      </c>
      <c r="AA4107" s="52" t="s">
        <v>247</v>
      </c>
      <c r="AB4107" s="52" t="s">
        <v>247</v>
      </c>
      <c r="AC4107" s="52" t="s">
        <v>247</v>
      </c>
      <c r="AD4107" s="52" t="s">
        <v>1</v>
      </c>
      <c r="AE4107" s="52" t="s">
        <v>384</v>
      </c>
      <c r="AF4107" s="155" t="s">
        <v>247</v>
      </c>
      <c r="AG4107" s="155" t="s">
        <v>247</v>
      </c>
    </row>
    <row r="4108" spans="25:33">
      <c r="Y4108" s="47">
        <v>6117</v>
      </c>
      <c r="Z4108" s="52" t="s">
        <v>410</v>
      </c>
      <c r="AA4108" s="52" t="s">
        <v>247</v>
      </c>
      <c r="AB4108" s="52" t="s">
        <v>247</v>
      </c>
      <c r="AC4108" s="52" t="s">
        <v>247</v>
      </c>
      <c r="AD4108" s="52" t="s">
        <v>1</v>
      </c>
      <c r="AE4108" s="52" t="s">
        <v>384</v>
      </c>
      <c r="AF4108" s="155" t="s">
        <v>247</v>
      </c>
      <c r="AG4108" s="155" t="s">
        <v>247</v>
      </c>
    </row>
    <row r="4109" spans="25:33">
      <c r="Y4109" s="47">
        <v>6118</v>
      </c>
      <c r="Z4109" s="52" t="s">
        <v>410</v>
      </c>
      <c r="AA4109" s="52" t="s">
        <v>247</v>
      </c>
      <c r="AB4109" s="52" t="s">
        <v>247</v>
      </c>
      <c r="AC4109" s="52" t="s">
        <v>247</v>
      </c>
      <c r="AD4109" s="52" t="s">
        <v>1</v>
      </c>
      <c r="AE4109" s="52" t="s">
        <v>384</v>
      </c>
      <c r="AF4109" s="155" t="s">
        <v>247</v>
      </c>
      <c r="AG4109" s="155" t="s">
        <v>247</v>
      </c>
    </row>
    <row r="4110" spans="25:33">
      <c r="Y4110" s="47">
        <v>6119</v>
      </c>
      <c r="Z4110" s="52" t="s">
        <v>410</v>
      </c>
      <c r="AA4110" s="52" t="s">
        <v>247</v>
      </c>
      <c r="AB4110" s="52" t="s">
        <v>247</v>
      </c>
      <c r="AC4110" s="52" t="s">
        <v>247</v>
      </c>
      <c r="AD4110" s="52" t="s">
        <v>1</v>
      </c>
      <c r="AE4110" s="52" t="s">
        <v>384</v>
      </c>
      <c r="AF4110" s="155" t="s">
        <v>247</v>
      </c>
      <c r="AG4110" s="155" t="s">
        <v>247</v>
      </c>
    </row>
    <row r="4111" spans="25:33">
      <c r="Y4111" s="47">
        <v>6120</v>
      </c>
      <c r="Z4111" s="52" t="s">
        <v>410</v>
      </c>
      <c r="AA4111" s="52" t="s">
        <v>247</v>
      </c>
      <c r="AB4111" s="52" t="s">
        <v>247</v>
      </c>
      <c r="AC4111" s="52" t="s">
        <v>247</v>
      </c>
      <c r="AD4111" s="52" t="s">
        <v>1</v>
      </c>
      <c r="AE4111" s="52" t="s">
        <v>384</v>
      </c>
      <c r="AF4111" s="155" t="s">
        <v>247</v>
      </c>
      <c r="AG4111" s="155" t="s">
        <v>247</v>
      </c>
    </row>
    <row r="4112" spans="25:33">
      <c r="Y4112" s="47">
        <v>6121</v>
      </c>
      <c r="Z4112" s="52" t="s">
        <v>410</v>
      </c>
      <c r="AA4112" s="52" t="s">
        <v>247</v>
      </c>
      <c r="AB4112" s="52" t="s">
        <v>247</v>
      </c>
      <c r="AC4112" s="52" t="s">
        <v>247</v>
      </c>
      <c r="AD4112" s="52" t="s">
        <v>1</v>
      </c>
      <c r="AE4112" s="52" t="s">
        <v>384</v>
      </c>
      <c r="AF4112" s="155" t="s">
        <v>247</v>
      </c>
      <c r="AG4112" s="155" t="s">
        <v>247</v>
      </c>
    </row>
    <row r="4113" spans="25:33">
      <c r="Y4113" s="47">
        <v>6122</v>
      </c>
      <c r="Z4113" s="52" t="s">
        <v>410</v>
      </c>
      <c r="AA4113" s="52" t="s">
        <v>247</v>
      </c>
      <c r="AB4113" s="52" t="s">
        <v>247</v>
      </c>
      <c r="AC4113" s="52" t="s">
        <v>247</v>
      </c>
      <c r="AD4113" s="52" t="s">
        <v>1</v>
      </c>
      <c r="AE4113" s="52" t="s">
        <v>384</v>
      </c>
      <c r="AF4113" s="155" t="s">
        <v>247</v>
      </c>
      <c r="AG4113" s="155" t="s">
        <v>247</v>
      </c>
    </row>
    <row r="4114" spans="25:33">
      <c r="Y4114" s="47">
        <v>6123</v>
      </c>
      <c r="Z4114" s="52" t="s">
        <v>410</v>
      </c>
      <c r="AA4114" s="52" t="s">
        <v>247</v>
      </c>
      <c r="AB4114" s="52" t="s">
        <v>247</v>
      </c>
      <c r="AC4114" s="52" t="s">
        <v>247</v>
      </c>
      <c r="AD4114" s="52" t="s">
        <v>1</v>
      </c>
      <c r="AE4114" s="52" t="s">
        <v>384</v>
      </c>
      <c r="AF4114" s="155" t="s">
        <v>247</v>
      </c>
      <c r="AG4114" s="155" t="s">
        <v>247</v>
      </c>
    </row>
    <row r="4115" spans="25:33">
      <c r="Y4115" s="47">
        <v>6124</v>
      </c>
      <c r="Z4115" s="52" t="s">
        <v>410</v>
      </c>
      <c r="AA4115" s="52" t="s">
        <v>247</v>
      </c>
      <c r="AB4115" s="52" t="s">
        <v>247</v>
      </c>
      <c r="AC4115" s="52" t="s">
        <v>247</v>
      </c>
      <c r="AD4115" s="52" t="s">
        <v>1</v>
      </c>
      <c r="AE4115" s="52" t="s">
        <v>384</v>
      </c>
      <c r="AF4115" s="155" t="s">
        <v>247</v>
      </c>
      <c r="AG4115" s="155" t="s">
        <v>247</v>
      </c>
    </row>
    <row r="4116" spans="25:33">
      <c r="Y4116" s="47">
        <v>6125</v>
      </c>
      <c r="Z4116" s="52" t="s">
        <v>410</v>
      </c>
      <c r="AA4116" s="52" t="s">
        <v>247</v>
      </c>
      <c r="AB4116" s="52" t="s">
        <v>247</v>
      </c>
      <c r="AC4116" s="52" t="s">
        <v>247</v>
      </c>
      <c r="AD4116" s="52" t="s">
        <v>1</v>
      </c>
      <c r="AE4116" s="52" t="s">
        <v>384</v>
      </c>
      <c r="AF4116" s="155" t="s">
        <v>247</v>
      </c>
      <c r="AG4116" s="155" t="s">
        <v>247</v>
      </c>
    </row>
    <row r="4117" spans="25:33">
      <c r="Y4117" s="47">
        <v>6126</v>
      </c>
      <c r="Z4117" s="52" t="s">
        <v>410</v>
      </c>
      <c r="AA4117" s="52" t="s">
        <v>247</v>
      </c>
      <c r="AB4117" s="52" t="s">
        <v>247</v>
      </c>
      <c r="AC4117" s="52" t="s">
        <v>247</v>
      </c>
      <c r="AD4117" s="52" t="s">
        <v>1</v>
      </c>
      <c r="AE4117" s="52" t="s">
        <v>384</v>
      </c>
      <c r="AF4117" s="155" t="s">
        <v>247</v>
      </c>
      <c r="AG4117" s="155" t="s">
        <v>247</v>
      </c>
    </row>
    <row r="4118" spans="25:33">
      <c r="Y4118" s="47">
        <v>6127</v>
      </c>
      <c r="Z4118" s="52" t="s">
        <v>410</v>
      </c>
      <c r="AA4118" s="52" t="s">
        <v>247</v>
      </c>
      <c r="AB4118" s="52" t="s">
        <v>247</v>
      </c>
      <c r="AC4118" s="52" t="s">
        <v>247</v>
      </c>
      <c r="AD4118" s="52" t="s">
        <v>1</v>
      </c>
      <c r="AE4118" s="52" t="s">
        <v>384</v>
      </c>
      <c r="AF4118" s="155" t="s">
        <v>247</v>
      </c>
      <c r="AG4118" s="155" t="s">
        <v>247</v>
      </c>
    </row>
    <row r="4119" spans="25:33">
      <c r="Y4119" s="47">
        <v>6128</v>
      </c>
      <c r="Z4119" s="52" t="s">
        <v>410</v>
      </c>
      <c r="AA4119" s="52" t="s">
        <v>247</v>
      </c>
      <c r="AB4119" s="52" t="s">
        <v>247</v>
      </c>
      <c r="AC4119" s="52" t="s">
        <v>247</v>
      </c>
      <c r="AD4119" s="52" t="s">
        <v>1</v>
      </c>
      <c r="AE4119" s="52" t="s">
        <v>384</v>
      </c>
      <c r="AF4119" s="155" t="s">
        <v>247</v>
      </c>
      <c r="AG4119" s="155" t="s">
        <v>247</v>
      </c>
    </row>
    <row r="4120" spans="25:33">
      <c r="Y4120" s="47">
        <v>6129</v>
      </c>
      <c r="Z4120" s="52" t="s">
        <v>410</v>
      </c>
      <c r="AA4120" s="52" t="s">
        <v>247</v>
      </c>
      <c r="AB4120" s="52" t="s">
        <v>247</v>
      </c>
      <c r="AC4120" s="52" t="s">
        <v>247</v>
      </c>
      <c r="AD4120" s="52" t="s">
        <v>1</v>
      </c>
      <c r="AE4120" s="52" t="s">
        <v>384</v>
      </c>
      <c r="AF4120" s="155" t="s">
        <v>247</v>
      </c>
      <c r="AG4120" s="155" t="s">
        <v>247</v>
      </c>
    </row>
    <row r="4121" spans="25:33">
      <c r="Y4121" s="47">
        <v>6130</v>
      </c>
      <c r="Z4121" s="52" t="s">
        <v>410</v>
      </c>
      <c r="AA4121" s="52" t="s">
        <v>247</v>
      </c>
      <c r="AB4121" s="52" t="s">
        <v>247</v>
      </c>
      <c r="AC4121" s="52" t="s">
        <v>247</v>
      </c>
      <c r="AD4121" s="52" t="s">
        <v>1</v>
      </c>
      <c r="AE4121" s="52" t="s">
        <v>384</v>
      </c>
      <c r="AF4121" s="155" t="s">
        <v>247</v>
      </c>
      <c r="AG4121" s="155" t="s">
        <v>247</v>
      </c>
    </row>
    <row r="4122" spans="25:33">
      <c r="Y4122" s="47">
        <v>6131</v>
      </c>
      <c r="Z4122" s="52" t="s">
        <v>410</v>
      </c>
      <c r="AA4122" s="52" t="s">
        <v>247</v>
      </c>
      <c r="AB4122" s="52" t="s">
        <v>247</v>
      </c>
      <c r="AC4122" s="52" t="s">
        <v>247</v>
      </c>
      <c r="AD4122" s="52" t="s">
        <v>1</v>
      </c>
      <c r="AE4122" s="52" t="s">
        <v>384</v>
      </c>
      <c r="AF4122" s="155" t="s">
        <v>247</v>
      </c>
      <c r="AG4122" s="155" t="s">
        <v>247</v>
      </c>
    </row>
    <row r="4123" spans="25:33">
      <c r="Y4123" s="47">
        <v>6132</v>
      </c>
      <c r="Z4123" s="52" t="s">
        <v>410</v>
      </c>
      <c r="AA4123" s="52" t="s">
        <v>247</v>
      </c>
      <c r="AB4123" s="52" t="s">
        <v>247</v>
      </c>
      <c r="AC4123" s="52" t="s">
        <v>247</v>
      </c>
      <c r="AD4123" s="52" t="s">
        <v>1</v>
      </c>
      <c r="AE4123" s="52" t="s">
        <v>384</v>
      </c>
      <c r="AF4123" s="155" t="s">
        <v>247</v>
      </c>
      <c r="AG4123" s="155" t="s">
        <v>247</v>
      </c>
    </row>
    <row r="4124" spans="25:33">
      <c r="Y4124" s="47">
        <v>6133</v>
      </c>
      <c r="Z4124" s="52" t="s">
        <v>410</v>
      </c>
      <c r="AA4124" s="52" t="s">
        <v>247</v>
      </c>
      <c r="AB4124" s="52" t="s">
        <v>247</v>
      </c>
      <c r="AC4124" s="52" t="s">
        <v>247</v>
      </c>
      <c r="AD4124" s="52" t="s">
        <v>1</v>
      </c>
      <c r="AE4124" s="52" t="s">
        <v>384</v>
      </c>
      <c r="AF4124" s="155" t="s">
        <v>247</v>
      </c>
      <c r="AG4124" s="155" t="s">
        <v>247</v>
      </c>
    </row>
    <row r="4125" spans="25:33">
      <c r="Y4125" s="47">
        <v>6134</v>
      </c>
      <c r="Z4125" s="52" t="s">
        <v>410</v>
      </c>
      <c r="AA4125" s="52" t="s">
        <v>247</v>
      </c>
      <c r="AB4125" s="52" t="s">
        <v>247</v>
      </c>
      <c r="AC4125" s="52" t="s">
        <v>247</v>
      </c>
      <c r="AD4125" s="52" t="s">
        <v>1</v>
      </c>
      <c r="AE4125" s="52" t="s">
        <v>384</v>
      </c>
      <c r="AF4125" s="155" t="s">
        <v>247</v>
      </c>
      <c r="AG4125" s="155" t="s">
        <v>247</v>
      </c>
    </row>
    <row r="4126" spans="25:33">
      <c r="Y4126" s="47">
        <v>6135</v>
      </c>
      <c r="Z4126" s="52" t="s">
        <v>410</v>
      </c>
      <c r="AA4126" s="52" t="s">
        <v>247</v>
      </c>
      <c r="AB4126" s="52" t="s">
        <v>247</v>
      </c>
      <c r="AC4126" s="52" t="s">
        <v>247</v>
      </c>
      <c r="AD4126" s="52" t="s">
        <v>1</v>
      </c>
      <c r="AE4126" s="52" t="s">
        <v>384</v>
      </c>
      <c r="AF4126" s="155" t="s">
        <v>247</v>
      </c>
      <c r="AG4126" s="155" t="s">
        <v>247</v>
      </c>
    </row>
    <row r="4127" spans="25:33">
      <c r="Y4127" s="47">
        <v>6136</v>
      </c>
      <c r="Z4127" s="52" t="s">
        <v>410</v>
      </c>
      <c r="AA4127" s="52" t="s">
        <v>247</v>
      </c>
      <c r="AB4127" s="52" t="s">
        <v>247</v>
      </c>
      <c r="AC4127" s="52" t="s">
        <v>247</v>
      </c>
      <c r="AD4127" s="52" t="s">
        <v>1</v>
      </c>
      <c r="AE4127" s="52" t="s">
        <v>384</v>
      </c>
      <c r="AF4127" s="155" t="s">
        <v>247</v>
      </c>
      <c r="AG4127" s="155" t="s">
        <v>247</v>
      </c>
    </row>
    <row r="4128" spans="25:33">
      <c r="Y4128" s="47">
        <v>6137</v>
      </c>
      <c r="Z4128" s="52" t="s">
        <v>410</v>
      </c>
      <c r="AA4128" s="52" t="s">
        <v>247</v>
      </c>
      <c r="AB4128" s="52" t="s">
        <v>247</v>
      </c>
      <c r="AC4128" s="52" t="s">
        <v>247</v>
      </c>
      <c r="AD4128" s="52" t="s">
        <v>1</v>
      </c>
      <c r="AE4128" s="52" t="s">
        <v>384</v>
      </c>
      <c r="AF4128" s="155" t="s">
        <v>247</v>
      </c>
      <c r="AG4128" s="155" t="s">
        <v>247</v>
      </c>
    </row>
    <row r="4129" spans="25:33">
      <c r="Y4129" s="47">
        <v>6138</v>
      </c>
      <c r="Z4129" s="52" t="s">
        <v>410</v>
      </c>
      <c r="AA4129" s="52" t="s">
        <v>247</v>
      </c>
      <c r="AB4129" s="52" t="s">
        <v>247</v>
      </c>
      <c r="AC4129" s="52" t="s">
        <v>247</v>
      </c>
      <c r="AD4129" s="52" t="s">
        <v>1</v>
      </c>
      <c r="AE4129" s="52" t="s">
        <v>384</v>
      </c>
      <c r="AF4129" s="155" t="s">
        <v>247</v>
      </c>
      <c r="AG4129" s="155" t="s">
        <v>247</v>
      </c>
    </row>
    <row r="4130" spans="25:33">
      <c r="Y4130" s="47">
        <v>6139</v>
      </c>
      <c r="Z4130" s="52" t="s">
        <v>410</v>
      </c>
      <c r="AA4130" s="52" t="s">
        <v>247</v>
      </c>
      <c r="AB4130" s="52" t="s">
        <v>247</v>
      </c>
      <c r="AC4130" s="52" t="s">
        <v>247</v>
      </c>
      <c r="AD4130" s="52" t="s">
        <v>1</v>
      </c>
      <c r="AE4130" s="52" t="s">
        <v>384</v>
      </c>
      <c r="AF4130" s="155" t="s">
        <v>247</v>
      </c>
      <c r="AG4130" s="155" t="s">
        <v>247</v>
      </c>
    </row>
    <row r="4131" spans="25:33">
      <c r="Y4131" s="47">
        <v>6140</v>
      </c>
      <c r="Z4131" s="52" t="s">
        <v>410</v>
      </c>
      <c r="AA4131" s="52" t="s">
        <v>247</v>
      </c>
      <c r="AB4131" s="52" t="s">
        <v>247</v>
      </c>
      <c r="AC4131" s="52" t="s">
        <v>247</v>
      </c>
      <c r="AD4131" s="52" t="s">
        <v>1</v>
      </c>
      <c r="AE4131" s="52" t="s">
        <v>384</v>
      </c>
      <c r="AF4131" s="155" t="s">
        <v>247</v>
      </c>
      <c r="AG4131" s="155" t="s">
        <v>247</v>
      </c>
    </row>
    <row r="4132" spans="25:33">
      <c r="Y4132" s="47">
        <v>6141</v>
      </c>
      <c r="Z4132" s="52" t="s">
        <v>410</v>
      </c>
      <c r="AA4132" s="52" t="s">
        <v>247</v>
      </c>
      <c r="AB4132" s="52" t="s">
        <v>247</v>
      </c>
      <c r="AC4132" s="52" t="s">
        <v>247</v>
      </c>
      <c r="AD4132" s="52" t="s">
        <v>1</v>
      </c>
      <c r="AE4132" s="52" t="s">
        <v>384</v>
      </c>
      <c r="AF4132" s="155" t="s">
        <v>247</v>
      </c>
      <c r="AG4132" s="155" t="s">
        <v>247</v>
      </c>
    </row>
    <row r="4133" spans="25:33">
      <c r="Y4133" s="47">
        <v>6142</v>
      </c>
      <c r="Z4133" s="52" t="s">
        <v>410</v>
      </c>
      <c r="AA4133" s="52" t="s">
        <v>247</v>
      </c>
      <c r="AB4133" s="52" t="s">
        <v>247</v>
      </c>
      <c r="AC4133" s="52" t="s">
        <v>247</v>
      </c>
      <c r="AD4133" s="52" t="s">
        <v>1</v>
      </c>
      <c r="AE4133" s="52" t="s">
        <v>384</v>
      </c>
      <c r="AF4133" s="155" t="s">
        <v>247</v>
      </c>
      <c r="AG4133" s="155" t="s">
        <v>247</v>
      </c>
    </row>
    <row r="4134" spans="25:33">
      <c r="Y4134" s="47">
        <v>6143</v>
      </c>
      <c r="Z4134" s="52" t="s">
        <v>410</v>
      </c>
      <c r="AA4134" s="52" t="s">
        <v>247</v>
      </c>
      <c r="AB4134" s="52" t="s">
        <v>247</v>
      </c>
      <c r="AC4134" s="52" t="s">
        <v>247</v>
      </c>
      <c r="AD4134" s="52" t="s">
        <v>1</v>
      </c>
      <c r="AE4134" s="52" t="s">
        <v>384</v>
      </c>
      <c r="AF4134" s="155" t="s">
        <v>247</v>
      </c>
      <c r="AG4134" s="155" t="s">
        <v>247</v>
      </c>
    </row>
    <row r="4135" spans="25:33">
      <c r="Y4135" s="47">
        <v>6144</v>
      </c>
      <c r="Z4135" s="52" t="s">
        <v>410</v>
      </c>
      <c r="AA4135" s="52" t="s">
        <v>247</v>
      </c>
      <c r="AB4135" s="52" t="s">
        <v>247</v>
      </c>
      <c r="AC4135" s="52" t="s">
        <v>247</v>
      </c>
      <c r="AD4135" s="52" t="s">
        <v>1</v>
      </c>
      <c r="AE4135" s="52" t="s">
        <v>384</v>
      </c>
      <c r="AF4135" s="155" t="s">
        <v>247</v>
      </c>
      <c r="AG4135" s="155" t="s">
        <v>247</v>
      </c>
    </row>
    <row r="4136" spans="25:33">
      <c r="Y4136" s="47">
        <v>6145</v>
      </c>
      <c r="Z4136" s="52" t="s">
        <v>410</v>
      </c>
      <c r="AA4136" s="52" t="s">
        <v>247</v>
      </c>
      <c r="AB4136" s="52" t="s">
        <v>247</v>
      </c>
      <c r="AC4136" s="52" t="s">
        <v>247</v>
      </c>
      <c r="AD4136" s="52" t="s">
        <v>1</v>
      </c>
      <c r="AE4136" s="52" t="s">
        <v>384</v>
      </c>
      <c r="AF4136" s="155" t="s">
        <v>247</v>
      </c>
      <c r="AG4136" s="155" t="s">
        <v>247</v>
      </c>
    </row>
    <row r="4137" spans="25:33">
      <c r="Y4137" s="47">
        <v>6146</v>
      </c>
      <c r="Z4137" s="52" t="s">
        <v>410</v>
      </c>
      <c r="AA4137" s="52" t="s">
        <v>247</v>
      </c>
      <c r="AB4137" s="52" t="s">
        <v>247</v>
      </c>
      <c r="AC4137" s="52" t="s">
        <v>247</v>
      </c>
      <c r="AD4137" s="52" t="s">
        <v>1</v>
      </c>
      <c r="AE4137" s="52" t="s">
        <v>384</v>
      </c>
      <c r="AF4137" s="155" t="s">
        <v>247</v>
      </c>
      <c r="AG4137" s="155" t="s">
        <v>247</v>
      </c>
    </row>
    <row r="4138" spans="25:33">
      <c r="Y4138" s="47">
        <v>6147</v>
      </c>
      <c r="Z4138" s="52" t="s">
        <v>410</v>
      </c>
      <c r="AA4138" s="52" t="s">
        <v>247</v>
      </c>
      <c r="AB4138" s="52" t="s">
        <v>247</v>
      </c>
      <c r="AC4138" s="52" t="s">
        <v>247</v>
      </c>
      <c r="AD4138" s="52" t="s">
        <v>1</v>
      </c>
      <c r="AE4138" s="52" t="s">
        <v>384</v>
      </c>
      <c r="AF4138" s="155" t="s">
        <v>247</v>
      </c>
      <c r="AG4138" s="155" t="s">
        <v>247</v>
      </c>
    </row>
    <row r="4139" spans="25:33">
      <c r="Y4139" s="47">
        <v>6148</v>
      </c>
      <c r="Z4139" s="52" t="s">
        <v>410</v>
      </c>
      <c r="AA4139" s="52" t="s">
        <v>247</v>
      </c>
      <c r="AB4139" s="52" t="s">
        <v>247</v>
      </c>
      <c r="AC4139" s="52" t="s">
        <v>247</v>
      </c>
      <c r="AD4139" s="52" t="s">
        <v>1</v>
      </c>
      <c r="AE4139" s="52" t="s">
        <v>384</v>
      </c>
      <c r="AF4139" s="155" t="s">
        <v>247</v>
      </c>
      <c r="AG4139" s="155" t="s">
        <v>247</v>
      </c>
    </row>
    <row r="4140" spans="25:33">
      <c r="Y4140" s="47">
        <v>6149</v>
      </c>
      <c r="Z4140" s="52" t="s">
        <v>410</v>
      </c>
      <c r="AA4140" s="52" t="s">
        <v>247</v>
      </c>
      <c r="AB4140" s="52" t="s">
        <v>247</v>
      </c>
      <c r="AC4140" s="52" t="s">
        <v>247</v>
      </c>
      <c r="AD4140" s="52" t="s">
        <v>1</v>
      </c>
      <c r="AE4140" s="52" t="s">
        <v>384</v>
      </c>
      <c r="AF4140" s="155" t="s">
        <v>247</v>
      </c>
      <c r="AG4140" s="155" t="s">
        <v>247</v>
      </c>
    </row>
    <row r="4141" spans="25:33">
      <c r="Y4141" s="47">
        <v>6150</v>
      </c>
      <c r="Z4141" s="52" t="s">
        <v>410</v>
      </c>
      <c r="AA4141" s="52" t="s">
        <v>247</v>
      </c>
      <c r="AB4141" s="52" t="s">
        <v>247</v>
      </c>
      <c r="AC4141" s="52" t="s">
        <v>247</v>
      </c>
      <c r="AD4141" s="52" t="s">
        <v>1</v>
      </c>
      <c r="AE4141" s="52" t="s">
        <v>384</v>
      </c>
      <c r="AF4141" s="155" t="s">
        <v>247</v>
      </c>
      <c r="AG4141" s="155" t="s">
        <v>247</v>
      </c>
    </row>
    <row r="4142" spans="25:33">
      <c r="Y4142" s="47">
        <v>6151</v>
      </c>
      <c r="Z4142" s="52" t="s">
        <v>410</v>
      </c>
      <c r="AA4142" s="52" t="s">
        <v>247</v>
      </c>
      <c r="AB4142" s="52" t="s">
        <v>247</v>
      </c>
      <c r="AC4142" s="52" t="s">
        <v>247</v>
      </c>
      <c r="AD4142" s="52" t="s">
        <v>1</v>
      </c>
      <c r="AE4142" s="52" t="s">
        <v>384</v>
      </c>
      <c r="AF4142" s="155" t="s">
        <v>247</v>
      </c>
      <c r="AG4142" s="155" t="s">
        <v>247</v>
      </c>
    </row>
    <row r="4143" spans="25:33">
      <c r="Y4143" s="47">
        <v>6152</v>
      </c>
      <c r="Z4143" s="52" t="s">
        <v>410</v>
      </c>
      <c r="AA4143" s="52" t="s">
        <v>247</v>
      </c>
      <c r="AB4143" s="52" t="s">
        <v>247</v>
      </c>
      <c r="AC4143" s="52" t="s">
        <v>247</v>
      </c>
      <c r="AD4143" s="52" t="s">
        <v>1</v>
      </c>
      <c r="AE4143" s="52" t="s">
        <v>384</v>
      </c>
      <c r="AF4143" s="155" t="s">
        <v>247</v>
      </c>
      <c r="AG4143" s="155" t="s">
        <v>247</v>
      </c>
    </row>
    <row r="4144" spans="25:33">
      <c r="Y4144" s="47">
        <v>6153</v>
      </c>
      <c r="Z4144" s="52" t="s">
        <v>410</v>
      </c>
      <c r="AA4144" s="52" t="s">
        <v>247</v>
      </c>
      <c r="AB4144" s="52" t="s">
        <v>247</v>
      </c>
      <c r="AC4144" s="52" t="s">
        <v>247</v>
      </c>
      <c r="AD4144" s="52" t="s">
        <v>1</v>
      </c>
      <c r="AE4144" s="52" t="s">
        <v>384</v>
      </c>
      <c r="AF4144" s="155" t="s">
        <v>247</v>
      </c>
      <c r="AG4144" s="155" t="s">
        <v>247</v>
      </c>
    </row>
    <row r="4145" spans="25:33">
      <c r="Y4145" s="47">
        <v>6154</v>
      </c>
      <c r="Z4145" s="52" t="s">
        <v>410</v>
      </c>
      <c r="AA4145" s="52" t="s">
        <v>247</v>
      </c>
      <c r="AB4145" s="52" t="s">
        <v>247</v>
      </c>
      <c r="AC4145" s="52" t="s">
        <v>247</v>
      </c>
      <c r="AD4145" s="52" t="s">
        <v>1</v>
      </c>
      <c r="AE4145" s="52" t="s">
        <v>384</v>
      </c>
      <c r="AF4145" s="155" t="s">
        <v>247</v>
      </c>
      <c r="AG4145" s="155" t="s">
        <v>247</v>
      </c>
    </row>
    <row r="4146" spans="25:33">
      <c r="Y4146" s="47">
        <v>6155</v>
      </c>
      <c r="Z4146" s="52" t="s">
        <v>410</v>
      </c>
      <c r="AA4146" s="52" t="s">
        <v>247</v>
      </c>
      <c r="AB4146" s="52" t="s">
        <v>247</v>
      </c>
      <c r="AC4146" s="52" t="s">
        <v>247</v>
      </c>
      <c r="AD4146" s="52" t="s">
        <v>1</v>
      </c>
      <c r="AE4146" s="52" t="s">
        <v>384</v>
      </c>
      <c r="AF4146" s="155" t="s">
        <v>247</v>
      </c>
      <c r="AG4146" s="155" t="s">
        <v>247</v>
      </c>
    </row>
    <row r="4147" spans="25:33">
      <c r="Y4147" s="47">
        <v>6156</v>
      </c>
      <c r="Z4147" s="52" t="s">
        <v>410</v>
      </c>
      <c r="AA4147" s="52" t="s">
        <v>247</v>
      </c>
      <c r="AB4147" s="52" t="s">
        <v>247</v>
      </c>
      <c r="AC4147" s="52" t="s">
        <v>247</v>
      </c>
      <c r="AD4147" s="52" t="s">
        <v>1</v>
      </c>
      <c r="AE4147" s="52" t="s">
        <v>384</v>
      </c>
      <c r="AF4147" s="155" t="s">
        <v>247</v>
      </c>
      <c r="AG4147" s="155" t="s">
        <v>247</v>
      </c>
    </row>
    <row r="4148" spans="25:33">
      <c r="Y4148" s="47">
        <v>6157</v>
      </c>
      <c r="Z4148" s="52" t="s">
        <v>410</v>
      </c>
      <c r="AA4148" s="52" t="s">
        <v>247</v>
      </c>
      <c r="AB4148" s="52" t="s">
        <v>247</v>
      </c>
      <c r="AC4148" s="52" t="s">
        <v>247</v>
      </c>
      <c r="AD4148" s="52" t="s">
        <v>1</v>
      </c>
      <c r="AE4148" s="52" t="s">
        <v>384</v>
      </c>
      <c r="AF4148" s="155" t="s">
        <v>247</v>
      </c>
      <c r="AG4148" s="155" t="s">
        <v>247</v>
      </c>
    </row>
    <row r="4149" spans="25:33">
      <c r="Y4149" s="47">
        <v>6158</v>
      </c>
      <c r="Z4149" s="52" t="s">
        <v>410</v>
      </c>
      <c r="AA4149" s="52" t="s">
        <v>247</v>
      </c>
      <c r="AB4149" s="52" t="s">
        <v>247</v>
      </c>
      <c r="AC4149" s="52" t="s">
        <v>247</v>
      </c>
      <c r="AD4149" s="52" t="s">
        <v>1</v>
      </c>
      <c r="AE4149" s="52" t="s">
        <v>384</v>
      </c>
      <c r="AF4149" s="155" t="s">
        <v>247</v>
      </c>
      <c r="AG4149" s="155" t="s">
        <v>247</v>
      </c>
    </row>
    <row r="4150" spans="25:33">
      <c r="Y4150" s="47">
        <v>6159</v>
      </c>
      <c r="Z4150" s="52" t="s">
        <v>410</v>
      </c>
      <c r="AA4150" s="52" t="s">
        <v>247</v>
      </c>
      <c r="AB4150" s="52" t="s">
        <v>247</v>
      </c>
      <c r="AC4150" s="52" t="s">
        <v>247</v>
      </c>
      <c r="AD4150" s="52" t="s">
        <v>1</v>
      </c>
      <c r="AE4150" s="52" t="s">
        <v>384</v>
      </c>
      <c r="AF4150" s="155" t="s">
        <v>247</v>
      </c>
      <c r="AG4150" s="155" t="s">
        <v>247</v>
      </c>
    </row>
    <row r="4151" spans="25:33">
      <c r="Y4151" s="47">
        <v>6160</v>
      </c>
      <c r="Z4151" s="52" t="s">
        <v>410</v>
      </c>
      <c r="AA4151" s="52" t="s">
        <v>247</v>
      </c>
      <c r="AB4151" s="52" t="s">
        <v>247</v>
      </c>
      <c r="AC4151" s="52" t="s">
        <v>247</v>
      </c>
      <c r="AD4151" s="52" t="s">
        <v>1</v>
      </c>
      <c r="AE4151" s="52" t="s">
        <v>384</v>
      </c>
      <c r="AF4151" s="155" t="s">
        <v>247</v>
      </c>
      <c r="AG4151" s="155" t="s">
        <v>247</v>
      </c>
    </row>
    <row r="4152" spans="25:33">
      <c r="Y4152" s="47">
        <v>6161</v>
      </c>
      <c r="Z4152" s="52" t="s">
        <v>410</v>
      </c>
      <c r="AA4152" s="52" t="s">
        <v>247</v>
      </c>
      <c r="AB4152" s="52" t="s">
        <v>247</v>
      </c>
      <c r="AC4152" s="52" t="s">
        <v>247</v>
      </c>
      <c r="AD4152" s="52" t="s">
        <v>1</v>
      </c>
      <c r="AE4152" s="52" t="s">
        <v>384</v>
      </c>
      <c r="AF4152" s="155" t="s">
        <v>247</v>
      </c>
      <c r="AG4152" s="155" t="s">
        <v>247</v>
      </c>
    </row>
    <row r="4153" spans="25:33">
      <c r="Y4153" s="47">
        <v>6162</v>
      </c>
      <c r="Z4153" s="52" t="s">
        <v>410</v>
      </c>
      <c r="AA4153" s="52" t="s">
        <v>247</v>
      </c>
      <c r="AB4153" s="52" t="s">
        <v>247</v>
      </c>
      <c r="AC4153" s="52" t="s">
        <v>247</v>
      </c>
      <c r="AD4153" s="52" t="s">
        <v>1</v>
      </c>
      <c r="AE4153" s="52" t="s">
        <v>384</v>
      </c>
      <c r="AF4153" s="155" t="s">
        <v>247</v>
      </c>
      <c r="AG4153" s="155" t="s">
        <v>247</v>
      </c>
    </row>
    <row r="4154" spans="25:33">
      <c r="Y4154" s="47">
        <v>6163</v>
      </c>
      <c r="Z4154" s="52" t="s">
        <v>410</v>
      </c>
      <c r="AA4154" s="52" t="s">
        <v>247</v>
      </c>
      <c r="AB4154" s="52" t="s">
        <v>247</v>
      </c>
      <c r="AC4154" s="52" t="s">
        <v>247</v>
      </c>
      <c r="AD4154" s="52" t="s">
        <v>1</v>
      </c>
      <c r="AE4154" s="52" t="s">
        <v>384</v>
      </c>
      <c r="AF4154" s="155" t="s">
        <v>247</v>
      </c>
      <c r="AG4154" s="155" t="s">
        <v>247</v>
      </c>
    </row>
    <row r="4155" spans="25:33">
      <c r="Y4155" s="47">
        <v>6164</v>
      </c>
      <c r="Z4155" s="52" t="s">
        <v>410</v>
      </c>
      <c r="AA4155" s="52" t="s">
        <v>247</v>
      </c>
      <c r="AB4155" s="52" t="s">
        <v>247</v>
      </c>
      <c r="AC4155" s="52" t="s">
        <v>247</v>
      </c>
      <c r="AD4155" s="52" t="s">
        <v>1</v>
      </c>
      <c r="AE4155" s="52" t="s">
        <v>384</v>
      </c>
      <c r="AF4155" s="155" t="s">
        <v>247</v>
      </c>
      <c r="AG4155" s="155" t="s">
        <v>247</v>
      </c>
    </row>
    <row r="4156" spans="25:33">
      <c r="Y4156" s="47">
        <v>6165</v>
      </c>
      <c r="Z4156" s="52" t="s">
        <v>410</v>
      </c>
      <c r="AA4156" s="52" t="s">
        <v>247</v>
      </c>
      <c r="AB4156" s="52" t="s">
        <v>247</v>
      </c>
      <c r="AC4156" s="52" t="s">
        <v>247</v>
      </c>
      <c r="AD4156" s="52" t="s">
        <v>1</v>
      </c>
      <c r="AE4156" s="52" t="s">
        <v>384</v>
      </c>
      <c r="AF4156" s="155" t="s">
        <v>247</v>
      </c>
      <c r="AG4156" s="155" t="s">
        <v>247</v>
      </c>
    </row>
    <row r="4157" spans="25:33">
      <c r="Y4157" s="47">
        <v>6166</v>
      </c>
      <c r="Z4157" s="52" t="s">
        <v>410</v>
      </c>
      <c r="AA4157" s="52" t="s">
        <v>247</v>
      </c>
      <c r="AB4157" s="52" t="s">
        <v>247</v>
      </c>
      <c r="AC4157" s="52" t="s">
        <v>247</v>
      </c>
      <c r="AD4157" s="52" t="s">
        <v>1</v>
      </c>
      <c r="AE4157" s="52" t="s">
        <v>384</v>
      </c>
      <c r="AF4157" s="155" t="s">
        <v>247</v>
      </c>
      <c r="AG4157" s="155" t="s">
        <v>247</v>
      </c>
    </row>
    <row r="4158" spans="25:33">
      <c r="Y4158" s="47">
        <v>6167</v>
      </c>
      <c r="Z4158" s="52" t="s">
        <v>410</v>
      </c>
      <c r="AA4158" s="52" t="s">
        <v>247</v>
      </c>
      <c r="AB4158" s="52" t="s">
        <v>247</v>
      </c>
      <c r="AC4158" s="52" t="s">
        <v>247</v>
      </c>
      <c r="AD4158" s="52" t="s">
        <v>1</v>
      </c>
      <c r="AE4158" s="52" t="s">
        <v>384</v>
      </c>
      <c r="AF4158" s="155" t="s">
        <v>247</v>
      </c>
      <c r="AG4158" s="155" t="s">
        <v>247</v>
      </c>
    </row>
    <row r="4159" spans="25:33">
      <c r="Y4159" s="47">
        <v>6168</v>
      </c>
      <c r="Z4159" s="52" t="s">
        <v>410</v>
      </c>
      <c r="AA4159" s="52" t="s">
        <v>247</v>
      </c>
      <c r="AB4159" s="52" t="s">
        <v>247</v>
      </c>
      <c r="AC4159" s="52" t="s">
        <v>247</v>
      </c>
      <c r="AD4159" s="52" t="s">
        <v>1</v>
      </c>
      <c r="AE4159" s="52" t="s">
        <v>384</v>
      </c>
      <c r="AF4159" s="155" t="s">
        <v>247</v>
      </c>
      <c r="AG4159" s="155" t="s">
        <v>247</v>
      </c>
    </row>
    <row r="4160" spans="25:33">
      <c r="Y4160" s="47">
        <v>6169</v>
      </c>
      <c r="Z4160" s="52" t="s">
        <v>410</v>
      </c>
      <c r="AA4160" s="52" t="s">
        <v>247</v>
      </c>
      <c r="AB4160" s="52" t="s">
        <v>247</v>
      </c>
      <c r="AC4160" s="52" t="s">
        <v>247</v>
      </c>
      <c r="AD4160" s="52" t="s">
        <v>1</v>
      </c>
      <c r="AE4160" s="52" t="s">
        <v>384</v>
      </c>
      <c r="AF4160" s="155" t="s">
        <v>247</v>
      </c>
      <c r="AG4160" s="155" t="s">
        <v>247</v>
      </c>
    </row>
    <row r="4161" spans="25:33">
      <c r="Y4161" s="47">
        <v>6170</v>
      </c>
      <c r="Z4161" s="52" t="s">
        <v>410</v>
      </c>
      <c r="AA4161" s="52" t="s">
        <v>247</v>
      </c>
      <c r="AB4161" s="52" t="s">
        <v>247</v>
      </c>
      <c r="AC4161" s="52" t="s">
        <v>247</v>
      </c>
      <c r="AD4161" s="52" t="s">
        <v>1</v>
      </c>
      <c r="AE4161" s="52" t="s">
        <v>384</v>
      </c>
      <c r="AF4161" s="155" t="s">
        <v>247</v>
      </c>
      <c r="AG4161" s="155" t="s">
        <v>247</v>
      </c>
    </row>
    <row r="4162" spans="25:33">
      <c r="Y4162" s="47">
        <v>6171</v>
      </c>
      <c r="Z4162" s="52" t="s">
        <v>410</v>
      </c>
      <c r="AA4162" s="52" t="s">
        <v>247</v>
      </c>
      <c r="AB4162" s="52" t="s">
        <v>247</v>
      </c>
      <c r="AC4162" s="52" t="s">
        <v>247</v>
      </c>
      <c r="AD4162" s="52" t="s">
        <v>1</v>
      </c>
      <c r="AE4162" s="52" t="s">
        <v>384</v>
      </c>
      <c r="AF4162" s="155" t="s">
        <v>247</v>
      </c>
      <c r="AG4162" s="155" t="s">
        <v>247</v>
      </c>
    </row>
    <row r="4163" spans="25:33">
      <c r="Y4163" s="47">
        <v>6172</v>
      </c>
      <c r="Z4163" s="52" t="s">
        <v>410</v>
      </c>
      <c r="AA4163" s="52" t="s">
        <v>247</v>
      </c>
      <c r="AB4163" s="52" t="s">
        <v>247</v>
      </c>
      <c r="AC4163" s="52" t="s">
        <v>247</v>
      </c>
      <c r="AD4163" s="52" t="s">
        <v>1</v>
      </c>
      <c r="AE4163" s="52" t="s">
        <v>384</v>
      </c>
      <c r="AF4163" s="155" t="s">
        <v>247</v>
      </c>
      <c r="AG4163" s="155" t="s">
        <v>247</v>
      </c>
    </row>
    <row r="4164" spans="25:33">
      <c r="Y4164" s="47">
        <v>6173</v>
      </c>
      <c r="Z4164" s="52" t="s">
        <v>410</v>
      </c>
      <c r="AA4164" s="52" t="s">
        <v>247</v>
      </c>
      <c r="AB4164" s="52" t="s">
        <v>247</v>
      </c>
      <c r="AC4164" s="52" t="s">
        <v>247</v>
      </c>
      <c r="AD4164" s="52" t="s">
        <v>1</v>
      </c>
      <c r="AE4164" s="52" t="s">
        <v>384</v>
      </c>
      <c r="AF4164" s="155" t="s">
        <v>247</v>
      </c>
      <c r="AG4164" s="155" t="s">
        <v>247</v>
      </c>
    </row>
    <row r="4165" spans="25:33">
      <c r="Y4165" s="47">
        <v>6174</v>
      </c>
      <c r="Z4165" s="52" t="s">
        <v>410</v>
      </c>
      <c r="AA4165" s="52" t="s">
        <v>247</v>
      </c>
      <c r="AB4165" s="52" t="s">
        <v>247</v>
      </c>
      <c r="AC4165" s="52" t="s">
        <v>247</v>
      </c>
      <c r="AD4165" s="52" t="s">
        <v>1</v>
      </c>
      <c r="AE4165" s="52" t="s">
        <v>384</v>
      </c>
      <c r="AF4165" s="155" t="s">
        <v>247</v>
      </c>
      <c r="AG4165" s="155" t="s">
        <v>247</v>
      </c>
    </row>
    <row r="4166" spans="25:33">
      <c r="Y4166" s="47">
        <v>6175</v>
      </c>
      <c r="Z4166" s="52" t="s">
        <v>410</v>
      </c>
      <c r="AA4166" s="52" t="s">
        <v>247</v>
      </c>
      <c r="AB4166" s="52" t="s">
        <v>247</v>
      </c>
      <c r="AC4166" s="52" t="s">
        <v>247</v>
      </c>
      <c r="AD4166" s="52" t="s">
        <v>1</v>
      </c>
      <c r="AE4166" s="52" t="s">
        <v>384</v>
      </c>
      <c r="AF4166" s="155" t="s">
        <v>247</v>
      </c>
      <c r="AG4166" s="155" t="s">
        <v>247</v>
      </c>
    </row>
    <row r="4167" spans="25:33">
      <c r="Y4167" s="47">
        <v>6176</v>
      </c>
      <c r="Z4167" s="52" t="s">
        <v>410</v>
      </c>
      <c r="AA4167" s="52" t="s">
        <v>247</v>
      </c>
      <c r="AB4167" s="52" t="s">
        <v>247</v>
      </c>
      <c r="AC4167" s="52" t="s">
        <v>247</v>
      </c>
      <c r="AD4167" s="52" t="s">
        <v>1</v>
      </c>
      <c r="AE4167" s="52" t="s">
        <v>384</v>
      </c>
      <c r="AF4167" s="155" t="s">
        <v>247</v>
      </c>
      <c r="AG4167" s="155" t="s">
        <v>247</v>
      </c>
    </row>
    <row r="4168" spans="25:33">
      <c r="Y4168" s="47">
        <v>6177</v>
      </c>
      <c r="Z4168" s="52" t="s">
        <v>410</v>
      </c>
      <c r="AA4168" s="52" t="s">
        <v>247</v>
      </c>
      <c r="AB4168" s="52" t="s">
        <v>247</v>
      </c>
      <c r="AC4168" s="52" t="s">
        <v>247</v>
      </c>
      <c r="AD4168" s="52" t="s">
        <v>1</v>
      </c>
      <c r="AE4168" s="52" t="s">
        <v>384</v>
      </c>
      <c r="AF4168" s="155" t="s">
        <v>247</v>
      </c>
      <c r="AG4168" s="155" t="s">
        <v>247</v>
      </c>
    </row>
    <row r="4169" spans="25:33">
      <c r="Y4169" s="47">
        <v>6178</v>
      </c>
      <c r="Z4169" s="52" t="s">
        <v>410</v>
      </c>
      <c r="AA4169" s="52" t="s">
        <v>247</v>
      </c>
      <c r="AB4169" s="52" t="s">
        <v>247</v>
      </c>
      <c r="AC4169" s="52" t="s">
        <v>247</v>
      </c>
      <c r="AD4169" s="52" t="s">
        <v>1</v>
      </c>
      <c r="AE4169" s="52" t="s">
        <v>384</v>
      </c>
      <c r="AF4169" s="155" t="s">
        <v>247</v>
      </c>
      <c r="AG4169" s="155" t="s">
        <v>247</v>
      </c>
    </row>
    <row r="4170" spans="25:33">
      <c r="Y4170" s="47">
        <v>6179</v>
      </c>
      <c r="Z4170" s="52" t="s">
        <v>410</v>
      </c>
      <c r="AA4170" s="52" t="s">
        <v>247</v>
      </c>
      <c r="AB4170" s="52" t="s">
        <v>247</v>
      </c>
      <c r="AC4170" s="52" t="s">
        <v>247</v>
      </c>
      <c r="AD4170" s="52" t="s">
        <v>1</v>
      </c>
      <c r="AE4170" s="52" t="s">
        <v>384</v>
      </c>
      <c r="AF4170" s="155" t="s">
        <v>247</v>
      </c>
      <c r="AG4170" s="155" t="s">
        <v>247</v>
      </c>
    </row>
    <row r="4171" spans="25:33">
      <c r="Y4171" s="47">
        <v>6180</v>
      </c>
      <c r="Z4171" s="52" t="s">
        <v>410</v>
      </c>
      <c r="AA4171" s="52" t="s">
        <v>247</v>
      </c>
      <c r="AB4171" s="52" t="s">
        <v>247</v>
      </c>
      <c r="AC4171" s="52" t="s">
        <v>247</v>
      </c>
      <c r="AD4171" s="52" t="s">
        <v>1</v>
      </c>
      <c r="AE4171" s="52" t="s">
        <v>384</v>
      </c>
      <c r="AF4171" s="155" t="s">
        <v>247</v>
      </c>
      <c r="AG4171" s="155" t="s">
        <v>247</v>
      </c>
    </row>
    <row r="4172" spans="25:33">
      <c r="Y4172" s="47">
        <v>6181</v>
      </c>
      <c r="Z4172" s="52" t="s">
        <v>410</v>
      </c>
      <c r="AA4172" s="52" t="s">
        <v>247</v>
      </c>
      <c r="AB4172" s="52" t="s">
        <v>247</v>
      </c>
      <c r="AC4172" s="52" t="s">
        <v>247</v>
      </c>
      <c r="AD4172" s="52" t="s">
        <v>1</v>
      </c>
      <c r="AE4172" s="52" t="s">
        <v>384</v>
      </c>
      <c r="AF4172" s="155" t="s">
        <v>247</v>
      </c>
      <c r="AG4172" s="155" t="s">
        <v>247</v>
      </c>
    </row>
    <row r="4173" spans="25:33">
      <c r="Y4173" s="47">
        <v>6182</v>
      </c>
      <c r="Z4173" s="52" t="s">
        <v>410</v>
      </c>
      <c r="AA4173" s="52" t="s">
        <v>247</v>
      </c>
      <c r="AB4173" s="52" t="s">
        <v>247</v>
      </c>
      <c r="AC4173" s="52" t="s">
        <v>247</v>
      </c>
      <c r="AD4173" s="52" t="s">
        <v>1</v>
      </c>
      <c r="AE4173" s="52" t="s">
        <v>384</v>
      </c>
      <c r="AF4173" s="155" t="s">
        <v>247</v>
      </c>
      <c r="AG4173" s="155" t="s">
        <v>247</v>
      </c>
    </row>
    <row r="4174" spans="25:33">
      <c r="Y4174" s="47">
        <v>6183</v>
      </c>
      <c r="Z4174" s="52" t="s">
        <v>410</v>
      </c>
      <c r="AA4174" s="52" t="s">
        <v>247</v>
      </c>
      <c r="AB4174" s="52" t="s">
        <v>247</v>
      </c>
      <c r="AC4174" s="52" t="s">
        <v>247</v>
      </c>
      <c r="AD4174" s="52" t="s">
        <v>1</v>
      </c>
      <c r="AE4174" s="52" t="s">
        <v>384</v>
      </c>
      <c r="AF4174" s="155" t="s">
        <v>247</v>
      </c>
      <c r="AG4174" s="155" t="s">
        <v>247</v>
      </c>
    </row>
    <row r="4175" spans="25:33">
      <c r="Y4175" s="47">
        <v>6184</v>
      </c>
      <c r="Z4175" s="52" t="s">
        <v>410</v>
      </c>
      <c r="AA4175" s="52" t="s">
        <v>247</v>
      </c>
      <c r="AB4175" s="52" t="s">
        <v>247</v>
      </c>
      <c r="AC4175" s="52" t="s">
        <v>247</v>
      </c>
      <c r="AD4175" s="52" t="s">
        <v>1</v>
      </c>
      <c r="AE4175" s="52" t="s">
        <v>384</v>
      </c>
      <c r="AF4175" s="155" t="s">
        <v>247</v>
      </c>
      <c r="AG4175" s="155" t="s">
        <v>247</v>
      </c>
    </row>
    <row r="4176" spans="25:33">
      <c r="Y4176" s="47">
        <v>6185</v>
      </c>
      <c r="Z4176" s="52" t="s">
        <v>410</v>
      </c>
      <c r="AA4176" s="52" t="s">
        <v>247</v>
      </c>
      <c r="AB4176" s="52" t="s">
        <v>247</v>
      </c>
      <c r="AC4176" s="52" t="s">
        <v>247</v>
      </c>
      <c r="AD4176" s="52" t="s">
        <v>1</v>
      </c>
      <c r="AE4176" s="52" t="s">
        <v>384</v>
      </c>
      <c r="AF4176" s="155" t="s">
        <v>247</v>
      </c>
      <c r="AG4176" s="155" t="s">
        <v>247</v>
      </c>
    </row>
    <row r="4177" spans="25:33">
      <c r="Y4177" s="47">
        <v>6186</v>
      </c>
      <c r="Z4177" s="52" t="s">
        <v>410</v>
      </c>
      <c r="AA4177" s="52" t="s">
        <v>247</v>
      </c>
      <c r="AB4177" s="52" t="s">
        <v>247</v>
      </c>
      <c r="AC4177" s="52" t="s">
        <v>247</v>
      </c>
      <c r="AD4177" s="52" t="s">
        <v>1</v>
      </c>
      <c r="AE4177" s="52" t="s">
        <v>384</v>
      </c>
      <c r="AF4177" s="155" t="s">
        <v>247</v>
      </c>
      <c r="AG4177" s="155" t="s">
        <v>247</v>
      </c>
    </row>
    <row r="4178" spans="25:33">
      <c r="Y4178" s="47">
        <v>6187</v>
      </c>
      <c r="Z4178" s="52" t="s">
        <v>410</v>
      </c>
      <c r="AA4178" s="52" t="s">
        <v>247</v>
      </c>
      <c r="AB4178" s="52" t="s">
        <v>247</v>
      </c>
      <c r="AC4178" s="52" t="s">
        <v>247</v>
      </c>
      <c r="AD4178" s="52" t="s">
        <v>1</v>
      </c>
      <c r="AE4178" s="52" t="s">
        <v>384</v>
      </c>
      <c r="AF4178" s="155" t="s">
        <v>247</v>
      </c>
      <c r="AG4178" s="155" t="s">
        <v>247</v>
      </c>
    </row>
    <row r="4179" spans="25:33">
      <c r="Y4179" s="47">
        <v>6188</v>
      </c>
      <c r="Z4179" s="52" t="s">
        <v>410</v>
      </c>
      <c r="AA4179" s="52" t="s">
        <v>247</v>
      </c>
      <c r="AB4179" s="52" t="s">
        <v>247</v>
      </c>
      <c r="AC4179" s="52" t="s">
        <v>247</v>
      </c>
      <c r="AD4179" s="52" t="s">
        <v>1</v>
      </c>
      <c r="AE4179" s="52" t="s">
        <v>384</v>
      </c>
      <c r="AF4179" s="155" t="s">
        <v>247</v>
      </c>
      <c r="AG4179" s="155" t="s">
        <v>247</v>
      </c>
    </row>
    <row r="4180" spans="25:33">
      <c r="Y4180" s="47">
        <v>6189</v>
      </c>
      <c r="Z4180" s="52" t="s">
        <v>410</v>
      </c>
      <c r="AA4180" s="52" t="s">
        <v>247</v>
      </c>
      <c r="AB4180" s="52" t="s">
        <v>247</v>
      </c>
      <c r="AC4180" s="52" t="s">
        <v>247</v>
      </c>
      <c r="AD4180" s="52" t="s">
        <v>1</v>
      </c>
      <c r="AE4180" s="52" t="s">
        <v>384</v>
      </c>
      <c r="AF4180" s="155" t="s">
        <v>247</v>
      </c>
      <c r="AG4180" s="155" t="s">
        <v>247</v>
      </c>
    </row>
    <row r="4181" spans="25:33">
      <c r="Y4181" s="47">
        <v>6190</v>
      </c>
      <c r="Z4181" s="52" t="s">
        <v>410</v>
      </c>
      <c r="AA4181" s="52" t="s">
        <v>247</v>
      </c>
      <c r="AB4181" s="52" t="s">
        <v>247</v>
      </c>
      <c r="AC4181" s="52" t="s">
        <v>247</v>
      </c>
      <c r="AD4181" s="52" t="s">
        <v>1</v>
      </c>
      <c r="AE4181" s="52" t="s">
        <v>384</v>
      </c>
      <c r="AF4181" s="155" t="s">
        <v>247</v>
      </c>
      <c r="AG4181" s="155" t="s">
        <v>247</v>
      </c>
    </row>
    <row r="4182" spans="25:33">
      <c r="Y4182" s="47">
        <v>6191</v>
      </c>
      <c r="Z4182" s="52" t="s">
        <v>410</v>
      </c>
      <c r="AA4182" s="52" t="s">
        <v>247</v>
      </c>
      <c r="AB4182" s="52" t="s">
        <v>247</v>
      </c>
      <c r="AC4182" s="52" t="s">
        <v>247</v>
      </c>
      <c r="AD4182" s="52" t="s">
        <v>1</v>
      </c>
      <c r="AE4182" s="52" t="s">
        <v>384</v>
      </c>
      <c r="AF4182" s="155" t="s">
        <v>247</v>
      </c>
      <c r="AG4182" s="155" t="s">
        <v>247</v>
      </c>
    </row>
    <row r="4183" spans="25:33">
      <c r="Y4183" s="47">
        <v>6192</v>
      </c>
      <c r="Z4183" s="52" t="s">
        <v>410</v>
      </c>
      <c r="AA4183" s="52" t="s">
        <v>247</v>
      </c>
      <c r="AB4183" s="52" t="s">
        <v>247</v>
      </c>
      <c r="AC4183" s="52" t="s">
        <v>247</v>
      </c>
      <c r="AD4183" s="52" t="s">
        <v>1</v>
      </c>
      <c r="AE4183" s="52" t="s">
        <v>384</v>
      </c>
      <c r="AF4183" s="155" t="s">
        <v>247</v>
      </c>
      <c r="AG4183" s="155" t="s">
        <v>247</v>
      </c>
    </row>
    <row r="4184" spans="25:33">
      <c r="Y4184" s="47">
        <v>6193</v>
      </c>
      <c r="Z4184" s="52" t="s">
        <v>410</v>
      </c>
      <c r="AA4184" s="52" t="s">
        <v>247</v>
      </c>
      <c r="AB4184" s="52" t="s">
        <v>247</v>
      </c>
      <c r="AC4184" s="52" t="s">
        <v>247</v>
      </c>
      <c r="AD4184" s="52" t="s">
        <v>1</v>
      </c>
      <c r="AE4184" s="52" t="s">
        <v>384</v>
      </c>
      <c r="AF4184" s="155" t="s">
        <v>247</v>
      </c>
      <c r="AG4184" s="155" t="s">
        <v>247</v>
      </c>
    </row>
    <row r="4185" spans="25:33">
      <c r="Y4185" s="47">
        <v>6194</v>
      </c>
      <c r="Z4185" s="52" t="s">
        <v>410</v>
      </c>
      <c r="AA4185" s="52" t="s">
        <v>247</v>
      </c>
      <c r="AB4185" s="52" t="s">
        <v>247</v>
      </c>
      <c r="AC4185" s="52" t="s">
        <v>247</v>
      </c>
      <c r="AD4185" s="52" t="s">
        <v>1</v>
      </c>
      <c r="AE4185" s="52" t="s">
        <v>384</v>
      </c>
      <c r="AF4185" s="155" t="s">
        <v>247</v>
      </c>
      <c r="AG4185" s="155" t="s">
        <v>247</v>
      </c>
    </row>
    <row r="4186" spans="25:33">
      <c r="Y4186" s="47">
        <v>6195</v>
      </c>
      <c r="Z4186" s="52" t="s">
        <v>410</v>
      </c>
      <c r="AA4186" s="52" t="s">
        <v>247</v>
      </c>
      <c r="AB4186" s="52" t="s">
        <v>247</v>
      </c>
      <c r="AC4186" s="52" t="s">
        <v>247</v>
      </c>
      <c r="AD4186" s="52" t="s">
        <v>1</v>
      </c>
      <c r="AE4186" s="52" t="s">
        <v>384</v>
      </c>
      <c r="AF4186" s="155" t="s">
        <v>247</v>
      </c>
      <c r="AG4186" s="155" t="s">
        <v>247</v>
      </c>
    </row>
    <row r="4187" spans="25:33">
      <c r="Y4187" s="47">
        <v>6196</v>
      </c>
      <c r="Z4187" s="52" t="s">
        <v>410</v>
      </c>
      <c r="AA4187" s="52" t="s">
        <v>247</v>
      </c>
      <c r="AB4187" s="52" t="s">
        <v>247</v>
      </c>
      <c r="AC4187" s="52" t="s">
        <v>247</v>
      </c>
      <c r="AD4187" s="52" t="s">
        <v>1</v>
      </c>
      <c r="AE4187" s="52" t="s">
        <v>384</v>
      </c>
      <c r="AF4187" s="155" t="s">
        <v>247</v>
      </c>
      <c r="AG4187" s="155" t="s">
        <v>247</v>
      </c>
    </row>
    <row r="4188" spans="25:33">
      <c r="Y4188" s="47">
        <v>6197</v>
      </c>
      <c r="Z4188" s="52" t="s">
        <v>410</v>
      </c>
      <c r="AA4188" s="52" t="s">
        <v>247</v>
      </c>
      <c r="AB4188" s="52" t="s">
        <v>247</v>
      </c>
      <c r="AC4188" s="52" t="s">
        <v>247</v>
      </c>
      <c r="AD4188" s="52" t="s">
        <v>1</v>
      </c>
      <c r="AE4188" s="52" t="s">
        <v>384</v>
      </c>
      <c r="AF4188" s="155" t="s">
        <v>247</v>
      </c>
      <c r="AG4188" s="155" t="s">
        <v>247</v>
      </c>
    </row>
    <row r="4189" spans="25:33">
      <c r="Y4189" s="47">
        <v>6198</v>
      </c>
      <c r="Z4189" s="52" t="s">
        <v>410</v>
      </c>
      <c r="AA4189" s="52" t="s">
        <v>247</v>
      </c>
      <c r="AB4189" s="52" t="s">
        <v>247</v>
      </c>
      <c r="AC4189" s="52" t="s">
        <v>247</v>
      </c>
      <c r="AD4189" s="52" t="s">
        <v>1</v>
      </c>
      <c r="AE4189" s="52" t="s">
        <v>384</v>
      </c>
      <c r="AF4189" s="155" t="s">
        <v>247</v>
      </c>
      <c r="AG4189" s="155" t="s">
        <v>247</v>
      </c>
    </row>
    <row r="4190" spans="25:33">
      <c r="Y4190" s="47">
        <v>6199</v>
      </c>
      <c r="Z4190" s="52" t="s">
        <v>410</v>
      </c>
      <c r="AA4190" s="52" t="s">
        <v>247</v>
      </c>
      <c r="AB4190" s="52" t="s">
        <v>247</v>
      </c>
      <c r="AC4190" s="52" t="s">
        <v>247</v>
      </c>
      <c r="AD4190" s="52" t="s">
        <v>1</v>
      </c>
      <c r="AE4190" s="52" t="s">
        <v>384</v>
      </c>
      <c r="AF4190" s="155" t="s">
        <v>247</v>
      </c>
      <c r="AG4190" s="155" t="s">
        <v>247</v>
      </c>
    </row>
    <row r="4191" spans="25:33">
      <c r="Y4191" s="47">
        <v>6200</v>
      </c>
      <c r="Z4191" s="52" t="s">
        <v>410</v>
      </c>
      <c r="AA4191" s="52" t="s">
        <v>247</v>
      </c>
      <c r="AB4191" s="52" t="s">
        <v>247</v>
      </c>
      <c r="AC4191" s="52" t="s">
        <v>247</v>
      </c>
      <c r="AD4191" s="52" t="s">
        <v>1</v>
      </c>
      <c r="AE4191" s="52" t="s">
        <v>384</v>
      </c>
      <c r="AF4191" s="155" t="s">
        <v>247</v>
      </c>
      <c r="AG4191" s="155" t="s">
        <v>247</v>
      </c>
    </row>
    <row r="4192" spans="25:33">
      <c r="Y4192" s="47">
        <v>6201</v>
      </c>
      <c r="Z4192" s="52" t="s">
        <v>410</v>
      </c>
      <c r="AA4192" s="52" t="s">
        <v>247</v>
      </c>
      <c r="AB4192" s="52" t="s">
        <v>247</v>
      </c>
      <c r="AC4192" s="52" t="s">
        <v>247</v>
      </c>
      <c r="AD4192" s="52" t="s">
        <v>1</v>
      </c>
      <c r="AE4192" s="52" t="s">
        <v>384</v>
      </c>
      <c r="AF4192" s="155" t="s">
        <v>247</v>
      </c>
      <c r="AG4192" s="155" t="s">
        <v>247</v>
      </c>
    </row>
    <row r="4193" spans="25:33">
      <c r="Y4193" s="47">
        <v>6202</v>
      </c>
      <c r="Z4193" s="52" t="s">
        <v>410</v>
      </c>
      <c r="AA4193" s="52" t="s">
        <v>247</v>
      </c>
      <c r="AB4193" s="52" t="s">
        <v>247</v>
      </c>
      <c r="AC4193" s="52" t="s">
        <v>247</v>
      </c>
      <c r="AD4193" s="52" t="s">
        <v>1</v>
      </c>
      <c r="AE4193" s="52" t="s">
        <v>384</v>
      </c>
      <c r="AF4193" s="155" t="s">
        <v>247</v>
      </c>
      <c r="AG4193" s="155" t="s">
        <v>247</v>
      </c>
    </row>
    <row r="4194" spans="25:33">
      <c r="Y4194" s="47">
        <v>6203</v>
      </c>
      <c r="Z4194" s="52" t="s">
        <v>410</v>
      </c>
      <c r="AA4194" s="52" t="s">
        <v>247</v>
      </c>
      <c r="AB4194" s="52" t="s">
        <v>247</v>
      </c>
      <c r="AC4194" s="52" t="s">
        <v>247</v>
      </c>
      <c r="AD4194" s="52" t="s">
        <v>1</v>
      </c>
      <c r="AE4194" s="52" t="s">
        <v>384</v>
      </c>
      <c r="AF4194" s="155" t="s">
        <v>247</v>
      </c>
      <c r="AG4194" s="155" t="s">
        <v>247</v>
      </c>
    </row>
    <row r="4195" spans="25:33">
      <c r="Y4195" s="47">
        <v>6204</v>
      </c>
      <c r="Z4195" s="52" t="s">
        <v>410</v>
      </c>
      <c r="AA4195" s="52" t="s">
        <v>247</v>
      </c>
      <c r="AB4195" s="52" t="s">
        <v>247</v>
      </c>
      <c r="AC4195" s="52" t="s">
        <v>247</v>
      </c>
      <c r="AD4195" s="52" t="s">
        <v>1</v>
      </c>
      <c r="AE4195" s="52" t="s">
        <v>384</v>
      </c>
      <c r="AF4195" s="155" t="s">
        <v>247</v>
      </c>
      <c r="AG4195" s="155" t="s">
        <v>247</v>
      </c>
    </row>
    <row r="4196" spans="25:33">
      <c r="Y4196" s="47">
        <v>6205</v>
      </c>
      <c r="Z4196" s="52" t="s">
        <v>410</v>
      </c>
      <c r="AA4196" s="52" t="s">
        <v>247</v>
      </c>
      <c r="AB4196" s="52" t="s">
        <v>247</v>
      </c>
      <c r="AC4196" s="52" t="s">
        <v>247</v>
      </c>
      <c r="AD4196" s="52" t="s">
        <v>1</v>
      </c>
      <c r="AE4196" s="52" t="s">
        <v>384</v>
      </c>
      <c r="AF4196" s="155" t="s">
        <v>247</v>
      </c>
      <c r="AG4196" s="155" t="s">
        <v>247</v>
      </c>
    </row>
    <row r="4197" spans="25:33">
      <c r="Y4197" s="47">
        <v>6206</v>
      </c>
      <c r="Z4197" s="52" t="s">
        <v>410</v>
      </c>
      <c r="AA4197" s="52" t="s">
        <v>247</v>
      </c>
      <c r="AB4197" s="52" t="s">
        <v>247</v>
      </c>
      <c r="AC4197" s="52" t="s">
        <v>247</v>
      </c>
      <c r="AD4197" s="52" t="s">
        <v>1</v>
      </c>
      <c r="AE4197" s="52" t="s">
        <v>384</v>
      </c>
      <c r="AF4197" s="155" t="s">
        <v>247</v>
      </c>
      <c r="AG4197" s="155" t="s">
        <v>247</v>
      </c>
    </row>
    <row r="4198" spans="25:33">
      <c r="Y4198" s="47">
        <v>6207</v>
      </c>
      <c r="Z4198" s="52" t="s">
        <v>410</v>
      </c>
      <c r="AA4198" s="52" t="s">
        <v>247</v>
      </c>
      <c r="AB4198" s="52" t="s">
        <v>247</v>
      </c>
      <c r="AC4198" s="52" t="s">
        <v>247</v>
      </c>
      <c r="AD4198" s="52" t="s">
        <v>1</v>
      </c>
      <c r="AE4198" s="52" t="s">
        <v>384</v>
      </c>
      <c r="AF4198" s="155" t="s">
        <v>247</v>
      </c>
      <c r="AG4198" s="155" t="s">
        <v>247</v>
      </c>
    </row>
    <row r="4199" spans="25:33">
      <c r="Y4199" s="47">
        <v>6208</v>
      </c>
      <c r="Z4199" s="52" t="s">
        <v>410</v>
      </c>
      <c r="AA4199" s="52" t="s">
        <v>247</v>
      </c>
      <c r="AB4199" s="52" t="s">
        <v>247</v>
      </c>
      <c r="AC4199" s="52" t="s">
        <v>247</v>
      </c>
      <c r="AD4199" s="52" t="s">
        <v>1</v>
      </c>
      <c r="AE4199" s="52" t="s">
        <v>384</v>
      </c>
      <c r="AF4199" s="155" t="s">
        <v>247</v>
      </c>
      <c r="AG4199" s="155" t="s">
        <v>247</v>
      </c>
    </row>
    <row r="4200" spans="25:33">
      <c r="Y4200" s="47">
        <v>6209</v>
      </c>
      <c r="Z4200" s="52" t="s">
        <v>410</v>
      </c>
      <c r="AA4200" s="52" t="s">
        <v>247</v>
      </c>
      <c r="AB4200" s="52" t="s">
        <v>247</v>
      </c>
      <c r="AC4200" s="52" t="s">
        <v>247</v>
      </c>
      <c r="AD4200" s="52" t="s">
        <v>1</v>
      </c>
      <c r="AE4200" s="52" t="s">
        <v>384</v>
      </c>
      <c r="AF4200" s="155" t="s">
        <v>247</v>
      </c>
      <c r="AG4200" s="155" t="s">
        <v>247</v>
      </c>
    </row>
    <row r="4201" spans="25:33">
      <c r="Y4201" s="47">
        <v>6210</v>
      </c>
      <c r="Z4201" s="52" t="s">
        <v>410</v>
      </c>
      <c r="AA4201" s="52" t="s">
        <v>247</v>
      </c>
      <c r="AB4201" s="52" t="s">
        <v>247</v>
      </c>
      <c r="AC4201" s="52" t="s">
        <v>247</v>
      </c>
      <c r="AD4201" s="52" t="s">
        <v>1</v>
      </c>
      <c r="AE4201" s="52" t="s">
        <v>384</v>
      </c>
      <c r="AF4201" s="155" t="s">
        <v>247</v>
      </c>
      <c r="AG4201" s="155" t="s">
        <v>247</v>
      </c>
    </row>
    <row r="4202" spans="25:33">
      <c r="Y4202" s="47">
        <v>6211</v>
      </c>
      <c r="Z4202" s="52" t="s">
        <v>410</v>
      </c>
      <c r="AA4202" s="52" t="s">
        <v>247</v>
      </c>
      <c r="AB4202" s="52" t="s">
        <v>247</v>
      </c>
      <c r="AC4202" s="52" t="s">
        <v>247</v>
      </c>
      <c r="AD4202" s="52" t="s">
        <v>1</v>
      </c>
      <c r="AE4202" s="52" t="s">
        <v>384</v>
      </c>
      <c r="AF4202" s="155" t="s">
        <v>247</v>
      </c>
      <c r="AG4202" s="155" t="s">
        <v>247</v>
      </c>
    </row>
    <row r="4203" spans="25:33">
      <c r="Y4203" s="47">
        <v>6212</v>
      </c>
      <c r="Z4203" s="52" t="s">
        <v>410</v>
      </c>
      <c r="AA4203" s="52" t="s">
        <v>247</v>
      </c>
      <c r="AB4203" s="52" t="s">
        <v>247</v>
      </c>
      <c r="AC4203" s="52" t="s">
        <v>247</v>
      </c>
      <c r="AD4203" s="52" t="s">
        <v>1</v>
      </c>
      <c r="AE4203" s="52" t="s">
        <v>384</v>
      </c>
      <c r="AF4203" s="155" t="s">
        <v>247</v>
      </c>
      <c r="AG4203" s="155" t="s">
        <v>247</v>
      </c>
    </row>
    <row r="4204" spans="25:33">
      <c r="Y4204" s="47">
        <v>6213</v>
      </c>
      <c r="Z4204" s="52" t="s">
        <v>410</v>
      </c>
      <c r="AA4204" s="52" t="s">
        <v>247</v>
      </c>
      <c r="AB4204" s="52" t="s">
        <v>247</v>
      </c>
      <c r="AC4204" s="52" t="s">
        <v>247</v>
      </c>
      <c r="AD4204" s="52" t="s">
        <v>1</v>
      </c>
      <c r="AE4204" s="52" t="s">
        <v>384</v>
      </c>
      <c r="AF4204" s="155" t="s">
        <v>247</v>
      </c>
      <c r="AG4204" s="155" t="s">
        <v>247</v>
      </c>
    </row>
    <row r="4205" spans="25:33">
      <c r="Y4205" s="47">
        <v>6214</v>
      </c>
      <c r="Z4205" s="52" t="s">
        <v>410</v>
      </c>
      <c r="AA4205" s="52" t="s">
        <v>247</v>
      </c>
      <c r="AB4205" s="52" t="s">
        <v>247</v>
      </c>
      <c r="AC4205" s="52" t="s">
        <v>247</v>
      </c>
      <c r="AD4205" s="52" t="s">
        <v>1</v>
      </c>
      <c r="AE4205" s="52" t="s">
        <v>384</v>
      </c>
      <c r="AF4205" s="155" t="s">
        <v>247</v>
      </c>
      <c r="AG4205" s="155" t="s">
        <v>247</v>
      </c>
    </row>
    <row r="4206" spans="25:33">
      <c r="Y4206" s="47">
        <v>6215</v>
      </c>
      <c r="Z4206" s="52" t="s">
        <v>410</v>
      </c>
      <c r="AA4206" s="52" t="s">
        <v>247</v>
      </c>
      <c r="AB4206" s="52" t="s">
        <v>247</v>
      </c>
      <c r="AC4206" s="52" t="s">
        <v>247</v>
      </c>
      <c r="AD4206" s="52" t="s">
        <v>1</v>
      </c>
      <c r="AE4206" s="52" t="s">
        <v>384</v>
      </c>
      <c r="AF4206" s="155" t="s">
        <v>247</v>
      </c>
      <c r="AG4206" s="155" t="s">
        <v>247</v>
      </c>
    </row>
    <row r="4207" spans="25:33">
      <c r="Y4207" s="47">
        <v>6216</v>
      </c>
      <c r="Z4207" s="52" t="s">
        <v>410</v>
      </c>
      <c r="AA4207" s="52" t="s">
        <v>247</v>
      </c>
      <c r="AB4207" s="52" t="s">
        <v>247</v>
      </c>
      <c r="AC4207" s="52" t="s">
        <v>247</v>
      </c>
      <c r="AD4207" s="52" t="s">
        <v>1</v>
      </c>
      <c r="AE4207" s="52" t="s">
        <v>384</v>
      </c>
      <c r="AF4207" s="155" t="s">
        <v>247</v>
      </c>
      <c r="AG4207" s="155" t="s">
        <v>247</v>
      </c>
    </row>
    <row r="4208" spans="25:33">
      <c r="Y4208" s="47">
        <v>6217</v>
      </c>
      <c r="Z4208" s="52" t="s">
        <v>410</v>
      </c>
      <c r="AA4208" s="52" t="s">
        <v>247</v>
      </c>
      <c r="AB4208" s="52" t="s">
        <v>247</v>
      </c>
      <c r="AC4208" s="52" t="s">
        <v>247</v>
      </c>
      <c r="AD4208" s="52" t="s">
        <v>1</v>
      </c>
      <c r="AE4208" s="52" t="s">
        <v>384</v>
      </c>
      <c r="AF4208" s="155" t="s">
        <v>247</v>
      </c>
      <c r="AG4208" s="155" t="s">
        <v>247</v>
      </c>
    </row>
    <row r="4209" spans="25:33">
      <c r="Y4209" s="47">
        <v>6218</v>
      </c>
      <c r="Z4209" s="52" t="s">
        <v>410</v>
      </c>
      <c r="AA4209" s="52" t="s">
        <v>247</v>
      </c>
      <c r="AB4209" s="52" t="s">
        <v>247</v>
      </c>
      <c r="AC4209" s="52" t="s">
        <v>247</v>
      </c>
      <c r="AD4209" s="52" t="s">
        <v>1</v>
      </c>
      <c r="AE4209" s="52" t="s">
        <v>384</v>
      </c>
      <c r="AF4209" s="155" t="s">
        <v>247</v>
      </c>
      <c r="AG4209" s="155" t="s">
        <v>247</v>
      </c>
    </row>
    <row r="4210" spans="25:33">
      <c r="Y4210" s="47">
        <v>6219</v>
      </c>
      <c r="Z4210" s="52" t="s">
        <v>410</v>
      </c>
      <c r="AA4210" s="52" t="s">
        <v>247</v>
      </c>
      <c r="AB4210" s="52" t="s">
        <v>247</v>
      </c>
      <c r="AC4210" s="52" t="s">
        <v>247</v>
      </c>
      <c r="AD4210" s="52" t="s">
        <v>1</v>
      </c>
      <c r="AE4210" s="52" t="s">
        <v>384</v>
      </c>
      <c r="AF4210" s="155" t="s">
        <v>247</v>
      </c>
      <c r="AG4210" s="155" t="s">
        <v>247</v>
      </c>
    </row>
    <row r="4211" spans="25:33">
      <c r="Y4211" s="47">
        <v>6220</v>
      </c>
      <c r="Z4211" s="52" t="s">
        <v>410</v>
      </c>
      <c r="AA4211" s="52" t="s">
        <v>247</v>
      </c>
      <c r="AB4211" s="52" t="s">
        <v>247</v>
      </c>
      <c r="AC4211" s="52" t="s">
        <v>247</v>
      </c>
      <c r="AD4211" s="52" t="s">
        <v>1</v>
      </c>
      <c r="AE4211" s="52" t="s">
        <v>384</v>
      </c>
      <c r="AF4211" s="155" t="s">
        <v>247</v>
      </c>
      <c r="AG4211" s="155" t="s">
        <v>247</v>
      </c>
    </row>
    <row r="4212" spans="25:33">
      <c r="Y4212" s="47">
        <v>6221</v>
      </c>
      <c r="Z4212" s="52" t="s">
        <v>410</v>
      </c>
      <c r="AA4212" s="52" t="s">
        <v>247</v>
      </c>
      <c r="AB4212" s="52" t="s">
        <v>247</v>
      </c>
      <c r="AC4212" s="52" t="s">
        <v>247</v>
      </c>
      <c r="AD4212" s="52" t="s">
        <v>1</v>
      </c>
      <c r="AE4212" s="52" t="s">
        <v>384</v>
      </c>
      <c r="AF4212" s="155" t="s">
        <v>247</v>
      </c>
      <c r="AG4212" s="155" t="s">
        <v>247</v>
      </c>
    </row>
    <row r="4213" spans="25:33">
      <c r="Y4213" s="47">
        <v>6222</v>
      </c>
      <c r="Z4213" s="52" t="s">
        <v>410</v>
      </c>
      <c r="AA4213" s="52" t="s">
        <v>247</v>
      </c>
      <c r="AB4213" s="52" t="s">
        <v>247</v>
      </c>
      <c r="AC4213" s="52" t="s">
        <v>247</v>
      </c>
      <c r="AD4213" s="52" t="s">
        <v>1</v>
      </c>
      <c r="AE4213" s="52" t="s">
        <v>384</v>
      </c>
      <c r="AF4213" s="155" t="s">
        <v>247</v>
      </c>
      <c r="AG4213" s="155" t="s">
        <v>247</v>
      </c>
    </row>
    <row r="4214" spans="25:33">
      <c r="Y4214" s="47">
        <v>6223</v>
      </c>
      <c r="Z4214" s="52" t="s">
        <v>410</v>
      </c>
      <c r="AA4214" s="52" t="s">
        <v>247</v>
      </c>
      <c r="AB4214" s="52" t="s">
        <v>247</v>
      </c>
      <c r="AC4214" s="52" t="s">
        <v>247</v>
      </c>
      <c r="AD4214" s="52" t="s">
        <v>1</v>
      </c>
      <c r="AE4214" s="52" t="s">
        <v>384</v>
      </c>
      <c r="AF4214" s="155" t="s">
        <v>247</v>
      </c>
      <c r="AG4214" s="155" t="s">
        <v>247</v>
      </c>
    </row>
    <row r="4215" spans="25:33">
      <c r="Y4215" s="47">
        <v>6224</v>
      </c>
      <c r="Z4215" s="52" t="s">
        <v>410</v>
      </c>
      <c r="AA4215" s="52" t="s">
        <v>247</v>
      </c>
      <c r="AB4215" s="52" t="s">
        <v>247</v>
      </c>
      <c r="AC4215" s="52" t="s">
        <v>247</v>
      </c>
      <c r="AD4215" s="52" t="s">
        <v>1</v>
      </c>
      <c r="AE4215" s="52" t="s">
        <v>384</v>
      </c>
      <c r="AF4215" s="155" t="s">
        <v>247</v>
      </c>
      <c r="AG4215" s="155" t="s">
        <v>247</v>
      </c>
    </row>
    <row r="4216" spans="25:33">
      <c r="Y4216" s="47">
        <v>6225</v>
      </c>
      <c r="Z4216" s="52" t="s">
        <v>410</v>
      </c>
      <c r="AA4216" s="52" t="s">
        <v>247</v>
      </c>
      <c r="AB4216" s="52" t="s">
        <v>247</v>
      </c>
      <c r="AC4216" s="52" t="s">
        <v>247</v>
      </c>
      <c r="AD4216" s="52" t="s">
        <v>1</v>
      </c>
      <c r="AE4216" s="52" t="s">
        <v>384</v>
      </c>
      <c r="AF4216" s="155" t="s">
        <v>247</v>
      </c>
      <c r="AG4216" s="155" t="s">
        <v>247</v>
      </c>
    </row>
    <row r="4217" spans="25:33">
      <c r="Y4217" s="47">
        <v>6226</v>
      </c>
      <c r="Z4217" s="52" t="s">
        <v>410</v>
      </c>
      <c r="AA4217" s="52" t="s">
        <v>247</v>
      </c>
      <c r="AB4217" s="52" t="s">
        <v>247</v>
      </c>
      <c r="AC4217" s="52" t="s">
        <v>247</v>
      </c>
      <c r="AD4217" s="52" t="s">
        <v>1</v>
      </c>
      <c r="AE4217" s="52" t="s">
        <v>384</v>
      </c>
      <c r="AF4217" s="155" t="s">
        <v>247</v>
      </c>
      <c r="AG4217" s="155" t="s">
        <v>247</v>
      </c>
    </row>
    <row r="4218" spans="25:33">
      <c r="Y4218" s="47">
        <v>6227</v>
      </c>
      <c r="Z4218" s="52" t="s">
        <v>410</v>
      </c>
      <c r="AA4218" s="52" t="s">
        <v>247</v>
      </c>
      <c r="AB4218" s="52" t="s">
        <v>247</v>
      </c>
      <c r="AC4218" s="52" t="s">
        <v>247</v>
      </c>
      <c r="AD4218" s="52" t="s">
        <v>1</v>
      </c>
      <c r="AE4218" s="52" t="s">
        <v>384</v>
      </c>
      <c r="AF4218" s="155" t="s">
        <v>247</v>
      </c>
      <c r="AG4218" s="155" t="s">
        <v>247</v>
      </c>
    </row>
    <row r="4219" spans="25:33">
      <c r="Y4219" s="47">
        <v>6228</v>
      </c>
      <c r="Z4219" s="52" t="s">
        <v>410</v>
      </c>
      <c r="AA4219" s="52" t="s">
        <v>247</v>
      </c>
      <c r="AB4219" s="52" t="s">
        <v>247</v>
      </c>
      <c r="AC4219" s="52" t="s">
        <v>247</v>
      </c>
      <c r="AD4219" s="52" t="s">
        <v>1</v>
      </c>
      <c r="AE4219" s="52" t="s">
        <v>384</v>
      </c>
      <c r="AF4219" s="155" t="s">
        <v>247</v>
      </c>
      <c r="AG4219" s="155" t="s">
        <v>247</v>
      </c>
    </row>
    <row r="4220" spans="25:33">
      <c r="Y4220" s="47">
        <v>6229</v>
      </c>
      <c r="Z4220" s="52" t="s">
        <v>410</v>
      </c>
      <c r="AA4220" s="52" t="s">
        <v>247</v>
      </c>
      <c r="AB4220" s="52" t="s">
        <v>247</v>
      </c>
      <c r="AC4220" s="52" t="s">
        <v>247</v>
      </c>
      <c r="AD4220" s="52" t="s">
        <v>1</v>
      </c>
      <c r="AE4220" s="52" t="s">
        <v>384</v>
      </c>
      <c r="AF4220" s="155" t="s">
        <v>247</v>
      </c>
      <c r="AG4220" s="155" t="s">
        <v>247</v>
      </c>
    </row>
    <row r="4221" spans="25:33">
      <c r="Y4221" s="47">
        <v>6230</v>
      </c>
      <c r="Z4221" s="52" t="s">
        <v>410</v>
      </c>
      <c r="AA4221" s="52" t="s">
        <v>247</v>
      </c>
      <c r="AB4221" s="52" t="s">
        <v>247</v>
      </c>
      <c r="AC4221" s="52" t="s">
        <v>247</v>
      </c>
      <c r="AD4221" s="52" t="s">
        <v>1</v>
      </c>
      <c r="AE4221" s="52" t="s">
        <v>384</v>
      </c>
      <c r="AF4221" s="155" t="s">
        <v>247</v>
      </c>
      <c r="AG4221" s="155" t="s">
        <v>247</v>
      </c>
    </row>
    <row r="4222" spans="25:33">
      <c r="Y4222" s="47">
        <v>6231</v>
      </c>
      <c r="Z4222" s="52" t="s">
        <v>410</v>
      </c>
      <c r="AA4222" s="52" t="s">
        <v>247</v>
      </c>
      <c r="AB4222" s="52" t="s">
        <v>247</v>
      </c>
      <c r="AC4222" s="52" t="s">
        <v>247</v>
      </c>
      <c r="AD4222" s="52" t="s">
        <v>1</v>
      </c>
      <c r="AE4222" s="52" t="s">
        <v>384</v>
      </c>
      <c r="AF4222" s="155" t="s">
        <v>247</v>
      </c>
      <c r="AG4222" s="155" t="s">
        <v>247</v>
      </c>
    </row>
    <row r="4223" spans="25:33">
      <c r="Y4223" s="47">
        <v>6232</v>
      </c>
      <c r="Z4223" s="52" t="s">
        <v>410</v>
      </c>
      <c r="AA4223" s="52" t="s">
        <v>247</v>
      </c>
      <c r="AB4223" s="52" t="s">
        <v>247</v>
      </c>
      <c r="AC4223" s="52" t="s">
        <v>247</v>
      </c>
      <c r="AD4223" s="52" t="s">
        <v>1</v>
      </c>
      <c r="AE4223" s="52" t="s">
        <v>384</v>
      </c>
      <c r="AF4223" s="155" t="s">
        <v>247</v>
      </c>
      <c r="AG4223" s="155" t="s">
        <v>247</v>
      </c>
    </row>
    <row r="4224" spans="25:33">
      <c r="Y4224" s="47">
        <v>6233</v>
      </c>
      <c r="Z4224" s="52" t="s">
        <v>410</v>
      </c>
      <c r="AA4224" s="52" t="s">
        <v>247</v>
      </c>
      <c r="AB4224" s="52" t="s">
        <v>247</v>
      </c>
      <c r="AC4224" s="52" t="s">
        <v>247</v>
      </c>
      <c r="AD4224" s="52" t="s">
        <v>1</v>
      </c>
      <c r="AE4224" s="52" t="s">
        <v>384</v>
      </c>
      <c r="AF4224" s="155" t="s">
        <v>247</v>
      </c>
      <c r="AG4224" s="155" t="s">
        <v>247</v>
      </c>
    </row>
    <row r="4225" spans="25:33">
      <c r="Y4225" s="47">
        <v>6234</v>
      </c>
      <c r="Z4225" s="52" t="s">
        <v>410</v>
      </c>
      <c r="AA4225" s="52" t="s">
        <v>247</v>
      </c>
      <c r="AB4225" s="52" t="s">
        <v>247</v>
      </c>
      <c r="AC4225" s="52" t="s">
        <v>247</v>
      </c>
      <c r="AD4225" s="52" t="s">
        <v>1</v>
      </c>
      <c r="AE4225" s="52" t="s">
        <v>384</v>
      </c>
      <c r="AF4225" s="155" t="s">
        <v>247</v>
      </c>
      <c r="AG4225" s="155" t="s">
        <v>247</v>
      </c>
    </row>
    <row r="4226" spans="25:33">
      <c r="Y4226" s="47">
        <v>6235</v>
      </c>
      <c r="Z4226" s="52" t="s">
        <v>410</v>
      </c>
      <c r="AA4226" s="52" t="s">
        <v>247</v>
      </c>
      <c r="AB4226" s="52" t="s">
        <v>247</v>
      </c>
      <c r="AC4226" s="52" t="s">
        <v>247</v>
      </c>
      <c r="AD4226" s="52" t="s">
        <v>1</v>
      </c>
      <c r="AE4226" s="52" t="s">
        <v>384</v>
      </c>
      <c r="AF4226" s="155" t="s">
        <v>247</v>
      </c>
      <c r="AG4226" s="155" t="s">
        <v>247</v>
      </c>
    </row>
    <row r="4227" spans="25:33">
      <c r="Y4227" s="47">
        <v>6236</v>
      </c>
      <c r="Z4227" s="52" t="s">
        <v>410</v>
      </c>
      <c r="AA4227" s="52" t="s">
        <v>247</v>
      </c>
      <c r="AB4227" s="52" t="s">
        <v>247</v>
      </c>
      <c r="AC4227" s="52" t="s">
        <v>247</v>
      </c>
      <c r="AD4227" s="52" t="s">
        <v>1</v>
      </c>
      <c r="AE4227" s="52" t="s">
        <v>384</v>
      </c>
      <c r="AF4227" s="155" t="s">
        <v>247</v>
      </c>
      <c r="AG4227" s="155" t="s">
        <v>247</v>
      </c>
    </row>
    <row r="4228" spans="25:33">
      <c r="Y4228" s="47">
        <v>6237</v>
      </c>
      <c r="Z4228" s="52" t="s">
        <v>410</v>
      </c>
      <c r="AA4228" s="52" t="s">
        <v>247</v>
      </c>
      <c r="AB4228" s="52" t="s">
        <v>247</v>
      </c>
      <c r="AC4228" s="52" t="s">
        <v>247</v>
      </c>
      <c r="AD4228" s="52" t="s">
        <v>1</v>
      </c>
      <c r="AE4228" s="52" t="s">
        <v>384</v>
      </c>
      <c r="AF4228" s="155" t="s">
        <v>247</v>
      </c>
      <c r="AG4228" s="155" t="s">
        <v>247</v>
      </c>
    </row>
    <row r="4229" spans="25:33">
      <c r="Y4229" s="47">
        <v>6238</v>
      </c>
      <c r="Z4229" s="52" t="s">
        <v>410</v>
      </c>
      <c r="AA4229" s="52" t="s">
        <v>247</v>
      </c>
      <c r="AB4229" s="52" t="s">
        <v>247</v>
      </c>
      <c r="AC4229" s="52" t="s">
        <v>247</v>
      </c>
      <c r="AD4229" s="52" t="s">
        <v>1</v>
      </c>
      <c r="AE4229" s="52" t="s">
        <v>384</v>
      </c>
      <c r="AF4229" s="155" t="s">
        <v>247</v>
      </c>
      <c r="AG4229" s="155" t="s">
        <v>247</v>
      </c>
    </row>
    <row r="4230" spans="25:33">
      <c r="Y4230" s="47">
        <v>6239</v>
      </c>
      <c r="Z4230" s="52" t="s">
        <v>410</v>
      </c>
      <c r="AA4230" s="52" t="s">
        <v>247</v>
      </c>
      <c r="AB4230" s="52" t="s">
        <v>247</v>
      </c>
      <c r="AC4230" s="52" t="s">
        <v>247</v>
      </c>
      <c r="AD4230" s="52" t="s">
        <v>1</v>
      </c>
      <c r="AE4230" s="52" t="s">
        <v>384</v>
      </c>
      <c r="AF4230" s="155" t="s">
        <v>247</v>
      </c>
      <c r="AG4230" s="155" t="s">
        <v>247</v>
      </c>
    </row>
    <row r="4231" spans="25:33">
      <c r="Y4231" s="47">
        <v>6240</v>
      </c>
      <c r="Z4231" s="52" t="s">
        <v>410</v>
      </c>
      <c r="AA4231" s="52" t="s">
        <v>247</v>
      </c>
      <c r="AB4231" s="52" t="s">
        <v>247</v>
      </c>
      <c r="AC4231" s="52" t="s">
        <v>247</v>
      </c>
      <c r="AD4231" s="52" t="s">
        <v>1</v>
      </c>
      <c r="AE4231" s="52" t="s">
        <v>384</v>
      </c>
      <c r="AF4231" s="155" t="s">
        <v>247</v>
      </c>
      <c r="AG4231" s="155" t="s">
        <v>247</v>
      </c>
    </row>
    <row r="4232" spans="25:33">
      <c r="Y4232" s="47">
        <v>6241</v>
      </c>
      <c r="Z4232" s="52" t="s">
        <v>410</v>
      </c>
      <c r="AA4232" s="52" t="s">
        <v>247</v>
      </c>
      <c r="AB4232" s="52" t="s">
        <v>247</v>
      </c>
      <c r="AC4232" s="52" t="s">
        <v>247</v>
      </c>
      <c r="AD4232" s="52" t="s">
        <v>1</v>
      </c>
      <c r="AE4232" s="52" t="s">
        <v>384</v>
      </c>
      <c r="AF4232" s="155" t="s">
        <v>247</v>
      </c>
      <c r="AG4232" s="155" t="s">
        <v>247</v>
      </c>
    </row>
    <row r="4233" spans="25:33">
      <c r="Y4233" s="47">
        <v>6242</v>
      </c>
      <c r="Z4233" s="52" t="s">
        <v>410</v>
      </c>
      <c r="AA4233" s="52" t="s">
        <v>247</v>
      </c>
      <c r="AB4233" s="52" t="s">
        <v>247</v>
      </c>
      <c r="AC4233" s="52" t="s">
        <v>247</v>
      </c>
      <c r="AD4233" s="52" t="s">
        <v>1</v>
      </c>
      <c r="AE4233" s="52" t="s">
        <v>384</v>
      </c>
      <c r="AF4233" s="155" t="s">
        <v>247</v>
      </c>
      <c r="AG4233" s="155" t="s">
        <v>247</v>
      </c>
    </row>
    <row r="4234" spans="25:33">
      <c r="Y4234" s="47">
        <v>6243</v>
      </c>
      <c r="Z4234" s="52" t="s">
        <v>410</v>
      </c>
      <c r="AA4234" s="52" t="s">
        <v>247</v>
      </c>
      <c r="AB4234" s="52" t="s">
        <v>247</v>
      </c>
      <c r="AC4234" s="52" t="s">
        <v>247</v>
      </c>
      <c r="AD4234" s="52" t="s">
        <v>1</v>
      </c>
      <c r="AE4234" s="52" t="s">
        <v>384</v>
      </c>
      <c r="AF4234" s="155" t="s">
        <v>247</v>
      </c>
      <c r="AG4234" s="155" t="s">
        <v>247</v>
      </c>
    </row>
    <row r="4235" spans="25:33">
      <c r="Y4235" s="47">
        <v>6244</v>
      </c>
      <c r="Z4235" s="52" t="s">
        <v>410</v>
      </c>
      <c r="AA4235" s="52" t="s">
        <v>247</v>
      </c>
      <c r="AB4235" s="52" t="s">
        <v>247</v>
      </c>
      <c r="AC4235" s="52" t="s">
        <v>247</v>
      </c>
      <c r="AD4235" s="52" t="s">
        <v>1</v>
      </c>
      <c r="AE4235" s="52" t="s">
        <v>384</v>
      </c>
      <c r="AF4235" s="155" t="s">
        <v>247</v>
      </c>
      <c r="AG4235" s="155" t="s">
        <v>247</v>
      </c>
    </row>
    <row r="4236" spans="25:33">
      <c r="Y4236" s="47">
        <v>6245</v>
      </c>
      <c r="Z4236" s="52" t="s">
        <v>410</v>
      </c>
      <c r="AA4236" s="52" t="s">
        <v>247</v>
      </c>
      <c r="AB4236" s="52" t="s">
        <v>247</v>
      </c>
      <c r="AC4236" s="52" t="s">
        <v>247</v>
      </c>
      <c r="AD4236" s="52" t="s">
        <v>1</v>
      </c>
      <c r="AE4236" s="52" t="s">
        <v>384</v>
      </c>
      <c r="AF4236" s="155" t="s">
        <v>247</v>
      </c>
      <c r="AG4236" s="155" t="s">
        <v>247</v>
      </c>
    </row>
    <row r="4237" spans="25:33">
      <c r="Y4237" s="47">
        <v>6246</v>
      </c>
      <c r="Z4237" s="52" t="s">
        <v>410</v>
      </c>
      <c r="AA4237" s="52" t="s">
        <v>247</v>
      </c>
      <c r="AB4237" s="52" t="s">
        <v>247</v>
      </c>
      <c r="AC4237" s="52" t="s">
        <v>247</v>
      </c>
      <c r="AD4237" s="52" t="s">
        <v>1</v>
      </c>
      <c r="AE4237" s="52" t="s">
        <v>384</v>
      </c>
      <c r="AF4237" s="155" t="s">
        <v>247</v>
      </c>
      <c r="AG4237" s="155" t="s">
        <v>247</v>
      </c>
    </row>
    <row r="4238" spans="25:33">
      <c r="Y4238" s="47">
        <v>6247</v>
      </c>
      <c r="Z4238" s="52" t="s">
        <v>410</v>
      </c>
      <c r="AA4238" s="52" t="s">
        <v>247</v>
      </c>
      <c r="AB4238" s="52" t="s">
        <v>247</v>
      </c>
      <c r="AC4238" s="52" t="s">
        <v>247</v>
      </c>
      <c r="AD4238" s="52" t="s">
        <v>1</v>
      </c>
      <c r="AE4238" s="52" t="s">
        <v>384</v>
      </c>
      <c r="AF4238" s="155" t="s">
        <v>247</v>
      </c>
      <c r="AG4238" s="155" t="s">
        <v>247</v>
      </c>
    </row>
    <row r="4239" spans="25:33">
      <c r="Y4239" s="47">
        <v>6248</v>
      </c>
      <c r="Z4239" s="52" t="s">
        <v>410</v>
      </c>
      <c r="AA4239" s="52" t="s">
        <v>247</v>
      </c>
      <c r="AB4239" s="52" t="s">
        <v>247</v>
      </c>
      <c r="AC4239" s="52" t="s">
        <v>247</v>
      </c>
      <c r="AD4239" s="52" t="s">
        <v>1</v>
      </c>
      <c r="AE4239" s="52" t="s">
        <v>384</v>
      </c>
      <c r="AF4239" s="155" t="s">
        <v>247</v>
      </c>
      <c r="AG4239" s="155" t="s">
        <v>247</v>
      </c>
    </row>
    <row r="4240" spans="25:33">
      <c r="Y4240" s="47">
        <v>6249</v>
      </c>
      <c r="Z4240" s="52" t="s">
        <v>410</v>
      </c>
      <c r="AA4240" s="52" t="s">
        <v>247</v>
      </c>
      <c r="AB4240" s="52" t="s">
        <v>247</v>
      </c>
      <c r="AC4240" s="52" t="s">
        <v>247</v>
      </c>
      <c r="AD4240" s="52" t="s">
        <v>1</v>
      </c>
      <c r="AE4240" s="52" t="s">
        <v>384</v>
      </c>
      <c r="AF4240" s="155" t="s">
        <v>247</v>
      </c>
      <c r="AG4240" s="155" t="s">
        <v>247</v>
      </c>
    </row>
    <row r="4241" spans="25:33">
      <c r="Y4241" s="47">
        <v>6250</v>
      </c>
      <c r="Z4241" s="52" t="s">
        <v>410</v>
      </c>
      <c r="AA4241" s="52" t="s">
        <v>247</v>
      </c>
      <c r="AB4241" s="52" t="s">
        <v>247</v>
      </c>
      <c r="AC4241" s="52" t="s">
        <v>247</v>
      </c>
      <c r="AD4241" s="52" t="s">
        <v>1</v>
      </c>
      <c r="AE4241" s="52" t="s">
        <v>384</v>
      </c>
      <c r="AF4241" s="155" t="s">
        <v>247</v>
      </c>
      <c r="AG4241" s="155" t="s">
        <v>247</v>
      </c>
    </row>
    <row r="4242" spans="25:33">
      <c r="Y4242" s="47">
        <v>6251</v>
      </c>
      <c r="Z4242" s="52" t="s">
        <v>410</v>
      </c>
      <c r="AA4242" s="52" t="s">
        <v>247</v>
      </c>
      <c r="AB4242" s="52" t="s">
        <v>247</v>
      </c>
      <c r="AC4242" s="52" t="s">
        <v>247</v>
      </c>
      <c r="AD4242" s="52" t="s">
        <v>1</v>
      </c>
      <c r="AE4242" s="52" t="s">
        <v>384</v>
      </c>
      <c r="AF4242" s="155" t="s">
        <v>247</v>
      </c>
      <c r="AG4242" s="155" t="s">
        <v>247</v>
      </c>
    </row>
    <row r="4243" spans="25:33">
      <c r="Y4243" s="47">
        <v>6252</v>
      </c>
      <c r="Z4243" s="52" t="s">
        <v>410</v>
      </c>
      <c r="AA4243" s="52" t="s">
        <v>247</v>
      </c>
      <c r="AB4243" s="52" t="s">
        <v>247</v>
      </c>
      <c r="AC4243" s="52" t="s">
        <v>247</v>
      </c>
      <c r="AD4243" s="52" t="s">
        <v>1</v>
      </c>
      <c r="AE4243" s="52" t="s">
        <v>384</v>
      </c>
      <c r="AF4243" s="155" t="s">
        <v>247</v>
      </c>
      <c r="AG4243" s="155" t="s">
        <v>247</v>
      </c>
    </row>
    <row r="4244" spans="25:33">
      <c r="Y4244" s="47">
        <v>6253</v>
      </c>
      <c r="Z4244" s="52" t="s">
        <v>410</v>
      </c>
      <c r="AA4244" s="52" t="s">
        <v>247</v>
      </c>
      <c r="AB4244" s="52" t="s">
        <v>247</v>
      </c>
      <c r="AC4244" s="52" t="s">
        <v>247</v>
      </c>
      <c r="AD4244" s="52" t="s">
        <v>1</v>
      </c>
      <c r="AE4244" s="52" t="s">
        <v>384</v>
      </c>
      <c r="AF4244" s="155" t="s">
        <v>247</v>
      </c>
      <c r="AG4244" s="155" t="s">
        <v>247</v>
      </c>
    </row>
    <row r="4245" spans="25:33">
      <c r="Y4245" s="47">
        <v>6254</v>
      </c>
      <c r="Z4245" s="52" t="s">
        <v>410</v>
      </c>
      <c r="AA4245" s="52" t="s">
        <v>247</v>
      </c>
      <c r="AB4245" s="52" t="s">
        <v>247</v>
      </c>
      <c r="AC4245" s="52" t="s">
        <v>247</v>
      </c>
      <c r="AD4245" s="52" t="s">
        <v>1</v>
      </c>
      <c r="AE4245" s="52" t="s">
        <v>384</v>
      </c>
      <c r="AF4245" s="155" t="s">
        <v>247</v>
      </c>
      <c r="AG4245" s="155" t="s">
        <v>247</v>
      </c>
    </row>
    <row r="4246" spans="25:33">
      <c r="Y4246" s="47">
        <v>6255</v>
      </c>
      <c r="Z4246" s="52" t="s">
        <v>410</v>
      </c>
      <c r="AA4246" s="52" t="s">
        <v>247</v>
      </c>
      <c r="AB4246" s="52" t="s">
        <v>247</v>
      </c>
      <c r="AC4246" s="52" t="s">
        <v>247</v>
      </c>
      <c r="AD4246" s="52" t="s">
        <v>1</v>
      </c>
      <c r="AE4246" s="52" t="s">
        <v>384</v>
      </c>
      <c r="AF4246" s="155" t="s">
        <v>247</v>
      </c>
      <c r="AG4246" s="155" t="s">
        <v>247</v>
      </c>
    </row>
    <row r="4247" spans="25:33">
      <c r="Y4247" s="47">
        <v>6256</v>
      </c>
      <c r="Z4247" s="52" t="s">
        <v>410</v>
      </c>
      <c r="AA4247" s="52" t="s">
        <v>247</v>
      </c>
      <c r="AB4247" s="52" t="s">
        <v>247</v>
      </c>
      <c r="AC4247" s="52" t="s">
        <v>247</v>
      </c>
      <c r="AD4247" s="52" t="s">
        <v>1</v>
      </c>
      <c r="AE4247" s="52" t="s">
        <v>384</v>
      </c>
      <c r="AF4247" s="155" t="s">
        <v>247</v>
      </c>
      <c r="AG4247" s="155" t="s">
        <v>247</v>
      </c>
    </row>
    <row r="4248" spans="25:33">
      <c r="Y4248" s="47">
        <v>6258</v>
      </c>
      <c r="Z4248" s="52" t="s">
        <v>411</v>
      </c>
      <c r="AA4248" s="52" t="s">
        <v>247</v>
      </c>
      <c r="AB4248" s="52" t="s">
        <v>247</v>
      </c>
      <c r="AC4248" s="52" t="s">
        <v>247</v>
      </c>
      <c r="AD4248" s="52" t="s">
        <v>1</v>
      </c>
      <c r="AE4248" s="52" t="s">
        <v>384</v>
      </c>
      <c r="AF4248" s="155" t="s">
        <v>247</v>
      </c>
      <c r="AG4248" s="155" t="s">
        <v>247</v>
      </c>
    </row>
    <row r="4249" spans="25:33">
      <c r="Y4249" s="47">
        <v>6259</v>
      </c>
      <c r="Z4249" s="52" t="s">
        <v>411</v>
      </c>
      <c r="AA4249" s="52" t="s">
        <v>247</v>
      </c>
      <c r="AB4249" s="52" t="s">
        <v>247</v>
      </c>
      <c r="AC4249" s="52" t="s">
        <v>247</v>
      </c>
      <c r="AD4249" s="52" t="s">
        <v>1</v>
      </c>
      <c r="AE4249" s="52" t="s">
        <v>384</v>
      </c>
      <c r="AF4249" s="155" t="s">
        <v>247</v>
      </c>
      <c r="AG4249" s="155" t="s">
        <v>247</v>
      </c>
    </row>
    <row r="4250" spans="25:33">
      <c r="Y4250" s="47">
        <v>6260</v>
      </c>
      <c r="Z4250" s="52" t="s">
        <v>411</v>
      </c>
      <c r="AA4250" s="52" t="s">
        <v>247</v>
      </c>
      <c r="AB4250" s="52" t="s">
        <v>247</v>
      </c>
      <c r="AC4250" s="52" t="s">
        <v>247</v>
      </c>
      <c r="AD4250" s="52" t="s">
        <v>1</v>
      </c>
      <c r="AE4250" s="52" t="s">
        <v>384</v>
      </c>
      <c r="AF4250" s="155" t="s">
        <v>247</v>
      </c>
      <c r="AG4250" s="155" t="s">
        <v>247</v>
      </c>
    </row>
    <row r="4251" spans="25:33">
      <c r="Y4251" s="47">
        <v>6261</v>
      </c>
      <c r="Z4251" s="52" t="s">
        <v>411</v>
      </c>
      <c r="AA4251" s="52" t="s">
        <v>247</v>
      </c>
      <c r="AB4251" s="52" t="s">
        <v>247</v>
      </c>
      <c r="AC4251" s="52" t="s">
        <v>247</v>
      </c>
      <c r="AD4251" s="52" t="s">
        <v>1</v>
      </c>
      <c r="AE4251" s="52" t="s">
        <v>384</v>
      </c>
      <c r="AF4251" s="155" t="s">
        <v>247</v>
      </c>
      <c r="AG4251" s="155" t="s">
        <v>247</v>
      </c>
    </row>
    <row r="4252" spans="25:33">
      <c r="Y4252" s="47">
        <v>6262</v>
      </c>
      <c r="Z4252" s="52" t="s">
        <v>411</v>
      </c>
      <c r="AA4252" s="52" t="s">
        <v>247</v>
      </c>
      <c r="AB4252" s="52" t="s">
        <v>247</v>
      </c>
      <c r="AC4252" s="52" t="s">
        <v>247</v>
      </c>
      <c r="AD4252" s="52" t="s">
        <v>1</v>
      </c>
      <c r="AE4252" s="52" t="s">
        <v>384</v>
      </c>
      <c r="AF4252" s="155" t="s">
        <v>247</v>
      </c>
      <c r="AG4252" s="155" t="s">
        <v>247</v>
      </c>
    </row>
    <row r="4253" spans="25:33">
      <c r="Y4253" s="47">
        <v>6271</v>
      </c>
      <c r="Z4253" s="52" t="s">
        <v>410</v>
      </c>
      <c r="AA4253" s="52" t="s">
        <v>247</v>
      </c>
      <c r="AB4253" s="52" t="s">
        <v>247</v>
      </c>
      <c r="AC4253" s="52" t="s">
        <v>247</v>
      </c>
      <c r="AD4253" s="52" t="s">
        <v>1</v>
      </c>
      <c r="AE4253" s="52" t="s">
        <v>384</v>
      </c>
      <c r="AF4253" s="155" t="s">
        <v>247</v>
      </c>
      <c r="AG4253" s="155" t="s">
        <v>247</v>
      </c>
    </row>
    <row r="4254" spans="25:33">
      <c r="Y4254" s="47">
        <v>6272</v>
      </c>
      <c r="Z4254" s="52" t="s">
        <v>410</v>
      </c>
      <c r="AA4254" s="52" t="s">
        <v>247</v>
      </c>
      <c r="AB4254" s="52" t="s">
        <v>247</v>
      </c>
      <c r="AC4254" s="52" t="s">
        <v>247</v>
      </c>
      <c r="AD4254" s="52" t="s">
        <v>1</v>
      </c>
      <c r="AE4254" s="52" t="s">
        <v>384</v>
      </c>
      <c r="AF4254" s="155" t="s">
        <v>247</v>
      </c>
      <c r="AG4254" s="155" t="s">
        <v>247</v>
      </c>
    </row>
    <row r="4255" spans="25:33">
      <c r="Y4255" s="47">
        <v>6273</v>
      </c>
      <c r="Z4255" s="52" t="s">
        <v>410</v>
      </c>
      <c r="AA4255" s="52" t="s">
        <v>247</v>
      </c>
      <c r="AB4255" s="52" t="s">
        <v>247</v>
      </c>
      <c r="AC4255" s="52" t="s">
        <v>247</v>
      </c>
      <c r="AD4255" s="52" t="s">
        <v>1</v>
      </c>
      <c r="AE4255" s="52" t="s">
        <v>384</v>
      </c>
      <c r="AF4255" s="155" t="s">
        <v>247</v>
      </c>
      <c r="AG4255" s="155" t="s">
        <v>247</v>
      </c>
    </row>
    <row r="4256" spans="25:33">
      <c r="Y4256" s="47">
        <v>6274</v>
      </c>
      <c r="Z4256" s="52" t="s">
        <v>410</v>
      </c>
      <c r="AA4256" s="52" t="s">
        <v>247</v>
      </c>
      <c r="AB4256" s="52" t="s">
        <v>247</v>
      </c>
      <c r="AC4256" s="52" t="s">
        <v>247</v>
      </c>
      <c r="AD4256" s="52" t="s">
        <v>1</v>
      </c>
      <c r="AE4256" s="52" t="s">
        <v>384</v>
      </c>
      <c r="AF4256" s="155" t="s">
        <v>247</v>
      </c>
      <c r="AG4256" s="155" t="s">
        <v>247</v>
      </c>
    </row>
    <row r="4257" spans="25:33">
      <c r="Y4257" s="47">
        <v>6275</v>
      </c>
      <c r="Z4257" s="52" t="s">
        <v>410</v>
      </c>
      <c r="AA4257" s="52" t="s">
        <v>247</v>
      </c>
      <c r="AB4257" s="52" t="s">
        <v>247</v>
      </c>
      <c r="AC4257" s="52" t="s">
        <v>247</v>
      </c>
      <c r="AD4257" s="52" t="s">
        <v>1</v>
      </c>
      <c r="AE4257" s="52" t="s">
        <v>384</v>
      </c>
      <c r="AF4257" s="155" t="s">
        <v>247</v>
      </c>
      <c r="AG4257" s="155" t="s">
        <v>247</v>
      </c>
    </row>
    <row r="4258" spans="25:33">
      <c r="Y4258" s="47">
        <v>6276</v>
      </c>
      <c r="Z4258" s="52" t="s">
        <v>410</v>
      </c>
      <c r="AA4258" s="52" t="s">
        <v>247</v>
      </c>
      <c r="AB4258" s="52" t="s">
        <v>247</v>
      </c>
      <c r="AC4258" s="52" t="s">
        <v>247</v>
      </c>
      <c r="AD4258" s="52" t="s">
        <v>1</v>
      </c>
      <c r="AE4258" s="52" t="s">
        <v>384</v>
      </c>
      <c r="AF4258" s="155" t="s">
        <v>247</v>
      </c>
      <c r="AG4258" s="155" t="s">
        <v>247</v>
      </c>
    </row>
    <row r="4259" spans="25:33">
      <c r="Y4259" s="47">
        <v>6277</v>
      </c>
      <c r="Z4259" s="52" t="s">
        <v>410</v>
      </c>
      <c r="AA4259" s="52" t="s">
        <v>247</v>
      </c>
      <c r="AB4259" s="52" t="s">
        <v>247</v>
      </c>
      <c r="AC4259" s="52" t="s">
        <v>247</v>
      </c>
      <c r="AD4259" s="52" t="s">
        <v>1</v>
      </c>
      <c r="AE4259" s="52" t="s">
        <v>384</v>
      </c>
      <c r="AF4259" s="155" t="s">
        <v>247</v>
      </c>
      <c r="AG4259" s="155" t="s">
        <v>247</v>
      </c>
    </row>
    <row r="4260" spans="25:33">
      <c r="Y4260" s="47">
        <v>6278</v>
      </c>
      <c r="Z4260" s="52" t="s">
        <v>410</v>
      </c>
      <c r="AA4260" s="52" t="s">
        <v>247</v>
      </c>
      <c r="AB4260" s="52" t="s">
        <v>247</v>
      </c>
      <c r="AC4260" s="52" t="s">
        <v>247</v>
      </c>
      <c r="AD4260" s="52" t="s">
        <v>1</v>
      </c>
      <c r="AE4260" s="52" t="s">
        <v>384</v>
      </c>
      <c r="AF4260" s="155" t="s">
        <v>247</v>
      </c>
      <c r="AG4260" s="155" t="s">
        <v>247</v>
      </c>
    </row>
    <row r="4261" spans="25:33">
      <c r="Y4261" s="47">
        <v>6279</v>
      </c>
      <c r="Z4261" s="52" t="s">
        <v>410</v>
      </c>
      <c r="AA4261" s="52" t="s">
        <v>247</v>
      </c>
      <c r="AB4261" s="52" t="s">
        <v>247</v>
      </c>
      <c r="AC4261" s="52" t="s">
        <v>247</v>
      </c>
      <c r="AD4261" s="52" t="s">
        <v>1</v>
      </c>
      <c r="AE4261" s="52" t="s">
        <v>384</v>
      </c>
      <c r="AF4261" s="155" t="s">
        <v>247</v>
      </c>
      <c r="AG4261" s="155" t="s">
        <v>247</v>
      </c>
    </row>
    <row r="4262" spans="25:33">
      <c r="Y4262" s="47">
        <v>6280</v>
      </c>
      <c r="Z4262" s="52" t="s">
        <v>410</v>
      </c>
      <c r="AA4262" s="52" t="s">
        <v>247</v>
      </c>
      <c r="AB4262" s="52" t="s">
        <v>247</v>
      </c>
      <c r="AC4262" s="52" t="s">
        <v>247</v>
      </c>
      <c r="AD4262" s="52" t="s">
        <v>1</v>
      </c>
      <c r="AE4262" s="52" t="s">
        <v>384</v>
      </c>
      <c r="AF4262" s="155" t="s">
        <v>247</v>
      </c>
      <c r="AG4262" s="155" t="s">
        <v>247</v>
      </c>
    </row>
    <row r="4263" spans="25:33">
      <c r="Y4263" s="47">
        <v>6281</v>
      </c>
      <c r="Z4263" s="52" t="s">
        <v>410</v>
      </c>
      <c r="AA4263" s="52" t="s">
        <v>247</v>
      </c>
      <c r="AB4263" s="52" t="s">
        <v>247</v>
      </c>
      <c r="AC4263" s="52" t="s">
        <v>247</v>
      </c>
      <c r="AD4263" s="52" t="s">
        <v>1</v>
      </c>
      <c r="AE4263" s="52" t="s">
        <v>384</v>
      </c>
      <c r="AF4263" s="155" t="s">
        <v>247</v>
      </c>
      <c r="AG4263" s="155" t="s">
        <v>247</v>
      </c>
    </row>
    <row r="4264" spans="25:33">
      <c r="Y4264" s="47">
        <v>6282</v>
      </c>
      <c r="Z4264" s="52" t="s">
        <v>410</v>
      </c>
      <c r="AA4264" s="52" t="s">
        <v>247</v>
      </c>
      <c r="AB4264" s="52" t="s">
        <v>247</v>
      </c>
      <c r="AC4264" s="52" t="s">
        <v>247</v>
      </c>
      <c r="AD4264" s="52" t="s">
        <v>1</v>
      </c>
      <c r="AE4264" s="52" t="s">
        <v>384</v>
      </c>
      <c r="AF4264" s="155" t="s">
        <v>247</v>
      </c>
      <c r="AG4264" s="155" t="s">
        <v>247</v>
      </c>
    </row>
    <row r="4265" spans="25:33">
      <c r="Y4265" s="47">
        <v>6283</v>
      </c>
      <c r="Z4265" s="52" t="s">
        <v>410</v>
      </c>
      <c r="AA4265" s="52" t="s">
        <v>247</v>
      </c>
      <c r="AB4265" s="52" t="s">
        <v>247</v>
      </c>
      <c r="AC4265" s="52" t="s">
        <v>247</v>
      </c>
      <c r="AD4265" s="52" t="s">
        <v>1</v>
      </c>
      <c r="AE4265" s="52" t="s">
        <v>384</v>
      </c>
      <c r="AF4265" s="155" t="s">
        <v>247</v>
      </c>
      <c r="AG4265" s="155" t="s">
        <v>247</v>
      </c>
    </row>
    <row r="4266" spans="25:33">
      <c r="Y4266" s="47">
        <v>6284</v>
      </c>
      <c r="Z4266" s="52" t="s">
        <v>410</v>
      </c>
      <c r="AA4266" s="52" t="s">
        <v>247</v>
      </c>
      <c r="AB4266" s="52" t="s">
        <v>247</v>
      </c>
      <c r="AC4266" s="52" t="s">
        <v>247</v>
      </c>
      <c r="AD4266" s="52" t="s">
        <v>1</v>
      </c>
      <c r="AE4266" s="52" t="s">
        <v>384</v>
      </c>
      <c r="AF4266" s="155" t="s">
        <v>247</v>
      </c>
      <c r="AG4266" s="155" t="s">
        <v>247</v>
      </c>
    </row>
    <row r="4267" spans="25:33">
      <c r="Y4267" s="47">
        <v>6285</v>
      </c>
      <c r="Z4267" s="52" t="s">
        <v>410</v>
      </c>
      <c r="AA4267" s="52" t="s">
        <v>247</v>
      </c>
      <c r="AB4267" s="52" t="s">
        <v>247</v>
      </c>
      <c r="AC4267" s="52" t="s">
        <v>247</v>
      </c>
      <c r="AD4267" s="52" t="s">
        <v>1</v>
      </c>
      <c r="AE4267" s="52" t="s">
        <v>384</v>
      </c>
      <c r="AF4267" s="155" t="s">
        <v>247</v>
      </c>
      <c r="AG4267" s="155" t="s">
        <v>247</v>
      </c>
    </row>
    <row r="4268" spans="25:33">
      <c r="Y4268" s="47">
        <v>6286</v>
      </c>
      <c r="Z4268" s="52" t="s">
        <v>410</v>
      </c>
      <c r="AA4268" s="52" t="s">
        <v>247</v>
      </c>
      <c r="AB4268" s="52" t="s">
        <v>247</v>
      </c>
      <c r="AC4268" s="52" t="s">
        <v>247</v>
      </c>
      <c r="AD4268" s="52" t="s">
        <v>1</v>
      </c>
      <c r="AE4268" s="52" t="s">
        <v>384</v>
      </c>
      <c r="AF4268" s="155" t="s">
        <v>247</v>
      </c>
      <c r="AG4268" s="155" t="s">
        <v>247</v>
      </c>
    </row>
    <row r="4269" spans="25:33">
      <c r="Y4269" s="47">
        <v>6287</v>
      </c>
      <c r="Z4269" s="52" t="s">
        <v>410</v>
      </c>
      <c r="AA4269" s="52" t="s">
        <v>247</v>
      </c>
      <c r="AB4269" s="52" t="s">
        <v>247</v>
      </c>
      <c r="AC4269" s="52" t="s">
        <v>247</v>
      </c>
      <c r="AD4269" s="52" t="s">
        <v>1</v>
      </c>
      <c r="AE4269" s="52" t="s">
        <v>384</v>
      </c>
      <c r="AF4269" s="155" t="s">
        <v>247</v>
      </c>
      <c r="AG4269" s="155" t="s">
        <v>247</v>
      </c>
    </row>
    <row r="4270" spans="25:33">
      <c r="Y4270" s="47">
        <v>6288</v>
      </c>
      <c r="Z4270" s="52" t="s">
        <v>410</v>
      </c>
      <c r="AA4270" s="52" t="s">
        <v>247</v>
      </c>
      <c r="AB4270" s="52" t="s">
        <v>247</v>
      </c>
      <c r="AC4270" s="52" t="s">
        <v>247</v>
      </c>
      <c r="AD4270" s="52" t="s">
        <v>1</v>
      </c>
      <c r="AE4270" s="52" t="s">
        <v>384</v>
      </c>
      <c r="AF4270" s="155" t="s">
        <v>247</v>
      </c>
      <c r="AG4270" s="155" t="s">
        <v>247</v>
      </c>
    </row>
    <row r="4271" spans="25:33">
      <c r="Y4271" s="47">
        <v>6289</v>
      </c>
      <c r="Z4271" s="52" t="s">
        <v>410</v>
      </c>
      <c r="AA4271" s="52" t="s">
        <v>247</v>
      </c>
      <c r="AB4271" s="52" t="s">
        <v>247</v>
      </c>
      <c r="AC4271" s="52" t="s">
        <v>247</v>
      </c>
      <c r="AD4271" s="52" t="s">
        <v>1</v>
      </c>
      <c r="AE4271" s="52" t="s">
        <v>384</v>
      </c>
      <c r="AF4271" s="155" t="s">
        <v>247</v>
      </c>
      <c r="AG4271" s="155" t="s">
        <v>247</v>
      </c>
    </row>
    <row r="4272" spans="25:33">
      <c r="Y4272" s="47">
        <v>6290</v>
      </c>
      <c r="Z4272" s="52" t="s">
        <v>410</v>
      </c>
      <c r="AA4272" s="52" t="s">
        <v>247</v>
      </c>
      <c r="AB4272" s="52" t="s">
        <v>247</v>
      </c>
      <c r="AC4272" s="52" t="s">
        <v>247</v>
      </c>
      <c r="AD4272" s="52" t="s">
        <v>1</v>
      </c>
      <c r="AE4272" s="52" t="s">
        <v>384</v>
      </c>
      <c r="AF4272" s="155" t="s">
        <v>247</v>
      </c>
      <c r="AG4272" s="155" t="s">
        <v>247</v>
      </c>
    </row>
    <row r="4273" spans="25:33">
      <c r="Y4273" s="47">
        <v>6291</v>
      </c>
      <c r="Z4273" s="52" t="s">
        <v>410</v>
      </c>
      <c r="AA4273" s="52" t="s">
        <v>247</v>
      </c>
      <c r="AB4273" s="52" t="s">
        <v>247</v>
      </c>
      <c r="AC4273" s="52" t="s">
        <v>247</v>
      </c>
      <c r="AD4273" s="52" t="s">
        <v>1</v>
      </c>
      <c r="AE4273" s="52" t="s">
        <v>384</v>
      </c>
      <c r="AF4273" s="155" t="s">
        <v>247</v>
      </c>
      <c r="AG4273" s="155" t="s">
        <v>247</v>
      </c>
    </row>
    <row r="4274" spans="25:33">
      <c r="Y4274" s="47">
        <v>6292</v>
      </c>
      <c r="Z4274" s="52" t="s">
        <v>410</v>
      </c>
      <c r="AA4274" s="52" t="s">
        <v>247</v>
      </c>
      <c r="AB4274" s="52" t="s">
        <v>247</v>
      </c>
      <c r="AC4274" s="52" t="s">
        <v>247</v>
      </c>
      <c r="AD4274" s="52" t="s">
        <v>1</v>
      </c>
      <c r="AE4274" s="52" t="s">
        <v>384</v>
      </c>
      <c r="AF4274" s="155" t="s">
        <v>247</v>
      </c>
      <c r="AG4274" s="155" t="s">
        <v>247</v>
      </c>
    </row>
    <row r="4275" spans="25:33">
      <c r="Y4275" s="47">
        <v>6293</v>
      </c>
      <c r="Z4275" s="52" t="s">
        <v>410</v>
      </c>
      <c r="AA4275" s="52" t="s">
        <v>247</v>
      </c>
      <c r="AB4275" s="52" t="s">
        <v>247</v>
      </c>
      <c r="AC4275" s="52" t="s">
        <v>247</v>
      </c>
      <c r="AD4275" s="52" t="s">
        <v>1</v>
      </c>
      <c r="AE4275" s="52" t="s">
        <v>384</v>
      </c>
      <c r="AF4275" s="155" t="s">
        <v>247</v>
      </c>
      <c r="AG4275" s="155" t="s">
        <v>247</v>
      </c>
    </row>
    <row r="4276" spans="25:33">
      <c r="Y4276" s="47">
        <v>6294</v>
      </c>
      <c r="Z4276" s="52" t="s">
        <v>410</v>
      </c>
      <c r="AA4276" s="52" t="s">
        <v>247</v>
      </c>
      <c r="AB4276" s="52" t="s">
        <v>247</v>
      </c>
      <c r="AC4276" s="52" t="s">
        <v>247</v>
      </c>
      <c r="AD4276" s="52" t="s">
        <v>1</v>
      </c>
      <c r="AE4276" s="52" t="s">
        <v>384</v>
      </c>
      <c r="AF4276" s="155" t="s">
        <v>247</v>
      </c>
      <c r="AG4276" s="155" t="s">
        <v>247</v>
      </c>
    </row>
    <row r="4277" spans="25:33">
      <c r="Y4277" s="47">
        <v>6295</v>
      </c>
      <c r="Z4277" s="52" t="s">
        <v>410</v>
      </c>
      <c r="AA4277" s="52" t="s">
        <v>247</v>
      </c>
      <c r="AB4277" s="52" t="s">
        <v>247</v>
      </c>
      <c r="AC4277" s="52" t="s">
        <v>247</v>
      </c>
      <c r="AD4277" s="52" t="s">
        <v>1</v>
      </c>
      <c r="AE4277" s="52" t="s">
        <v>384</v>
      </c>
      <c r="AF4277" s="155" t="s">
        <v>247</v>
      </c>
      <c r="AG4277" s="155" t="s">
        <v>247</v>
      </c>
    </row>
    <row r="4278" spans="25:33">
      <c r="Y4278" s="47">
        <v>6296</v>
      </c>
      <c r="Z4278" s="52" t="s">
        <v>410</v>
      </c>
      <c r="AA4278" s="52" t="s">
        <v>247</v>
      </c>
      <c r="AB4278" s="52" t="s">
        <v>247</v>
      </c>
      <c r="AC4278" s="52" t="s">
        <v>247</v>
      </c>
      <c r="AD4278" s="52" t="s">
        <v>1</v>
      </c>
      <c r="AE4278" s="52" t="s">
        <v>384</v>
      </c>
      <c r="AF4278" s="155" t="s">
        <v>247</v>
      </c>
      <c r="AG4278" s="155" t="s">
        <v>247</v>
      </c>
    </row>
    <row r="4279" spans="25:33">
      <c r="Y4279" s="47">
        <v>6297</v>
      </c>
      <c r="Z4279" s="52" t="s">
        <v>410</v>
      </c>
      <c r="AA4279" s="52" t="s">
        <v>247</v>
      </c>
      <c r="AB4279" s="52" t="s">
        <v>247</v>
      </c>
      <c r="AC4279" s="52" t="s">
        <v>247</v>
      </c>
      <c r="AD4279" s="52" t="s">
        <v>1</v>
      </c>
      <c r="AE4279" s="52" t="s">
        <v>384</v>
      </c>
      <c r="AF4279" s="155" t="s">
        <v>247</v>
      </c>
      <c r="AG4279" s="155" t="s">
        <v>247</v>
      </c>
    </row>
    <row r="4280" spans="25:33">
      <c r="Y4280" s="47">
        <v>6298</v>
      </c>
      <c r="Z4280" s="52" t="s">
        <v>410</v>
      </c>
      <c r="AA4280" s="52" t="s">
        <v>247</v>
      </c>
      <c r="AB4280" s="52" t="s">
        <v>247</v>
      </c>
      <c r="AC4280" s="52" t="s">
        <v>247</v>
      </c>
      <c r="AD4280" s="52" t="s">
        <v>1</v>
      </c>
      <c r="AE4280" s="52" t="s">
        <v>384</v>
      </c>
      <c r="AF4280" s="155" t="s">
        <v>247</v>
      </c>
      <c r="AG4280" s="155" t="s">
        <v>247</v>
      </c>
    </row>
    <row r="4281" spans="25:33">
      <c r="Y4281" s="47">
        <v>6299</v>
      </c>
      <c r="Z4281" s="52" t="s">
        <v>410</v>
      </c>
      <c r="AA4281" s="52" t="s">
        <v>247</v>
      </c>
      <c r="AB4281" s="52" t="s">
        <v>247</v>
      </c>
      <c r="AC4281" s="52" t="s">
        <v>247</v>
      </c>
      <c r="AD4281" s="52" t="s">
        <v>1</v>
      </c>
      <c r="AE4281" s="52" t="s">
        <v>384</v>
      </c>
      <c r="AF4281" s="155" t="s">
        <v>247</v>
      </c>
      <c r="AG4281" s="155" t="s">
        <v>247</v>
      </c>
    </row>
    <row r="4282" spans="25:33">
      <c r="Y4282" s="47">
        <v>6300</v>
      </c>
      <c r="Z4282" s="52" t="s">
        <v>410</v>
      </c>
      <c r="AA4282" s="52" t="s">
        <v>247</v>
      </c>
      <c r="AB4282" s="52" t="s">
        <v>247</v>
      </c>
      <c r="AC4282" s="52" t="s">
        <v>247</v>
      </c>
      <c r="AD4282" s="52" t="s">
        <v>1</v>
      </c>
      <c r="AE4282" s="52" t="s">
        <v>384</v>
      </c>
      <c r="AF4282" s="155" t="s">
        <v>247</v>
      </c>
      <c r="AG4282" s="155" t="s">
        <v>247</v>
      </c>
    </row>
    <row r="4283" spans="25:33">
      <c r="Y4283" s="47">
        <v>6301</v>
      </c>
      <c r="Z4283" s="52" t="s">
        <v>410</v>
      </c>
      <c r="AA4283" s="52" t="s">
        <v>247</v>
      </c>
      <c r="AB4283" s="52" t="s">
        <v>247</v>
      </c>
      <c r="AC4283" s="52" t="s">
        <v>247</v>
      </c>
      <c r="AD4283" s="52" t="s">
        <v>1</v>
      </c>
      <c r="AE4283" s="52" t="s">
        <v>384</v>
      </c>
      <c r="AF4283" s="155" t="s">
        <v>247</v>
      </c>
      <c r="AG4283" s="155" t="s">
        <v>247</v>
      </c>
    </row>
    <row r="4284" spans="25:33">
      <c r="Y4284" s="47">
        <v>6302</v>
      </c>
      <c r="Z4284" s="52" t="s">
        <v>410</v>
      </c>
      <c r="AA4284" s="52" t="s">
        <v>247</v>
      </c>
      <c r="AB4284" s="52" t="s">
        <v>247</v>
      </c>
      <c r="AC4284" s="52" t="s">
        <v>247</v>
      </c>
      <c r="AD4284" s="52" t="s">
        <v>1</v>
      </c>
      <c r="AE4284" s="52" t="s">
        <v>384</v>
      </c>
      <c r="AF4284" s="155" t="s">
        <v>247</v>
      </c>
      <c r="AG4284" s="155" t="s">
        <v>247</v>
      </c>
    </row>
    <row r="4285" spans="25:33">
      <c r="Y4285" s="47">
        <v>6303</v>
      </c>
      <c r="Z4285" s="52" t="s">
        <v>410</v>
      </c>
      <c r="AA4285" s="52" t="s">
        <v>247</v>
      </c>
      <c r="AB4285" s="52" t="s">
        <v>247</v>
      </c>
      <c r="AC4285" s="52" t="s">
        <v>247</v>
      </c>
      <c r="AD4285" s="52" t="s">
        <v>1</v>
      </c>
      <c r="AE4285" s="52" t="s">
        <v>384</v>
      </c>
      <c r="AF4285" s="155" t="s">
        <v>247</v>
      </c>
      <c r="AG4285" s="155" t="s">
        <v>247</v>
      </c>
    </row>
    <row r="4286" spans="25:33">
      <c r="Y4286" s="47">
        <v>6304</v>
      </c>
      <c r="Z4286" s="52" t="s">
        <v>410</v>
      </c>
      <c r="AA4286" s="52" t="s">
        <v>247</v>
      </c>
      <c r="AB4286" s="52" t="s">
        <v>247</v>
      </c>
      <c r="AC4286" s="52" t="s">
        <v>247</v>
      </c>
      <c r="AD4286" s="52" t="s">
        <v>1</v>
      </c>
      <c r="AE4286" s="52" t="s">
        <v>384</v>
      </c>
      <c r="AF4286" s="155" t="s">
        <v>247</v>
      </c>
      <c r="AG4286" s="155" t="s">
        <v>247</v>
      </c>
    </row>
    <row r="4287" spans="25:33">
      <c r="Y4287" s="47">
        <v>6305</v>
      </c>
      <c r="Z4287" s="52" t="s">
        <v>410</v>
      </c>
      <c r="AA4287" s="52" t="s">
        <v>247</v>
      </c>
      <c r="AB4287" s="52" t="s">
        <v>247</v>
      </c>
      <c r="AC4287" s="52" t="s">
        <v>247</v>
      </c>
      <c r="AD4287" s="52" t="s">
        <v>1</v>
      </c>
      <c r="AE4287" s="52" t="s">
        <v>384</v>
      </c>
      <c r="AF4287" s="155" t="s">
        <v>247</v>
      </c>
      <c r="AG4287" s="155" t="s">
        <v>247</v>
      </c>
    </row>
    <row r="4288" spans="25:33">
      <c r="Y4288" s="47">
        <v>6306</v>
      </c>
      <c r="Z4288" s="52" t="s">
        <v>410</v>
      </c>
      <c r="AA4288" s="52" t="s">
        <v>247</v>
      </c>
      <c r="AB4288" s="52" t="s">
        <v>247</v>
      </c>
      <c r="AC4288" s="52" t="s">
        <v>247</v>
      </c>
      <c r="AD4288" s="52" t="s">
        <v>1</v>
      </c>
      <c r="AE4288" s="52" t="s">
        <v>384</v>
      </c>
      <c r="AF4288" s="155" t="s">
        <v>247</v>
      </c>
      <c r="AG4288" s="155" t="s">
        <v>247</v>
      </c>
    </row>
    <row r="4289" spans="25:33">
      <c r="Y4289" s="47">
        <v>6307</v>
      </c>
      <c r="Z4289" s="52" t="s">
        <v>410</v>
      </c>
      <c r="AA4289" s="52" t="s">
        <v>247</v>
      </c>
      <c r="AB4289" s="52" t="s">
        <v>247</v>
      </c>
      <c r="AC4289" s="52" t="s">
        <v>247</v>
      </c>
      <c r="AD4289" s="52" t="s">
        <v>1</v>
      </c>
      <c r="AE4289" s="52" t="s">
        <v>384</v>
      </c>
      <c r="AF4289" s="155" t="s">
        <v>247</v>
      </c>
      <c r="AG4289" s="155" t="s">
        <v>247</v>
      </c>
    </row>
    <row r="4290" spans="25:33">
      <c r="Y4290" s="47">
        <v>6308</v>
      </c>
      <c r="Z4290" s="52" t="s">
        <v>410</v>
      </c>
      <c r="AA4290" s="52" t="s">
        <v>247</v>
      </c>
      <c r="AB4290" s="52" t="s">
        <v>247</v>
      </c>
      <c r="AC4290" s="52" t="s">
        <v>247</v>
      </c>
      <c r="AD4290" s="52" t="s">
        <v>1</v>
      </c>
      <c r="AE4290" s="52" t="s">
        <v>384</v>
      </c>
      <c r="AF4290" s="155" t="s">
        <v>247</v>
      </c>
      <c r="AG4290" s="155" t="s">
        <v>247</v>
      </c>
    </row>
    <row r="4291" spans="25:33">
      <c r="Y4291" s="47">
        <v>6309</v>
      </c>
      <c r="Z4291" s="52" t="s">
        <v>410</v>
      </c>
      <c r="AA4291" s="52" t="s">
        <v>247</v>
      </c>
      <c r="AB4291" s="52" t="s">
        <v>247</v>
      </c>
      <c r="AC4291" s="52" t="s">
        <v>247</v>
      </c>
      <c r="AD4291" s="52" t="s">
        <v>1</v>
      </c>
      <c r="AE4291" s="52" t="s">
        <v>384</v>
      </c>
      <c r="AF4291" s="155" t="s">
        <v>247</v>
      </c>
      <c r="AG4291" s="155" t="s">
        <v>247</v>
      </c>
    </row>
    <row r="4292" spans="25:33">
      <c r="Y4292" s="47">
        <v>6310</v>
      </c>
      <c r="Z4292" s="52" t="s">
        <v>410</v>
      </c>
      <c r="AA4292" s="52" t="s">
        <v>247</v>
      </c>
      <c r="AB4292" s="52" t="s">
        <v>247</v>
      </c>
      <c r="AC4292" s="52" t="s">
        <v>247</v>
      </c>
      <c r="AD4292" s="52" t="s">
        <v>1</v>
      </c>
      <c r="AE4292" s="52" t="s">
        <v>384</v>
      </c>
      <c r="AF4292" s="155" t="s">
        <v>247</v>
      </c>
      <c r="AG4292" s="155" t="s">
        <v>247</v>
      </c>
    </row>
    <row r="4293" spans="25:33">
      <c r="Y4293" s="47">
        <v>6311</v>
      </c>
      <c r="Z4293" s="52" t="s">
        <v>410</v>
      </c>
      <c r="AA4293" s="52" t="s">
        <v>247</v>
      </c>
      <c r="AB4293" s="52" t="s">
        <v>247</v>
      </c>
      <c r="AC4293" s="52" t="s">
        <v>247</v>
      </c>
      <c r="AD4293" s="52" t="s">
        <v>1</v>
      </c>
      <c r="AE4293" s="52" t="s">
        <v>384</v>
      </c>
      <c r="AF4293" s="155" t="s">
        <v>247</v>
      </c>
      <c r="AG4293" s="155" t="s">
        <v>247</v>
      </c>
    </row>
    <row r="4294" spans="25:33">
      <c r="Y4294" s="47">
        <v>6312</v>
      </c>
      <c r="Z4294" s="52" t="s">
        <v>410</v>
      </c>
      <c r="AA4294" s="52" t="s">
        <v>247</v>
      </c>
      <c r="AB4294" s="52" t="s">
        <v>247</v>
      </c>
      <c r="AC4294" s="52" t="s">
        <v>247</v>
      </c>
      <c r="AD4294" s="52" t="s">
        <v>1</v>
      </c>
      <c r="AE4294" s="52" t="s">
        <v>384</v>
      </c>
      <c r="AF4294" s="155" t="s">
        <v>247</v>
      </c>
      <c r="AG4294" s="155" t="s">
        <v>247</v>
      </c>
    </row>
    <row r="4295" spans="25:33">
      <c r="Y4295" s="47">
        <v>6313</v>
      </c>
      <c r="Z4295" s="52" t="s">
        <v>410</v>
      </c>
      <c r="AA4295" s="52" t="s">
        <v>247</v>
      </c>
      <c r="AB4295" s="52" t="s">
        <v>247</v>
      </c>
      <c r="AC4295" s="52" t="s">
        <v>247</v>
      </c>
      <c r="AD4295" s="52" t="s">
        <v>1</v>
      </c>
      <c r="AE4295" s="52" t="s">
        <v>384</v>
      </c>
      <c r="AF4295" s="155" t="s">
        <v>247</v>
      </c>
      <c r="AG4295" s="155" t="s">
        <v>247</v>
      </c>
    </row>
    <row r="4296" spans="25:33">
      <c r="Y4296" s="47">
        <v>6314</v>
      </c>
      <c r="Z4296" s="52" t="s">
        <v>410</v>
      </c>
      <c r="AA4296" s="52" t="s">
        <v>247</v>
      </c>
      <c r="AB4296" s="52" t="s">
        <v>247</v>
      </c>
      <c r="AC4296" s="52" t="s">
        <v>247</v>
      </c>
      <c r="AD4296" s="52" t="s">
        <v>1</v>
      </c>
      <c r="AE4296" s="52" t="s">
        <v>384</v>
      </c>
      <c r="AF4296" s="155" t="s">
        <v>247</v>
      </c>
      <c r="AG4296" s="155" t="s">
        <v>247</v>
      </c>
    </row>
    <row r="4297" spans="25:33">
      <c r="Y4297" s="47">
        <v>6315</v>
      </c>
      <c r="Z4297" s="52" t="s">
        <v>410</v>
      </c>
      <c r="AA4297" s="52" t="s">
        <v>247</v>
      </c>
      <c r="AB4297" s="52" t="s">
        <v>247</v>
      </c>
      <c r="AC4297" s="52" t="s">
        <v>247</v>
      </c>
      <c r="AD4297" s="52" t="s">
        <v>1</v>
      </c>
      <c r="AE4297" s="52" t="s">
        <v>384</v>
      </c>
      <c r="AF4297" s="155" t="s">
        <v>247</v>
      </c>
      <c r="AG4297" s="155" t="s">
        <v>247</v>
      </c>
    </row>
    <row r="4298" spans="25:33">
      <c r="Y4298" s="47">
        <v>6316</v>
      </c>
      <c r="Z4298" s="52" t="s">
        <v>410</v>
      </c>
      <c r="AA4298" s="52" t="s">
        <v>247</v>
      </c>
      <c r="AB4298" s="52" t="s">
        <v>247</v>
      </c>
      <c r="AC4298" s="52" t="s">
        <v>247</v>
      </c>
      <c r="AD4298" s="52" t="s">
        <v>1</v>
      </c>
      <c r="AE4298" s="52" t="s">
        <v>384</v>
      </c>
      <c r="AF4298" s="155" t="s">
        <v>247</v>
      </c>
      <c r="AG4298" s="155" t="s">
        <v>247</v>
      </c>
    </row>
    <row r="4299" spans="25:33">
      <c r="Y4299" s="47">
        <v>6317</v>
      </c>
      <c r="Z4299" s="52" t="s">
        <v>410</v>
      </c>
      <c r="AA4299" s="52" t="s">
        <v>247</v>
      </c>
      <c r="AB4299" s="52" t="s">
        <v>247</v>
      </c>
      <c r="AC4299" s="52" t="s">
        <v>247</v>
      </c>
      <c r="AD4299" s="52" t="s">
        <v>1</v>
      </c>
      <c r="AE4299" s="52" t="s">
        <v>384</v>
      </c>
      <c r="AF4299" s="155" t="s">
        <v>247</v>
      </c>
      <c r="AG4299" s="155" t="s">
        <v>247</v>
      </c>
    </row>
    <row r="4300" spans="25:33">
      <c r="Y4300" s="47">
        <v>6318</v>
      </c>
      <c r="Z4300" s="52" t="s">
        <v>411</v>
      </c>
      <c r="AA4300" s="52" t="s">
        <v>247</v>
      </c>
      <c r="AB4300" s="52" t="s">
        <v>247</v>
      </c>
      <c r="AC4300" s="52" t="s">
        <v>247</v>
      </c>
      <c r="AD4300" s="52" t="s">
        <v>1</v>
      </c>
      <c r="AE4300" s="52" t="s">
        <v>384</v>
      </c>
      <c r="AF4300" s="155" t="s">
        <v>247</v>
      </c>
      <c r="AG4300" s="155" t="s">
        <v>247</v>
      </c>
    </row>
    <row r="4301" spans="25:33">
      <c r="Y4301" s="47">
        <v>6319</v>
      </c>
      <c r="Z4301" s="52" t="s">
        <v>411</v>
      </c>
      <c r="AA4301" s="52" t="s">
        <v>247</v>
      </c>
      <c r="AB4301" s="52" t="s">
        <v>247</v>
      </c>
      <c r="AC4301" s="52" t="s">
        <v>247</v>
      </c>
      <c r="AD4301" s="52" t="s">
        <v>1</v>
      </c>
      <c r="AE4301" s="52" t="s">
        <v>384</v>
      </c>
      <c r="AF4301" s="155" t="s">
        <v>247</v>
      </c>
      <c r="AG4301" s="155" t="s">
        <v>247</v>
      </c>
    </row>
    <row r="4302" spans="25:33">
      <c r="Y4302" s="47">
        <v>6320</v>
      </c>
      <c r="Z4302" s="52" t="s">
        <v>411</v>
      </c>
      <c r="AA4302" s="52" t="s">
        <v>247</v>
      </c>
      <c r="AB4302" s="52" t="s">
        <v>247</v>
      </c>
      <c r="AC4302" s="52" t="s">
        <v>247</v>
      </c>
      <c r="AD4302" s="52" t="s">
        <v>1</v>
      </c>
      <c r="AE4302" s="52" t="s">
        <v>384</v>
      </c>
      <c r="AF4302" s="155" t="s">
        <v>247</v>
      </c>
      <c r="AG4302" s="155" t="s">
        <v>247</v>
      </c>
    </row>
    <row r="4303" spans="25:33">
      <c r="Y4303" s="47">
        <v>6321</v>
      </c>
      <c r="Z4303" s="52" t="s">
        <v>411</v>
      </c>
      <c r="AA4303" s="52" t="s">
        <v>247</v>
      </c>
      <c r="AB4303" s="52" t="s">
        <v>247</v>
      </c>
      <c r="AC4303" s="52" t="s">
        <v>247</v>
      </c>
      <c r="AD4303" s="52" t="s">
        <v>1</v>
      </c>
      <c r="AE4303" s="52" t="s">
        <v>384</v>
      </c>
      <c r="AF4303" s="155" t="s">
        <v>247</v>
      </c>
      <c r="AG4303" s="155" t="s">
        <v>247</v>
      </c>
    </row>
    <row r="4304" spans="25:33">
      <c r="Y4304" s="47">
        <v>6322</v>
      </c>
      <c r="Z4304" s="52" t="s">
        <v>411</v>
      </c>
      <c r="AA4304" s="52" t="s">
        <v>247</v>
      </c>
      <c r="AB4304" s="52" t="s">
        <v>247</v>
      </c>
      <c r="AC4304" s="52" t="s">
        <v>247</v>
      </c>
      <c r="AD4304" s="52" t="s">
        <v>1</v>
      </c>
      <c r="AE4304" s="52" t="s">
        <v>384</v>
      </c>
      <c r="AF4304" s="155" t="s">
        <v>247</v>
      </c>
      <c r="AG4304" s="155" t="s">
        <v>247</v>
      </c>
    </row>
    <row r="4305" spans="25:33">
      <c r="Y4305" s="47">
        <v>6323</v>
      </c>
      <c r="Z4305" s="52" t="s">
        <v>411</v>
      </c>
      <c r="AA4305" s="52" t="s">
        <v>247</v>
      </c>
      <c r="AB4305" s="52" t="s">
        <v>247</v>
      </c>
      <c r="AC4305" s="52" t="s">
        <v>247</v>
      </c>
      <c r="AD4305" s="52" t="s">
        <v>1</v>
      </c>
      <c r="AE4305" s="52" t="s">
        <v>384</v>
      </c>
      <c r="AF4305" s="155" t="s">
        <v>247</v>
      </c>
      <c r="AG4305" s="155" t="s">
        <v>247</v>
      </c>
    </row>
    <row r="4306" spans="25:33">
      <c r="Y4306" s="47">
        <v>6324</v>
      </c>
      <c r="Z4306" s="52" t="s">
        <v>411</v>
      </c>
      <c r="AA4306" s="52" t="s">
        <v>247</v>
      </c>
      <c r="AB4306" s="52" t="s">
        <v>247</v>
      </c>
      <c r="AC4306" s="52" t="s">
        <v>247</v>
      </c>
      <c r="AD4306" s="52" t="s">
        <v>1</v>
      </c>
      <c r="AE4306" s="52" t="s">
        <v>384</v>
      </c>
      <c r="AF4306" s="155" t="s">
        <v>247</v>
      </c>
      <c r="AG4306" s="155" t="s">
        <v>247</v>
      </c>
    </row>
    <row r="4307" spans="25:33">
      <c r="Y4307" s="47">
        <v>6325</v>
      </c>
      <c r="Z4307" s="52" t="s">
        <v>411</v>
      </c>
      <c r="AA4307" s="52" t="s">
        <v>247</v>
      </c>
      <c r="AB4307" s="52" t="s">
        <v>247</v>
      </c>
      <c r="AC4307" s="52" t="s">
        <v>247</v>
      </c>
      <c r="AD4307" s="52" t="s">
        <v>1</v>
      </c>
      <c r="AE4307" s="52" t="s">
        <v>384</v>
      </c>
      <c r="AF4307" s="155" t="s">
        <v>247</v>
      </c>
      <c r="AG4307" s="155" t="s">
        <v>247</v>
      </c>
    </row>
    <row r="4308" spans="25:33">
      <c r="Y4308" s="47">
        <v>6326</v>
      </c>
      <c r="Z4308" s="52" t="s">
        <v>411</v>
      </c>
      <c r="AA4308" s="52" t="s">
        <v>247</v>
      </c>
      <c r="AB4308" s="52" t="s">
        <v>247</v>
      </c>
      <c r="AC4308" s="52" t="s">
        <v>247</v>
      </c>
      <c r="AD4308" s="52" t="s">
        <v>1</v>
      </c>
      <c r="AE4308" s="52" t="s">
        <v>384</v>
      </c>
      <c r="AF4308" s="155" t="s">
        <v>247</v>
      </c>
      <c r="AG4308" s="155" t="s">
        <v>247</v>
      </c>
    </row>
    <row r="4309" spans="25:33">
      <c r="Y4309" s="47">
        <v>6327</v>
      </c>
      <c r="Z4309" s="52" t="s">
        <v>411</v>
      </c>
      <c r="AA4309" s="52" t="s">
        <v>247</v>
      </c>
      <c r="AB4309" s="52" t="s">
        <v>247</v>
      </c>
      <c r="AC4309" s="52" t="s">
        <v>247</v>
      </c>
      <c r="AD4309" s="52" t="s">
        <v>1</v>
      </c>
      <c r="AE4309" s="52" t="s">
        <v>384</v>
      </c>
      <c r="AF4309" s="155" t="s">
        <v>247</v>
      </c>
      <c r="AG4309" s="155" t="s">
        <v>247</v>
      </c>
    </row>
    <row r="4310" spans="25:33">
      <c r="Y4310" s="47">
        <v>6328</v>
      </c>
      <c r="Z4310" s="52" t="s">
        <v>411</v>
      </c>
      <c r="AA4310" s="52" t="s">
        <v>247</v>
      </c>
      <c r="AB4310" s="52" t="s">
        <v>247</v>
      </c>
      <c r="AC4310" s="52" t="s">
        <v>247</v>
      </c>
      <c r="AD4310" s="52" t="s">
        <v>1</v>
      </c>
      <c r="AE4310" s="52" t="s">
        <v>384</v>
      </c>
      <c r="AF4310" s="155" t="s">
        <v>247</v>
      </c>
      <c r="AG4310" s="155" t="s">
        <v>247</v>
      </c>
    </row>
    <row r="4311" spans="25:33">
      <c r="Y4311" s="47">
        <v>6329</v>
      </c>
      <c r="Z4311" s="52" t="s">
        <v>411</v>
      </c>
      <c r="AA4311" s="52" t="s">
        <v>247</v>
      </c>
      <c r="AB4311" s="52" t="s">
        <v>247</v>
      </c>
      <c r="AC4311" s="52" t="s">
        <v>247</v>
      </c>
      <c r="AD4311" s="52" t="s">
        <v>1</v>
      </c>
      <c r="AE4311" s="52" t="s">
        <v>384</v>
      </c>
      <c r="AF4311" s="155" t="s">
        <v>247</v>
      </c>
      <c r="AG4311" s="155" t="s">
        <v>247</v>
      </c>
    </row>
    <row r="4312" spans="25:33">
      <c r="Y4312" s="47">
        <v>6330</v>
      </c>
      <c r="Z4312" s="52" t="s">
        <v>411</v>
      </c>
      <c r="AA4312" s="52" t="s">
        <v>247</v>
      </c>
      <c r="AB4312" s="52" t="s">
        <v>247</v>
      </c>
      <c r="AC4312" s="52" t="s">
        <v>247</v>
      </c>
      <c r="AD4312" s="52" t="s">
        <v>1</v>
      </c>
      <c r="AE4312" s="52" t="s">
        <v>384</v>
      </c>
      <c r="AF4312" s="155" t="s">
        <v>247</v>
      </c>
      <c r="AG4312" s="155" t="s">
        <v>247</v>
      </c>
    </row>
    <row r="4313" spans="25:33">
      <c r="Y4313" s="47">
        <v>6331</v>
      </c>
      <c r="Z4313" s="52" t="s">
        <v>411</v>
      </c>
      <c r="AA4313" s="52" t="s">
        <v>247</v>
      </c>
      <c r="AB4313" s="52" t="s">
        <v>247</v>
      </c>
      <c r="AC4313" s="52" t="s">
        <v>247</v>
      </c>
      <c r="AD4313" s="52" t="s">
        <v>1</v>
      </c>
      <c r="AE4313" s="52" t="s">
        <v>384</v>
      </c>
      <c r="AF4313" s="155" t="s">
        <v>247</v>
      </c>
      <c r="AG4313" s="155" t="s">
        <v>247</v>
      </c>
    </row>
    <row r="4314" spans="25:33">
      <c r="Y4314" s="47">
        <v>6332</v>
      </c>
      <c r="Z4314" s="52" t="s">
        <v>411</v>
      </c>
      <c r="AA4314" s="52" t="s">
        <v>247</v>
      </c>
      <c r="AB4314" s="52" t="s">
        <v>247</v>
      </c>
      <c r="AC4314" s="52" t="s">
        <v>247</v>
      </c>
      <c r="AD4314" s="52" t="s">
        <v>1</v>
      </c>
      <c r="AE4314" s="52" t="s">
        <v>384</v>
      </c>
      <c r="AF4314" s="155" t="s">
        <v>247</v>
      </c>
      <c r="AG4314" s="155" t="s">
        <v>247</v>
      </c>
    </row>
    <row r="4315" spans="25:33">
      <c r="Y4315" s="47">
        <v>6333</v>
      </c>
      <c r="Z4315" s="52" t="s">
        <v>411</v>
      </c>
      <c r="AA4315" s="52" t="s">
        <v>247</v>
      </c>
      <c r="AB4315" s="52" t="s">
        <v>247</v>
      </c>
      <c r="AC4315" s="52" t="s">
        <v>247</v>
      </c>
      <c r="AD4315" s="52" t="s">
        <v>1</v>
      </c>
      <c r="AE4315" s="52" t="s">
        <v>384</v>
      </c>
      <c r="AF4315" s="155" t="s">
        <v>247</v>
      </c>
      <c r="AG4315" s="155" t="s">
        <v>247</v>
      </c>
    </row>
    <row r="4316" spans="25:33">
      <c r="Y4316" s="47">
        <v>6334</v>
      </c>
      <c r="Z4316" s="52" t="s">
        <v>411</v>
      </c>
      <c r="AA4316" s="52" t="s">
        <v>247</v>
      </c>
      <c r="AB4316" s="52" t="s">
        <v>247</v>
      </c>
      <c r="AC4316" s="52" t="s">
        <v>247</v>
      </c>
      <c r="AD4316" s="52" t="s">
        <v>1</v>
      </c>
      <c r="AE4316" s="52" t="s">
        <v>384</v>
      </c>
      <c r="AF4316" s="155" t="s">
        <v>247</v>
      </c>
      <c r="AG4316" s="155" t="s">
        <v>247</v>
      </c>
    </row>
    <row r="4317" spans="25:33">
      <c r="Y4317" s="47">
        <v>6335</v>
      </c>
      <c r="Z4317" s="52" t="s">
        <v>411</v>
      </c>
      <c r="AA4317" s="52" t="s">
        <v>247</v>
      </c>
      <c r="AB4317" s="52" t="s">
        <v>247</v>
      </c>
      <c r="AC4317" s="52" t="s">
        <v>247</v>
      </c>
      <c r="AD4317" s="52" t="s">
        <v>1</v>
      </c>
      <c r="AE4317" s="52" t="s">
        <v>384</v>
      </c>
      <c r="AF4317" s="155" t="s">
        <v>247</v>
      </c>
      <c r="AG4317" s="155" t="s">
        <v>247</v>
      </c>
    </row>
    <row r="4318" spans="25:33">
      <c r="Y4318" s="47">
        <v>6336</v>
      </c>
      <c r="Z4318" s="52" t="s">
        <v>411</v>
      </c>
      <c r="AA4318" s="52" t="s">
        <v>247</v>
      </c>
      <c r="AB4318" s="52" t="s">
        <v>247</v>
      </c>
      <c r="AC4318" s="52" t="s">
        <v>247</v>
      </c>
      <c r="AD4318" s="52" t="s">
        <v>1</v>
      </c>
      <c r="AE4318" s="52" t="s">
        <v>384</v>
      </c>
      <c r="AF4318" s="155" t="s">
        <v>247</v>
      </c>
      <c r="AG4318" s="155" t="s">
        <v>247</v>
      </c>
    </row>
    <row r="4319" spans="25:33">
      <c r="Y4319" s="47">
        <v>6337</v>
      </c>
      <c r="Z4319" s="52" t="s">
        <v>411</v>
      </c>
      <c r="AA4319" s="52" t="s">
        <v>247</v>
      </c>
      <c r="AB4319" s="52" t="s">
        <v>247</v>
      </c>
      <c r="AC4319" s="52" t="s">
        <v>247</v>
      </c>
      <c r="AD4319" s="52" t="s">
        <v>1</v>
      </c>
      <c r="AE4319" s="52" t="s">
        <v>384</v>
      </c>
      <c r="AF4319" s="155" t="s">
        <v>247</v>
      </c>
      <c r="AG4319" s="155" t="s">
        <v>247</v>
      </c>
    </row>
    <row r="4320" spans="25:33">
      <c r="Y4320" s="47">
        <v>6338</v>
      </c>
      <c r="Z4320" s="52" t="s">
        <v>411</v>
      </c>
      <c r="AA4320" s="52" t="s">
        <v>247</v>
      </c>
      <c r="AB4320" s="52" t="s">
        <v>247</v>
      </c>
      <c r="AC4320" s="52" t="s">
        <v>247</v>
      </c>
      <c r="AD4320" s="52" t="s">
        <v>1</v>
      </c>
      <c r="AE4320" s="52" t="s">
        <v>384</v>
      </c>
      <c r="AF4320" s="155" t="s">
        <v>247</v>
      </c>
      <c r="AG4320" s="155" t="s">
        <v>247</v>
      </c>
    </row>
    <row r="4321" spans="25:33">
      <c r="Y4321" s="47">
        <v>6341</v>
      </c>
      <c r="Z4321" s="52" t="s">
        <v>410</v>
      </c>
      <c r="AA4321" s="52" t="s">
        <v>247</v>
      </c>
      <c r="AB4321" s="52" t="s">
        <v>247</v>
      </c>
      <c r="AC4321" s="52" t="s">
        <v>247</v>
      </c>
      <c r="AD4321" s="52" t="s">
        <v>1</v>
      </c>
      <c r="AE4321" s="52" t="s">
        <v>384</v>
      </c>
      <c r="AF4321" s="155" t="s">
        <v>247</v>
      </c>
      <c r="AG4321" s="155" t="s">
        <v>247</v>
      </c>
    </row>
    <row r="4322" spans="25:33">
      <c r="Y4322" s="47">
        <v>6343</v>
      </c>
      <c r="Z4322" s="52" t="s">
        <v>411</v>
      </c>
      <c r="AA4322" s="52" t="s">
        <v>247</v>
      </c>
      <c r="AB4322" s="52" t="s">
        <v>247</v>
      </c>
      <c r="AC4322" s="52" t="s">
        <v>247</v>
      </c>
      <c r="AD4322" s="52" t="s">
        <v>1</v>
      </c>
      <c r="AE4322" s="52" t="s">
        <v>384</v>
      </c>
      <c r="AF4322" s="155" t="s">
        <v>247</v>
      </c>
      <c r="AG4322" s="155" t="s">
        <v>247</v>
      </c>
    </row>
    <row r="4323" spans="25:33">
      <c r="Y4323" s="47">
        <v>6344</v>
      </c>
      <c r="Z4323" s="52" t="s">
        <v>411</v>
      </c>
      <c r="AA4323" s="52" t="s">
        <v>247</v>
      </c>
      <c r="AB4323" s="52" t="s">
        <v>247</v>
      </c>
      <c r="AC4323" s="52" t="s">
        <v>247</v>
      </c>
      <c r="AD4323" s="52" t="s">
        <v>1</v>
      </c>
      <c r="AE4323" s="52" t="s">
        <v>384</v>
      </c>
      <c r="AF4323" s="155" t="s">
        <v>247</v>
      </c>
      <c r="AG4323" s="155" t="s">
        <v>247</v>
      </c>
    </row>
    <row r="4324" spans="25:33">
      <c r="Y4324" s="47">
        <v>6345</v>
      </c>
      <c r="Z4324" s="52" t="s">
        <v>411</v>
      </c>
      <c r="AA4324" s="52" t="s">
        <v>247</v>
      </c>
      <c r="AB4324" s="52" t="s">
        <v>247</v>
      </c>
      <c r="AC4324" s="52" t="s">
        <v>247</v>
      </c>
      <c r="AD4324" s="52" t="s">
        <v>1</v>
      </c>
      <c r="AE4324" s="52" t="s">
        <v>384</v>
      </c>
      <c r="AF4324" s="155" t="s">
        <v>247</v>
      </c>
      <c r="AG4324" s="155" t="s">
        <v>247</v>
      </c>
    </row>
    <row r="4325" spans="25:33">
      <c r="Y4325" s="47">
        <v>6346</v>
      </c>
      <c r="Z4325" s="52" t="s">
        <v>411</v>
      </c>
      <c r="AA4325" s="52" t="s">
        <v>247</v>
      </c>
      <c r="AB4325" s="52" t="s">
        <v>247</v>
      </c>
      <c r="AC4325" s="52" t="s">
        <v>247</v>
      </c>
      <c r="AD4325" s="52" t="s">
        <v>1</v>
      </c>
      <c r="AE4325" s="52" t="s">
        <v>384</v>
      </c>
      <c r="AF4325" s="155" t="s">
        <v>247</v>
      </c>
      <c r="AG4325" s="155" t="s">
        <v>247</v>
      </c>
    </row>
    <row r="4326" spans="25:33">
      <c r="Y4326" s="47">
        <v>6347</v>
      </c>
      <c r="Z4326" s="52" t="s">
        <v>411</v>
      </c>
      <c r="AA4326" s="52" t="s">
        <v>247</v>
      </c>
      <c r="AB4326" s="52" t="s">
        <v>247</v>
      </c>
      <c r="AC4326" s="52" t="s">
        <v>247</v>
      </c>
      <c r="AD4326" s="52" t="s">
        <v>1</v>
      </c>
      <c r="AE4326" s="52" t="s">
        <v>384</v>
      </c>
      <c r="AF4326" s="155" t="s">
        <v>247</v>
      </c>
      <c r="AG4326" s="155" t="s">
        <v>247</v>
      </c>
    </row>
    <row r="4327" spans="25:33">
      <c r="Y4327" s="47">
        <v>6348</v>
      </c>
      <c r="Z4327" s="52" t="s">
        <v>411</v>
      </c>
      <c r="AA4327" s="52" t="s">
        <v>247</v>
      </c>
      <c r="AB4327" s="52" t="s">
        <v>247</v>
      </c>
      <c r="AC4327" s="52" t="s">
        <v>247</v>
      </c>
      <c r="AD4327" s="52" t="s">
        <v>1</v>
      </c>
      <c r="AE4327" s="52" t="s">
        <v>384</v>
      </c>
      <c r="AF4327" s="155" t="s">
        <v>247</v>
      </c>
      <c r="AG4327" s="155" t="s">
        <v>247</v>
      </c>
    </row>
    <row r="4328" spans="25:33">
      <c r="Y4328" s="47">
        <v>6350</v>
      </c>
      <c r="Z4328" s="52" t="s">
        <v>410</v>
      </c>
      <c r="AA4328" s="52" t="s">
        <v>247</v>
      </c>
      <c r="AB4328" s="52" t="s">
        <v>247</v>
      </c>
      <c r="AC4328" s="52" t="s">
        <v>247</v>
      </c>
      <c r="AD4328" s="52" t="s">
        <v>1</v>
      </c>
      <c r="AE4328" s="52" t="s">
        <v>384</v>
      </c>
      <c r="AF4328" s="155" t="s">
        <v>247</v>
      </c>
      <c r="AG4328" s="155" t="s">
        <v>247</v>
      </c>
    </row>
    <row r="4329" spans="25:33">
      <c r="Y4329" s="47">
        <v>6351</v>
      </c>
      <c r="Z4329" s="52" t="s">
        <v>410</v>
      </c>
      <c r="AA4329" s="52" t="s">
        <v>247</v>
      </c>
      <c r="AB4329" s="52" t="s">
        <v>247</v>
      </c>
      <c r="AC4329" s="52" t="s">
        <v>247</v>
      </c>
      <c r="AD4329" s="52" t="s">
        <v>1</v>
      </c>
      <c r="AE4329" s="52" t="s">
        <v>384</v>
      </c>
      <c r="AF4329" s="155" t="s">
        <v>247</v>
      </c>
      <c r="AG4329" s="155" t="s">
        <v>247</v>
      </c>
    </row>
    <row r="4330" spans="25:33">
      <c r="Y4330" s="47">
        <v>6352</v>
      </c>
      <c r="Z4330" s="52" t="s">
        <v>410</v>
      </c>
      <c r="AA4330" s="52" t="s">
        <v>247</v>
      </c>
      <c r="AB4330" s="52" t="s">
        <v>247</v>
      </c>
      <c r="AC4330" s="52" t="s">
        <v>247</v>
      </c>
      <c r="AD4330" s="52" t="s">
        <v>1</v>
      </c>
      <c r="AE4330" s="52" t="s">
        <v>384</v>
      </c>
      <c r="AF4330" s="155" t="s">
        <v>247</v>
      </c>
      <c r="AG4330" s="155" t="s">
        <v>247</v>
      </c>
    </row>
    <row r="4331" spans="25:33">
      <c r="Y4331" s="47">
        <v>6353</v>
      </c>
      <c r="Z4331" s="52" t="s">
        <v>410</v>
      </c>
      <c r="AA4331" s="52" t="s">
        <v>247</v>
      </c>
      <c r="AB4331" s="52" t="s">
        <v>247</v>
      </c>
      <c r="AC4331" s="52" t="s">
        <v>247</v>
      </c>
      <c r="AD4331" s="52" t="s">
        <v>1</v>
      </c>
      <c r="AE4331" s="52" t="s">
        <v>384</v>
      </c>
      <c r="AF4331" s="155" t="s">
        <v>247</v>
      </c>
      <c r="AG4331" s="155" t="s">
        <v>247</v>
      </c>
    </row>
    <row r="4332" spans="25:33">
      <c r="Y4332" s="47">
        <v>6355</v>
      </c>
      <c r="Z4332" s="52" t="s">
        <v>411</v>
      </c>
      <c r="AA4332" s="52" t="s">
        <v>247</v>
      </c>
      <c r="AB4332" s="52" t="s">
        <v>247</v>
      </c>
      <c r="AC4332" s="52" t="s">
        <v>247</v>
      </c>
      <c r="AD4332" s="52" t="s">
        <v>1</v>
      </c>
      <c r="AE4332" s="52" t="s">
        <v>384</v>
      </c>
      <c r="AF4332" s="155" t="s">
        <v>247</v>
      </c>
      <c r="AG4332" s="155" t="s">
        <v>247</v>
      </c>
    </row>
    <row r="4333" spans="25:33">
      <c r="Y4333" s="47">
        <v>6356</v>
      </c>
      <c r="Z4333" s="52" t="s">
        <v>411</v>
      </c>
      <c r="AA4333" s="52" t="s">
        <v>247</v>
      </c>
      <c r="AB4333" s="52" t="s">
        <v>247</v>
      </c>
      <c r="AC4333" s="52" t="s">
        <v>247</v>
      </c>
      <c r="AD4333" s="52" t="s">
        <v>1</v>
      </c>
      <c r="AE4333" s="52" t="s">
        <v>384</v>
      </c>
      <c r="AF4333" s="155" t="s">
        <v>247</v>
      </c>
      <c r="AG4333" s="155" t="s">
        <v>247</v>
      </c>
    </row>
    <row r="4334" spans="25:33">
      <c r="Y4334" s="47">
        <v>6357</v>
      </c>
      <c r="Z4334" s="52" t="s">
        <v>411</v>
      </c>
      <c r="AA4334" s="52" t="s">
        <v>247</v>
      </c>
      <c r="AB4334" s="52" t="s">
        <v>247</v>
      </c>
      <c r="AC4334" s="52" t="s">
        <v>247</v>
      </c>
      <c r="AD4334" s="52" t="s">
        <v>1</v>
      </c>
      <c r="AE4334" s="52" t="s">
        <v>384</v>
      </c>
      <c r="AF4334" s="155" t="s">
        <v>247</v>
      </c>
      <c r="AG4334" s="155" t="s">
        <v>247</v>
      </c>
    </row>
    <row r="4335" spans="25:33">
      <c r="Y4335" s="47">
        <v>6358</v>
      </c>
      <c r="Z4335" s="52" t="s">
        <v>410</v>
      </c>
      <c r="AA4335" s="52" t="s">
        <v>247</v>
      </c>
      <c r="AB4335" s="52" t="s">
        <v>247</v>
      </c>
      <c r="AC4335" s="52" t="s">
        <v>247</v>
      </c>
      <c r="AD4335" s="52" t="s">
        <v>1</v>
      </c>
      <c r="AE4335" s="52" t="s">
        <v>384</v>
      </c>
      <c r="AF4335" s="155" t="s">
        <v>247</v>
      </c>
      <c r="AG4335" s="155" t="s">
        <v>247</v>
      </c>
    </row>
    <row r="4336" spans="25:33">
      <c r="Y4336" s="47">
        <v>6359</v>
      </c>
      <c r="Z4336" s="52" t="s">
        <v>410</v>
      </c>
      <c r="AA4336" s="52" t="s">
        <v>247</v>
      </c>
      <c r="AB4336" s="52" t="s">
        <v>247</v>
      </c>
      <c r="AC4336" s="52" t="s">
        <v>247</v>
      </c>
      <c r="AD4336" s="52" t="s">
        <v>1</v>
      </c>
      <c r="AE4336" s="52" t="s">
        <v>384</v>
      </c>
      <c r="AF4336" s="155" t="s">
        <v>247</v>
      </c>
      <c r="AG4336" s="155" t="s">
        <v>247</v>
      </c>
    </row>
    <row r="4337" spans="25:33">
      <c r="Y4337" s="47">
        <v>6360</v>
      </c>
      <c r="Z4337" s="52" t="s">
        <v>410</v>
      </c>
      <c r="AA4337" s="52" t="s">
        <v>247</v>
      </c>
      <c r="AB4337" s="52" t="s">
        <v>247</v>
      </c>
      <c r="AC4337" s="52" t="s">
        <v>247</v>
      </c>
      <c r="AD4337" s="52" t="s">
        <v>1</v>
      </c>
      <c r="AE4337" s="52" t="s">
        <v>384</v>
      </c>
      <c r="AF4337" s="155" t="s">
        <v>247</v>
      </c>
      <c r="AG4337" s="155" t="s">
        <v>247</v>
      </c>
    </row>
    <row r="4338" spans="25:33">
      <c r="Y4338" s="47">
        <v>6361</v>
      </c>
      <c r="Z4338" s="52" t="s">
        <v>410</v>
      </c>
      <c r="AA4338" s="52" t="s">
        <v>247</v>
      </c>
      <c r="AB4338" s="52" t="s">
        <v>247</v>
      </c>
      <c r="AC4338" s="52" t="s">
        <v>247</v>
      </c>
      <c r="AD4338" s="52" t="s">
        <v>1</v>
      </c>
      <c r="AE4338" s="52" t="s">
        <v>384</v>
      </c>
      <c r="AF4338" s="155" t="s">
        <v>247</v>
      </c>
      <c r="AG4338" s="155" t="s">
        <v>247</v>
      </c>
    </row>
    <row r="4339" spans="25:33">
      <c r="Y4339" s="47">
        <v>6362</v>
      </c>
      <c r="Z4339" s="52" t="s">
        <v>410</v>
      </c>
      <c r="AA4339" s="52" t="s">
        <v>247</v>
      </c>
      <c r="AB4339" s="52" t="s">
        <v>247</v>
      </c>
      <c r="AC4339" s="52" t="s">
        <v>247</v>
      </c>
      <c r="AD4339" s="52" t="s">
        <v>1</v>
      </c>
      <c r="AE4339" s="52" t="s">
        <v>384</v>
      </c>
      <c r="AF4339" s="155" t="s">
        <v>247</v>
      </c>
      <c r="AG4339" s="155" t="s">
        <v>247</v>
      </c>
    </row>
    <row r="4340" spans="25:33">
      <c r="Y4340" s="47">
        <v>6363</v>
      </c>
      <c r="Z4340" s="52" t="s">
        <v>410</v>
      </c>
      <c r="AA4340" s="52" t="s">
        <v>247</v>
      </c>
      <c r="AB4340" s="52" t="s">
        <v>247</v>
      </c>
      <c r="AC4340" s="52" t="s">
        <v>247</v>
      </c>
      <c r="AD4340" s="52" t="s">
        <v>1</v>
      </c>
      <c r="AE4340" s="52" t="s">
        <v>384</v>
      </c>
      <c r="AF4340" s="155" t="s">
        <v>247</v>
      </c>
      <c r="AG4340" s="155" t="s">
        <v>247</v>
      </c>
    </row>
    <row r="4341" spans="25:33">
      <c r="Y4341" s="47">
        <v>6364</v>
      </c>
      <c r="Z4341" s="52" t="s">
        <v>410</v>
      </c>
      <c r="AA4341" s="52" t="s">
        <v>247</v>
      </c>
      <c r="AB4341" s="52" t="s">
        <v>247</v>
      </c>
      <c r="AC4341" s="52" t="s">
        <v>247</v>
      </c>
      <c r="AD4341" s="52" t="s">
        <v>1</v>
      </c>
      <c r="AE4341" s="52" t="s">
        <v>384</v>
      </c>
      <c r="AF4341" s="155" t="s">
        <v>247</v>
      </c>
      <c r="AG4341" s="155" t="s">
        <v>247</v>
      </c>
    </row>
    <row r="4342" spans="25:33">
      <c r="Y4342" s="47">
        <v>6365</v>
      </c>
      <c r="Z4342" s="52" t="s">
        <v>410</v>
      </c>
      <c r="AA4342" s="52" t="s">
        <v>247</v>
      </c>
      <c r="AB4342" s="52" t="s">
        <v>247</v>
      </c>
      <c r="AC4342" s="52" t="s">
        <v>247</v>
      </c>
      <c r="AD4342" s="52" t="s">
        <v>1</v>
      </c>
      <c r="AE4342" s="52" t="s">
        <v>384</v>
      </c>
      <c r="AF4342" s="155" t="s">
        <v>247</v>
      </c>
      <c r="AG4342" s="155" t="s">
        <v>247</v>
      </c>
    </row>
    <row r="4343" spans="25:33">
      <c r="Y4343" s="47">
        <v>6366</v>
      </c>
      <c r="Z4343" s="52" t="s">
        <v>410</v>
      </c>
      <c r="AA4343" s="52" t="s">
        <v>247</v>
      </c>
      <c r="AB4343" s="52" t="s">
        <v>247</v>
      </c>
      <c r="AC4343" s="52" t="s">
        <v>247</v>
      </c>
      <c r="AD4343" s="52" t="s">
        <v>1</v>
      </c>
      <c r="AE4343" s="52" t="s">
        <v>384</v>
      </c>
      <c r="AF4343" s="155" t="s">
        <v>247</v>
      </c>
      <c r="AG4343" s="155" t="s">
        <v>247</v>
      </c>
    </row>
    <row r="4344" spans="25:33">
      <c r="Y4344" s="47">
        <v>6367</v>
      </c>
      <c r="Z4344" s="52" t="s">
        <v>410</v>
      </c>
      <c r="AA4344" s="52" t="s">
        <v>247</v>
      </c>
      <c r="AB4344" s="52" t="s">
        <v>247</v>
      </c>
      <c r="AC4344" s="52" t="s">
        <v>247</v>
      </c>
      <c r="AD4344" s="52" t="s">
        <v>1</v>
      </c>
      <c r="AE4344" s="52" t="s">
        <v>384</v>
      </c>
      <c r="AF4344" s="155" t="s">
        <v>247</v>
      </c>
      <c r="AG4344" s="155" t="s">
        <v>247</v>
      </c>
    </row>
    <row r="4345" spans="25:33">
      <c r="Y4345" s="47">
        <v>6368</v>
      </c>
      <c r="Z4345" s="52" t="s">
        <v>410</v>
      </c>
      <c r="AA4345" s="52" t="s">
        <v>247</v>
      </c>
      <c r="AB4345" s="52" t="s">
        <v>247</v>
      </c>
      <c r="AC4345" s="52" t="s">
        <v>247</v>
      </c>
      <c r="AD4345" s="52" t="s">
        <v>1</v>
      </c>
      <c r="AE4345" s="52" t="s">
        <v>384</v>
      </c>
      <c r="AF4345" s="155" t="s">
        <v>247</v>
      </c>
      <c r="AG4345" s="155" t="s">
        <v>247</v>
      </c>
    </row>
    <row r="4346" spans="25:33">
      <c r="Y4346" s="47">
        <v>6369</v>
      </c>
      <c r="Z4346" s="52" t="s">
        <v>410</v>
      </c>
      <c r="AA4346" s="52" t="s">
        <v>247</v>
      </c>
      <c r="AB4346" s="52" t="s">
        <v>247</v>
      </c>
      <c r="AC4346" s="52" t="s">
        <v>247</v>
      </c>
      <c r="AD4346" s="52" t="s">
        <v>1</v>
      </c>
      <c r="AE4346" s="52" t="s">
        <v>384</v>
      </c>
      <c r="AF4346" s="155" t="s">
        <v>247</v>
      </c>
      <c r="AG4346" s="155" t="s">
        <v>247</v>
      </c>
    </row>
    <row r="4347" spans="25:33">
      <c r="Y4347" s="47">
        <v>6370</v>
      </c>
      <c r="Z4347" s="52" t="s">
        <v>410</v>
      </c>
      <c r="AA4347" s="52" t="s">
        <v>247</v>
      </c>
      <c r="AB4347" s="52" t="s">
        <v>247</v>
      </c>
      <c r="AC4347" s="52" t="s">
        <v>247</v>
      </c>
      <c r="AD4347" s="52" t="s">
        <v>1</v>
      </c>
      <c r="AE4347" s="52" t="s">
        <v>384</v>
      </c>
      <c r="AF4347" s="155" t="s">
        <v>247</v>
      </c>
      <c r="AG4347" s="155" t="s">
        <v>247</v>
      </c>
    </row>
    <row r="4348" spans="25:33">
      <c r="Y4348" s="47">
        <v>6371</v>
      </c>
      <c r="Z4348" s="52" t="s">
        <v>410</v>
      </c>
      <c r="AA4348" s="52" t="s">
        <v>247</v>
      </c>
      <c r="AB4348" s="52" t="s">
        <v>247</v>
      </c>
      <c r="AC4348" s="52" t="s">
        <v>247</v>
      </c>
      <c r="AD4348" s="52" t="s">
        <v>1</v>
      </c>
      <c r="AE4348" s="52" t="s">
        <v>384</v>
      </c>
      <c r="AF4348" s="155" t="s">
        <v>247</v>
      </c>
      <c r="AG4348" s="155" t="s">
        <v>247</v>
      </c>
    </row>
    <row r="4349" spans="25:33">
      <c r="Y4349" s="47">
        <v>6372</v>
      </c>
      <c r="Z4349" s="52" t="s">
        <v>410</v>
      </c>
      <c r="AA4349" s="52" t="s">
        <v>247</v>
      </c>
      <c r="AB4349" s="52" t="s">
        <v>247</v>
      </c>
      <c r="AC4349" s="52" t="s">
        <v>247</v>
      </c>
      <c r="AD4349" s="52" t="s">
        <v>1</v>
      </c>
      <c r="AE4349" s="52" t="s">
        <v>384</v>
      </c>
      <c r="AF4349" s="155" t="s">
        <v>247</v>
      </c>
      <c r="AG4349" s="155" t="s">
        <v>247</v>
      </c>
    </row>
    <row r="4350" spans="25:33">
      <c r="Y4350" s="47">
        <v>6373</v>
      </c>
      <c r="Z4350" s="52" t="s">
        <v>410</v>
      </c>
      <c r="AA4350" s="52" t="s">
        <v>247</v>
      </c>
      <c r="AB4350" s="52" t="s">
        <v>247</v>
      </c>
      <c r="AC4350" s="52" t="s">
        <v>247</v>
      </c>
      <c r="AD4350" s="52" t="s">
        <v>1</v>
      </c>
      <c r="AE4350" s="52" t="s">
        <v>384</v>
      </c>
      <c r="AF4350" s="155" t="s">
        <v>247</v>
      </c>
      <c r="AG4350" s="155" t="s">
        <v>247</v>
      </c>
    </row>
    <row r="4351" spans="25:33">
      <c r="Y4351" s="47">
        <v>6374</v>
      </c>
      <c r="Z4351" s="52" t="s">
        <v>410</v>
      </c>
      <c r="AA4351" s="52" t="s">
        <v>247</v>
      </c>
      <c r="AB4351" s="52" t="s">
        <v>247</v>
      </c>
      <c r="AC4351" s="52" t="s">
        <v>247</v>
      </c>
      <c r="AD4351" s="52" t="s">
        <v>1</v>
      </c>
      <c r="AE4351" s="52" t="s">
        <v>384</v>
      </c>
      <c r="AF4351" s="155" t="s">
        <v>247</v>
      </c>
      <c r="AG4351" s="155" t="s">
        <v>247</v>
      </c>
    </row>
    <row r="4352" spans="25:33">
      <c r="Y4352" s="47">
        <v>6375</v>
      </c>
      <c r="Z4352" s="52" t="s">
        <v>410</v>
      </c>
      <c r="AA4352" s="52" t="s">
        <v>247</v>
      </c>
      <c r="AB4352" s="52" t="s">
        <v>247</v>
      </c>
      <c r="AC4352" s="52" t="s">
        <v>247</v>
      </c>
      <c r="AD4352" s="52" t="s">
        <v>1</v>
      </c>
      <c r="AE4352" s="52" t="s">
        <v>384</v>
      </c>
      <c r="AF4352" s="155" t="s">
        <v>247</v>
      </c>
      <c r="AG4352" s="155" t="s">
        <v>247</v>
      </c>
    </row>
    <row r="4353" spans="25:33">
      <c r="Y4353" s="47">
        <v>6376</v>
      </c>
      <c r="Z4353" s="52" t="s">
        <v>410</v>
      </c>
      <c r="AA4353" s="52" t="s">
        <v>247</v>
      </c>
      <c r="AB4353" s="52" t="s">
        <v>247</v>
      </c>
      <c r="AC4353" s="52" t="s">
        <v>247</v>
      </c>
      <c r="AD4353" s="52" t="s">
        <v>1</v>
      </c>
      <c r="AE4353" s="52" t="s">
        <v>384</v>
      </c>
      <c r="AF4353" s="155" t="s">
        <v>247</v>
      </c>
      <c r="AG4353" s="155" t="s">
        <v>247</v>
      </c>
    </row>
    <row r="4354" spans="25:33">
      <c r="Y4354" s="47">
        <v>6377</v>
      </c>
      <c r="Z4354" s="52" t="s">
        <v>410</v>
      </c>
      <c r="AA4354" s="52" t="s">
        <v>247</v>
      </c>
      <c r="AB4354" s="52" t="s">
        <v>247</v>
      </c>
      <c r="AC4354" s="52" t="s">
        <v>247</v>
      </c>
      <c r="AD4354" s="52" t="s">
        <v>1</v>
      </c>
      <c r="AE4354" s="52" t="s">
        <v>384</v>
      </c>
      <c r="AF4354" s="155" t="s">
        <v>247</v>
      </c>
      <c r="AG4354" s="155" t="s">
        <v>247</v>
      </c>
    </row>
    <row r="4355" spans="25:33">
      <c r="Y4355" s="47">
        <v>6378</v>
      </c>
      <c r="Z4355" s="52" t="s">
        <v>410</v>
      </c>
      <c r="AA4355" s="52" t="s">
        <v>247</v>
      </c>
      <c r="AB4355" s="52" t="s">
        <v>247</v>
      </c>
      <c r="AC4355" s="52" t="s">
        <v>247</v>
      </c>
      <c r="AD4355" s="52" t="s">
        <v>1</v>
      </c>
      <c r="AE4355" s="52" t="s">
        <v>384</v>
      </c>
      <c r="AF4355" s="155" t="s">
        <v>247</v>
      </c>
      <c r="AG4355" s="155" t="s">
        <v>247</v>
      </c>
    </row>
    <row r="4356" spans="25:33">
      <c r="Y4356" s="47">
        <v>6379</v>
      </c>
      <c r="Z4356" s="52" t="s">
        <v>410</v>
      </c>
      <c r="AA4356" s="52" t="s">
        <v>247</v>
      </c>
      <c r="AB4356" s="52" t="s">
        <v>247</v>
      </c>
      <c r="AC4356" s="52" t="s">
        <v>247</v>
      </c>
      <c r="AD4356" s="52" t="s">
        <v>1</v>
      </c>
      <c r="AE4356" s="52" t="s">
        <v>384</v>
      </c>
      <c r="AF4356" s="155" t="s">
        <v>247</v>
      </c>
      <c r="AG4356" s="155" t="s">
        <v>247</v>
      </c>
    </row>
    <row r="4357" spans="25:33">
      <c r="Y4357" s="47">
        <v>6380</v>
      </c>
      <c r="Z4357" s="52" t="s">
        <v>410</v>
      </c>
      <c r="AA4357" s="52" t="s">
        <v>247</v>
      </c>
      <c r="AB4357" s="52" t="s">
        <v>247</v>
      </c>
      <c r="AC4357" s="52" t="s">
        <v>247</v>
      </c>
      <c r="AD4357" s="52" t="s">
        <v>1</v>
      </c>
      <c r="AE4357" s="52" t="s">
        <v>384</v>
      </c>
      <c r="AF4357" s="155" t="s">
        <v>247</v>
      </c>
      <c r="AG4357" s="155" t="s">
        <v>247</v>
      </c>
    </row>
    <row r="4358" spans="25:33">
      <c r="Y4358" s="47">
        <v>6381</v>
      </c>
      <c r="Z4358" s="52" t="s">
        <v>410</v>
      </c>
      <c r="AA4358" s="52" t="s">
        <v>247</v>
      </c>
      <c r="AB4358" s="52" t="s">
        <v>247</v>
      </c>
      <c r="AC4358" s="52" t="s">
        <v>247</v>
      </c>
      <c r="AD4358" s="52" t="s">
        <v>1</v>
      </c>
      <c r="AE4358" s="52" t="s">
        <v>384</v>
      </c>
      <c r="AF4358" s="155" t="s">
        <v>247</v>
      </c>
      <c r="AG4358" s="155" t="s">
        <v>247</v>
      </c>
    </row>
    <row r="4359" spans="25:33">
      <c r="Y4359" s="47">
        <v>6382</v>
      </c>
      <c r="Z4359" s="52" t="s">
        <v>410</v>
      </c>
      <c r="AA4359" s="52" t="s">
        <v>247</v>
      </c>
      <c r="AB4359" s="52" t="s">
        <v>247</v>
      </c>
      <c r="AC4359" s="52" t="s">
        <v>247</v>
      </c>
      <c r="AD4359" s="52" t="s">
        <v>1</v>
      </c>
      <c r="AE4359" s="52" t="s">
        <v>384</v>
      </c>
      <c r="AF4359" s="155" t="s">
        <v>247</v>
      </c>
      <c r="AG4359" s="155" t="s">
        <v>247</v>
      </c>
    </row>
    <row r="4360" spans="25:33">
      <c r="Y4360" s="47">
        <v>6383</v>
      </c>
      <c r="Z4360" s="52" t="s">
        <v>410</v>
      </c>
      <c r="AA4360" s="52" t="s">
        <v>247</v>
      </c>
      <c r="AB4360" s="52" t="s">
        <v>247</v>
      </c>
      <c r="AC4360" s="52" t="s">
        <v>247</v>
      </c>
      <c r="AD4360" s="52" t="s">
        <v>1</v>
      </c>
      <c r="AE4360" s="52" t="s">
        <v>384</v>
      </c>
      <c r="AF4360" s="155" t="s">
        <v>247</v>
      </c>
      <c r="AG4360" s="155" t="s">
        <v>247</v>
      </c>
    </row>
    <row r="4361" spans="25:33">
      <c r="Y4361" s="47">
        <v>6384</v>
      </c>
      <c r="Z4361" s="52" t="s">
        <v>410</v>
      </c>
      <c r="AA4361" s="52" t="s">
        <v>247</v>
      </c>
      <c r="AB4361" s="52" t="s">
        <v>247</v>
      </c>
      <c r="AC4361" s="52" t="s">
        <v>247</v>
      </c>
      <c r="AD4361" s="52" t="s">
        <v>1</v>
      </c>
      <c r="AE4361" s="52" t="s">
        <v>384</v>
      </c>
      <c r="AF4361" s="155" t="s">
        <v>247</v>
      </c>
      <c r="AG4361" s="155" t="s">
        <v>247</v>
      </c>
    </row>
    <row r="4362" spans="25:33">
      <c r="Y4362" s="47">
        <v>6385</v>
      </c>
      <c r="Z4362" s="52" t="s">
        <v>410</v>
      </c>
      <c r="AA4362" s="52" t="s">
        <v>247</v>
      </c>
      <c r="AB4362" s="52" t="s">
        <v>247</v>
      </c>
      <c r="AC4362" s="52" t="s">
        <v>247</v>
      </c>
      <c r="AD4362" s="52" t="s">
        <v>1</v>
      </c>
      <c r="AE4362" s="52" t="s">
        <v>384</v>
      </c>
      <c r="AF4362" s="155" t="s">
        <v>247</v>
      </c>
      <c r="AG4362" s="155" t="s">
        <v>247</v>
      </c>
    </row>
    <row r="4363" spans="25:33">
      <c r="Y4363" s="47">
        <v>6386</v>
      </c>
      <c r="Z4363" s="52" t="s">
        <v>410</v>
      </c>
      <c r="AA4363" s="52" t="s">
        <v>247</v>
      </c>
      <c r="AB4363" s="52" t="s">
        <v>247</v>
      </c>
      <c r="AC4363" s="52" t="s">
        <v>247</v>
      </c>
      <c r="AD4363" s="52" t="s">
        <v>1</v>
      </c>
      <c r="AE4363" s="52" t="s">
        <v>384</v>
      </c>
      <c r="AF4363" s="155" t="s">
        <v>247</v>
      </c>
      <c r="AG4363" s="155" t="s">
        <v>247</v>
      </c>
    </row>
    <row r="4364" spans="25:33">
      <c r="Y4364" s="47">
        <v>6387</v>
      </c>
      <c r="Z4364" s="52" t="s">
        <v>410</v>
      </c>
      <c r="AA4364" s="52" t="s">
        <v>247</v>
      </c>
      <c r="AB4364" s="52" t="s">
        <v>247</v>
      </c>
      <c r="AC4364" s="52" t="s">
        <v>247</v>
      </c>
      <c r="AD4364" s="52" t="s">
        <v>1</v>
      </c>
      <c r="AE4364" s="52" t="s">
        <v>384</v>
      </c>
      <c r="AF4364" s="155" t="s">
        <v>247</v>
      </c>
      <c r="AG4364" s="155" t="s">
        <v>247</v>
      </c>
    </row>
    <row r="4365" spans="25:33">
      <c r="Y4365" s="47">
        <v>6388</v>
      </c>
      <c r="Z4365" s="52" t="s">
        <v>410</v>
      </c>
      <c r="AA4365" s="52" t="s">
        <v>247</v>
      </c>
      <c r="AB4365" s="52" t="s">
        <v>247</v>
      </c>
      <c r="AC4365" s="52" t="s">
        <v>247</v>
      </c>
      <c r="AD4365" s="52" t="s">
        <v>1</v>
      </c>
      <c r="AE4365" s="52" t="s">
        <v>384</v>
      </c>
      <c r="AF4365" s="155" t="s">
        <v>247</v>
      </c>
      <c r="AG4365" s="155" t="s">
        <v>247</v>
      </c>
    </row>
    <row r="4366" spans="25:33">
      <c r="Y4366" s="47">
        <v>6389</v>
      </c>
      <c r="Z4366" s="52" t="s">
        <v>410</v>
      </c>
      <c r="AA4366" s="52" t="s">
        <v>247</v>
      </c>
      <c r="AB4366" s="52" t="s">
        <v>247</v>
      </c>
      <c r="AC4366" s="52" t="s">
        <v>247</v>
      </c>
      <c r="AD4366" s="52" t="s">
        <v>1</v>
      </c>
      <c r="AE4366" s="52" t="s">
        <v>384</v>
      </c>
      <c r="AF4366" s="155" t="s">
        <v>247</v>
      </c>
      <c r="AG4366" s="155" t="s">
        <v>247</v>
      </c>
    </row>
    <row r="4367" spans="25:33">
      <c r="Y4367" s="47">
        <v>6390</v>
      </c>
      <c r="Z4367" s="52" t="s">
        <v>410</v>
      </c>
      <c r="AA4367" s="52" t="s">
        <v>247</v>
      </c>
      <c r="AB4367" s="52" t="s">
        <v>247</v>
      </c>
      <c r="AC4367" s="52" t="s">
        <v>247</v>
      </c>
      <c r="AD4367" s="52" t="s">
        <v>1</v>
      </c>
      <c r="AE4367" s="52" t="s">
        <v>384</v>
      </c>
      <c r="AF4367" s="155" t="s">
        <v>247</v>
      </c>
      <c r="AG4367" s="155" t="s">
        <v>247</v>
      </c>
    </row>
    <row r="4368" spans="25:33">
      <c r="Y4368" s="47">
        <v>6391</v>
      </c>
      <c r="Z4368" s="52" t="s">
        <v>410</v>
      </c>
      <c r="AA4368" s="52" t="s">
        <v>247</v>
      </c>
      <c r="AB4368" s="52" t="s">
        <v>247</v>
      </c>
      <c r="AC4368" s="52" t="s">
        <v>247</v>
      </c>
      <c r="AD4368" s="52" t="s">
        <v>1</v>
      </c>
      <c r="AE4368" s="52" t="s">
        <v>384</v>
      </c>
      <c r="AF4368" s="155" t="s">
        <v>247</v>
      </c>
      <c r="AG4368" s="155" t="s">
        <v>247</v>
      </c>
    </row>
    <row r="4369" spans="25:33">
      <c r="Y4369" s="47">
        <v>6392</v>
      </c>
      <c r="Z4369" s="52" t="s">
        <v>410</v>
      </c>
      <c r="AA4369" s="52" t="s">
        <v>247</v>
      </c>
      <c r="AB4369" s="52" t="s">
        <v>247</v>
      </c>
      <c r="AC4369" s="52" t="s">
        <v>247</v>
      </c>
      <c r="AD4369" s="52" t="s">
        <v>1</v>
      </c>
      <c r="AE4369" s="52" t="s">
        <v>384</v>
      </c>
      <c r="AF4369" s="155" t="s">
        <v>247</v>
      </c>
      <c r="AG4369" s="155" t="s">
        <v>247</v>
      </c>
    </row>
    <row r="4370" spans="25:33">
      <c r="Y4370" s="47">
        <v>6393</v>
      </c>
      <c r="Z4370" s="52" t="s">
        <v>410</v>
      </c>
      <c r="AA4370" s="52" t="s">
        <v>247</v>
      </c>
      <c r="AB4370" s="52" t="s">
        <v>247</v>
      </c>
      <c r="AC4370" s="52" t="s">
        <v>247</v>
      </c>
      <c r="AD4370" s="52" t="s">
        <v>1</v>
      </c>
      <c r="AE4370" s="52" t="s">
        <v>384</v>
      </c>
      <c r="AF4370" s="155" t="s">
        <v>247</v>
      </c>
      <c r="AG4370" s="155" t="s">
        <v>247</v>
      </c>
    </row>
    <row r="4371" spans="25:33">
      <c r="Y4371" s="47">
        <v>6394</v>
      </c>
      <c r="Z4371" s="52" t="s">
        <v>410</v>
      </c>
      <c r="AA4371" s="52" t="s">
        <v>247</v>
      </c>
      <c r="AB4371" s="52" t="s">
        <v>247</v>
      </c>
      <c r="AC4371" s="52" t="s">
        <v>247</v>
      </c>
      <c r="AD4371" s="52" t="s">
        <v>1</v>
      </c>
      <c r="AE4371" s="52" t="s">
        <v>384</v>
      </c>
      <c r="AF4371" s="155" t="s">
        <v>247</v>
      </c>
      <c r="AG4371" s="155" t="s">
        <v>247</v>
      </c>
    </row>
    <row r="4372" spans="25:33">
      <c r="Y4372" s="47">
        <v>6395</v>
      </c>
      <c r="Z4372" s="52" t="s">
        <v>410</v>
      </c>
      <c r="AA4372" s="52" t="s">
        <v>247</v>
      </c>
      <c r="AB4372" s="52" t="s">
        <v>247</v>
      </c>
      <c r="AC4372" s="52" t="s">
        <v>247</v>
      </c>
      <c r="AD4372" s="52" t="s">
        <v>1</v>
      </c>
      <c r="AE4372" s="52" t="s">
        <v>384</v>
      </c>
      <c r="AF4372" s="155" t="s">
        <v>247</v>
      </c>
      <c r="AG4372" s="155" t="s">
        <v>247</v>
      </c>
    </row>
    <row r="4373" spans="25:33">
      <c r="Y4373" s="47">
        <v>6396</v>
      </c>
      <c r="Z4373" s="52" t="s">
        <v>411</v>
      </c>
      <c r="AA4373" s="52" t="s">
        <v>247</v>
      </c>
      <c r="AB4373" s="52" t="s">
        <v>247</v>
      </c>
      <c r="AC4373" s="52" t="s">
        <v>247</v>
      </c>
      <c r="AD4373" s="52" t="s">
        <v>1</v>
      </c>
      <c r="AE4373" s="52" t="s">
        <v>384</v>
      </c>
      <c r="AF4373" s="155" t="s">
        <v>247</v>
      </c>
      <c r="AG4373" s="155" t="s">
        <v>247</v>
      </c>
    </row>
    <row r="4374" spans="25:33">
      <c r="Y4374" s="47">
        <v>6397</v>
      </c>
      <c r="Z4374" s="52" t="s">
        <v>411</v>
      </c>
      <c r="AA4374" s="52" t="s">
        <v>247</v>
      </c>
      <c r="AB4374" s="52" t="s">
        <v>247</v>
      </c>
      <c r="AC4374" s="52" t="s">
        <v>247</v>
      </c>
      <c r="AD4374" s="52" t="s">
        <v>1</v>
      </c>
      <c r="AE4374" s="52" t="s">
        <v>384</v>
      </c>
      <c r="AF4374" s="155" t="s">
        <v>247</v>
      </c>
      <c r="AG4374" s="155" t="s">
        <v>247</v>
      </c>
    </row>
    <row r="4375" spans="25:33">
      <c r="Y4375" s="47">
        <v>6398</v>
      </c>
      <c r="Z4375" s="52" t="s">
        <v>411</v>
      </c>
      <c r="AA4375" s="52" t="s">
        <v>247</v>
      </c>
      <c r="AB4375" s="52" t="s">
        <v>247</v>
      </c>
      <c r="AC4375" s="52" t="s">
        <v>247</v>
      </c>
      <c r="AD4375" s="52" t="s">
        <v>1</v>
      </c>
      <c r="AE4375" s="52" t="s">
        <v>384</v>
      </c>
      <c r="AF4375" s="155" t="s">
        <v>247</v>
      </c>
      <c r="AG4375" s="155" t="s">
        <v>247</v>
      </c>
    </row>
    <row r="4376" spans="25:33">
      <c r="Y4376" s="47">
        <v>6401</v>
      </c>
      <c r="Z4376" s="52" t="s">
        <v>410</v>
      </c>
      <c r="AA4376" s="52" t="s">
        <v>247</v>
      </c>
      <c r="AB4376" s="52" t="s">
        <v>247</v>
      </c>
      <c r="AC4376" s="52" t="s">
        <v>247</v>
      </c>
      <c r="AD4376" s="52" t="s">
        <v>1</v>
      </c>
      <c r="AE4376" s="52" t="s">
        <v>384</v>
      </c>
      <c r="AF4376" s="155" t="s">
        <v>247</v>
      </c>
      <c r="AG4376" s="155" t="s">
        <v>247</v>
      </c>
    </row>
    <row r="4377" spans="25:33">
      <c r="Y4377" s="47">
        <v>6402</v>
      </c>
      <c r="Z4377" s="52" t="s">
        <v>410</v>
      </c>
      <c r="AA4377" s="52" t="s">
        <v>247</v>
      </c>
      <c r="AB4377" s="52" t="s">
        <v>247</v>
      </c>
      <c r="AC4377" s="52" t="s">
        <v>247</v>
      </c>
      <c r="AD4377" s="52" t="s">
        <v>1</v>
      </c>
      <c r="AE4377" s="52" t="s">
        <v>384</v>
      </c>
      <c r="AF4377" s="155" t="s">
        <v>247</v>
      </c>
      <c r="AG4377" s="155" t="s">
        <v>247</v>
      </c>
    </row>
    <row r="4378" spans="25:33">
      <c r="Y4378" s="47">
        <v>6403</v>
      </c>
      <c r="Z4378" s="52" t="s">
        <v>410</v>
      </c>
      <c r="AA4378" s="52" t="s">
        <v>247</v>
      </c>
      <c r="AB4378" s="52" t="s">
        <v>247</v>
      </c>
      <c r="AC4378" s="52" t="s">
        <v>247</v>
      </c>
      <c r="AD4378" s="52" t="s">
        <v>1</v>
      </c>
      <c r="AE4378" s="52" t="s">
        <v>384</v>
      </c>
      <c r="AF4378" s="155" t="s">
        <v>247</v>
      </c>
      <c r="AG4378" s="155" t="s">
        <v>247</v>
      </c>
    </row>
    <row r="4379" spans="25:33">
      <c r="Y4379" s="47">
        <v>6404</v>
      </c>
      <c r="Z4379" s="52" t="s">
        <v>410</v>
      </c>
      <c r="AA4379" s="52" t="s">
        <v>247</v>
      </c>
      <c r="AB4379" s="52" t="s">
        <v>247</v>
      </c>
      <c r="AC4379" s="52" t="s">
        <v>247</v>
      </c>
      <c r="AD4379" s="52" t="s">
        <v>1</v>
      </c>
      <c r="AE4379" s="52" t="s">
        <v>384</v>
      </c>
      <c r="AF4379" s="155" t="s">
        <v>247</v>
      </c>
      <c r="AG4379" s="155" t="s">
        <v>247</v>
      </c>
    </row>
    <row r="4380" spans="25:33">
      <c r="Y4380" s="47">
        <v>6405</v>
      </c>
      <c r="Z4380" s="52" t="s">
        <v>410</v>
      </c>
      <c r="AA4380" s="52" t="s">
        <v>247</v>
      </c>
      <c r="AB4380" s="52" t="s">
        <v>247</v>
      </c>
      <c r="AC4380" s="52" t="s">
        <v>247</v>
      </c>
      <c r="AD4380" s="52" t="s">
        <v>1</v>
      </c>
      <c r="AE4380" s="52" t="s">
        <v>384</v>
      </c>
      <c r="AF4380" s="155" t="s">
        <v>247</v>
      </c>
      <c r="AG4380" s="155" t="s">
        <v>247</v>
      </c>
    </row>
    <row r="4381" spans="25:33">
      <c r="Y4381" s="47">
        <v>6406</v>
      </c>
      <c r="Z4381" s="52" t="s">
        <v>410</v>
      </c>
      <c r="AA4381" s="52" t="s">
        <v>247</v>
      </c>
      <c r="AB4381" s="52" t="s">
        <v>247</v>
      </c>
      <c r="AC4381" s="52" t="s">
        <v>247</v>
      </c>
      <c r="AD4381" s="52" t="s">
        <v>1</v>
      </c>
      <c r="AE4381" s="52" t="s">
        <v>384</v>
      </c>
      <c r="AF4381" s="155" t="s">
        <v>247</v>
      </c>
      <c r="AG4381" s="155" t="s">
        <v>247</v>
      </c>
    </row>
    <row r="4382" spans="25:33">
      <c r="Y4382" s="47">
        <v>6407</v>
      </c>
      <c r="Z4382" s="52" t="s">
        <v>410</v>
      </c>
      <c r="AA4382" s="52" t="s">
        <v>247</v>
      </c>
      <c r="AB4382" s="52" t="s">
        <v>247</v>
      </c>
      <c r="AC4382" s="52" t="s">
        <v>247</v>
      </c>
      <c r="AD4382" s="52" t="s">
        <v>1</v>
      </c>
      <c r="AE4382" s="52" t="s">
        <v>384</v>
      </c>
      <c r="AF4382" s="155" t="s">
        <v>247</v>
      </c>
      <c r="AG4382" s="155" t="s">
        <v>247</v>
      </c>
    </row>
    <row r="4383" spans="25:33">
      <c r="Y4383" s="47">
        <v>6408</v>
      </c>
      <c r="Z4383" s="52" t="s">
        <v>410</v>
      </c>
      <c r="AA4383" s="52" t="s">
        <v>247</v>
      </c>
      <c r="AB4383" s="52" t="s">
        <v>247</v>
      </c>
      <c r="AC4383" s="52" t="s">
        <v>247</v>
      </c>
      <c r="AD4383" s="52" t="s">
        <v>1</v>
      </c>
      <c r="AE4383" s="52" t="s">
        <v>384</v>
      </c>
      <c r="AF4383" s="155" t="s">
        <v>247</v>
      </c>
      <c r="AG4383" s="155" t="s">
        <v>247</v>
      </c>
    </row>
    <row r="4384" spans="25:33">
      <c r="Y4384" s="47">
        <v>6409</v>
      </c>
      <c r="Z4384" s="52" t="s">
        <v>410</v>
      </c>
      <c r="AA4384" s="52" t="s">
        <v>247</v>
      </c>
      <c r="AB4384" s="52" t="s">
        <v>247</v>
      </c>
      <c r="AC4384" s="52" t="s">
        <v>247</v>
      </c>
      <c r="AD4384" s="52" t="s">
        <v>1</v>
      </c>
      <c r="AE4384" s="52" t="s">
        <v>384</v>
      </c>
      <c r="AF4384" s="155" t="s">
        <v>247</v>
      </c>
      <c r="AG4384" s="155" t="s">
        <v>247</v>
      </c>
    </row>
    <row r="4385" spans="25:33">
      <c r="Y4385" s="47">
        <v>6410</v>
      </c>
      <c r="Z4385" s="52" t="s">
        <v>410</v>
      </c>
      <c r="AA4385" s="52" t="s">
        <v>247</v>
      </c>
      <c r="AB4385" s="52" t="s">
        <v>247</v>
      </c>
      <c r="AC4385" s="52" t="s">
        <v>247</v>
      </c>
      <c r="AD4385" s="52" t="s">
        <v>1</v>
      </c>
      <c r="AE4385" s="52" t="s">
        <v>384</v>
      </c>
      <c r="AF4385" s="155" t="s">
        <v>247</v>
      </c>
      <c r="AG4385" s="155" t="s">
        <v>247</v>
      </c>
    </row>
    <row r="4386" spans="25:33">
      <c r="Y4386" s="47">
        <v>6411</v>
      </c>
      <c r="Z4386" s="52" t="s">
        <v>410</v>
      </c>
      <c r="AA4386" s="52" t="s">
        <v>247</v>
      </c>
      <c r="AB4386" s="52" t="s">
        <v>247</v>
      </c>
      <c r="AC4386" s="52" t="s">
        <v>247</v>
      </c>
      <c r="AD4386" s="52" t="s">
        <v>1</v>
      </c>
      <c r="AE4386" s="52" t="s">
        <v>384</v>
      </c>
      <c r="AF4386" s="155" t="s">
        <v>247</v>
      </c>
      <c r="AG4386" s="155" t="s">
        <v>247</v>
      </c>
    </row>
    <row r="4387" spans="25:33">
      <c r="Y4387" s="47">
        <v>6412</v>
      </c>
      <c r="Z4387" s="52" t="s">
        <v>410</v>
      </c>
      <c r="AA4387" s="52" t="s">
        <v>247</v>
      </c>
      <c r="AB4387" s="52" t="s">
        <v>247</v>
      </c>
      <c r="AC4387" s="52" t="s">
        <v>247</v>
      </c>
      <c r="AD4387" s="52" t="s">
        <v>1</v>
      </c>
      <c r="AE4387" s="52" t="s">
        <v>384</v>
      </c>
      <c r="AF4387" s="155" t="s">
        <v>247</v>
      </c>
      <c r="AG4387" s="155" t="s">
        <v>247</v>
      </c>
    </row>
    <row r="4388" spans="25:33">
      <c r="Y4388" s="47">
        <v>6413</v>
      </c>
      <c r="Z4388" s="52" t="s">
        <v>410</v>
      </c>
      <c r="AA4388" s="52" t="s">
        <v>247</v>
      </c>
      <c r="AB4388" s="52" t="s">
        <v>247</v>
      </c>
      <c r="AC4388" s="52" t="s">
        <v>247</v>
      </c>
      <c r="AD4388" s="52" t="s">
        <v>1</v>
      </c>
      <c r="AE4388" s="52" t="s">
        <v>384</v>
      </c>
      <c r="AF4388" s="155" t="s">
        <v>247</v>
      </c>
      <c r="AG4388" s="155" t="s">
        <v>247</v>
      </c>
    </row>
    <row r="4389" spans="25:33">
      <c r="Y4389" s="47">
        <v>6414</v>
      </c>
      <c r="Z4389" s="52" t="s">
        <v>410</v>
      </c>
      <c r="AA4389" s="52" t="s">
        <v>247</v>
      </c>
      <c r="AB4389" s="52" t="s">
        <v>247</v>
      </c>
      <c r="AC4389" s="52" t="s">
        <v>247</v>
      </c>
      <c r="AD4389" s="52" t="s">
        <v>1</v>
      </c>
      <c r="AE4389" s="52" t="s">
        <v>384</v>
      </c>
      <c r="AF4389" s="155" t="s">
        <v>247</v>
      </c>
      <c r="AG4389" s="155" t="s">
        <v>247</v>
      </c>
    </row>
    <row r="4390" spans="25:33">
      <c r="Y4390" s="47">
        <v>6415</v>
      </c>
      <c r="Z4390" s="52" t="s">
        <v>410</v>
      </c>
      <c r="AA4390" s="52" t="s">
        <v>247</v>
      </c>
      <c r="AB4390" s="52" t="s">
        <v>247</v>
      </c>
      <c r="AC4390" s="52" t="s">
        <v>247</v>
      </c>
      <c r="AD4390" s="52" t="s">
        <v>1</v>
      </c>
      <c r="AE4390" s="52" t="s">
        <v>384</v>
      </c>
      <c r="AF4390" s="155" t="s">
        <v>247</v>
      </c>
      <c r="AG4390" s="155" t="s">
        <v>247</v>
      </c>
    </row>
    <row r="4391" spans="25:33">
      <c r="Y4391" s="47">
        <v>6416</v>
      </c>
      <c r="Z4391" s="52" t="s">
        <v>410</v>
      </c>
      <c r="AA4391" s="52" t="s">
        <v>247</v>
      </c>
      <c r="AB4391" s="52" t="s">
        <v>247</v>
      </c>
      <c r="AC4391" s="52" t="s">
        <v>247</v>
      </c>
      <c r="AD4391" s="52" t="s">
        <v>1</v>
      </c>
      <c r="AE4391" s="52" t="s">
        <v>384</v>
      </c>
      <c r="AF4391" s="155" t="s">
        <v>247</v>
      </c>
      <c r="AG4391" s="155" t="s">
        <v>247</v>
      </c>
    </row>
    <row r="4392" spans="25:33">
      <c r="Y4392" s="47">
        <v>6417</v>
      </c>
      <c r="Z4392" s="52" t="s">
        <v>410</v>
      </c>
      <c r="AA4392" s="52" t="s">
        <v>247</v>
      </c>
      <c r="AB4392" s="52" t="s">
        <v>247</v>
      </c>
      <c r="AC4392" s="52" t="s">
        <v>247</v>
      </c>
      <c r="AD4392" s="52" t="s">
        <v>1</v>
      </c>
      <c r="AE4392" s="52" t="s">
        <v>384</v>
      </c>
      <c r="AF4392" s="155" t="s">
        <v>247</v>
      </c>
      <c r="AG4392" s="155" t="s">
        <v>247</v>
      </c>
    </row>
    <row r="4393" spans="25:33">
      <c r="Y4393" s="47">
        <v>6418</v>
      </c>
      <c r="Z4393" s="52" t="s">
        <v>410</v>
      </c>
      <c r="AA4393" s="52" t="s">
        <v>247</v>
      </c>
      <c r="AB4393" s="52" t="s">
        <v>247</v>
      </c>
      <c r="AC4393" s="52" t="s">
        <v>247</v>
      </c>
      <c r="AD4393" s="52" t="s">
        <v>1</v>
      </c>
      <c r="AE4393" s="52" t="s">
        <v>384</v>
      </c>
      <c r="AF4393" s="155" t="s">
        <v>247</v>
      </c>
      <c r="AG4393" s="155" t="s">
        <v>247</v>
      </c>
    </row>
    <row r="4394" spans="25:33">
      <c r="Y4394" s="47">
        <v>6419</v>
      </c>
      <c r="Z4394" s="52" t="s">
        <v>410</v>
      </c>
      <c r="AA4394" s="52" t="s">
        <v>247</v>
      </c>
      <c r="AB4394" s="52" t="s">
        <v>247</v>
      </c>
      <c r="AC4394" s="52" t="s">
        <v>247</v>
      </c>
      <c r="AD4394" s="52" t="s">
        <v>1</v>
      </c>
      <c r="AE4394" s="52" t="s">
        <v>384</v>
      </c>
      <c r="AF4394" s="155" t="s">
        <v>247</v>
      </c>
      <c r="AG4394" s="155" t="s">
        <v>247</v>
      </c>
    </row>
    <row r="4395" spans="25:33">
      <c r="Y4395" s="47">
        <v>6420</v>
      </c>
      <c r="Z4395" s="52" t="s">
        <v>410</v>
      </c>
      <c r="AA4395" s="52" t="s">
        <v>247</v>
      </c>
      <c r="AB4395" s="52" t="s">
        <v>247</v>
      </c>
      <c r="AC4395" s="52" t="s">
        <v>247</v>
      </c>
      <c r="AD4395" s="52" t="s">
        <v>1</v>
      </c>
      <c r="AE4395" s="52" t="s">
        <v>384</v>
      </c>
      <c r="AF4395" s="155" t="s">
        <v>247</v>
      </c>
      <c r="AG4395" s="155" t="s">
        <v>247</v>
      </c>
    </row>
    <row r="4396" spans="25:33">
      <c r="Y4396" s="47">
        <v>6421</v>
      </c>
      <c r="Z4396" s="52" t="s">
        <v>410</v>
      </c>
      <c r="AA4396" s="52" t="s">
        <v>247</v>
      </c>
      <c r="AB4396" s="52" t="s">
        <v>247</v>
      </c>
      <c r="AC4396" s="52" t="s">
        <v>247</v>
      </c>
      <c r="AD4396" s="52" t="s">
        <v>1</v>
      </c>
      <c r="AE4396" s="52" t="s">
        <v>384</v>
      </c>
      <c r="AF4396" s="155" t="s">
        <v>247</v>
      </c>
      <c r="AG4396" s="155" t="s">
        <v>247</v>
      </c>
    </row>
    <row r="4397" spans="25:33">
      <c r="Y4397" s="47">
        <v>6422</v>
      </c>
      <c r="Z4397" s="52" t="s">
        <v>410</v>
      </c>
      <c r="AA4397" s="52" t="s">
        <v>247</v>
      </c>
      <c r="AB4397" s="52" t="s">
        <v>247</v>
      </c>
      <c r="AC4397" s="52" t="s">
        <v>247</v>
      </c>
      <c r="AD4397" s="52" t="s">
        <v>1</v>
      </c>
      <c r="AE4397" s="52" t="s">
        <v>384</v>
      </c>
      <c r="AF4397" s="155" t="s">
        <v>247</v>
      </c>
      <c r="AG4397" s="155" t="s">
        <v>247</v>
      </c>
    </row>
    <row r="4398" spans="25:33">
      <c r="Y4398" s="47">
        <v>6423</v>
      </c>
      <c r="Z4398" s="52" t="s">
        <v>410</v>
      </c>
      <c r="AA4398" s="52" t="s">
        <v>247</v>
      </c>
      <c r="AB4398" s="52" t="s">
        <v>247</v>
      </c>
      <c r="AC4398" s="52" t="s">
        <v>247</v>
      </c>
      <c r="AD4398" s="52" t="s">
        <v>1</v>
      </c>
      <c r="AE4398" s="52" t="s">
        <v>384</v>
      </c>
      <c r="AF4398" s="155" t="s">
        <v>247</v>
      </c>
      <c r="AG4398" s="155" t="s">
        <v>247</v>
      </c>
    </row>
    <row r="4399" spans="25:33">
      <c r="Y4399" s="47">
        <v>6424</v>
      </c>
      <c r="Z4399" s="52" t="s">
        <v>410</v>
      </c>
      <c r="AA4399" s="52" t="s">
        <v>247</v>
      </c>
      <c r="AB4399" s="52" t="s">
        <v>247</v>
      </c>
      <c r="AC4399" s="52" t="s">
        <v>247</v>
      </c>
      <c r="AD4399" s="52" t="s">
        <v>1</v>
      </c>
      <c r="AE4399" s="52" t="s">
        <v>384</v>
      </c>
      <c r="AF4399" s="155" t="s">
        <v>247</v>
      </c>
      <c r="AG4399" s="155" t="s">
        <v>247</v>
      </c>
    </row>
    <row r="4400" spans="25:33">
      <c r="Y4400" s="47">
        <v>6425</v>
      </c>
      <c r="Z4400" s="52" t="s">
        <v>410</v>
      </c>
      <c r="AA4400" s="52" t="s">
        <v>247</v>
      </c>
      <c r="AB4400" s="52" t="s">
        <v>247</v>
      </c>
      <c r="AC4400" s="52" t="s">
        <v>247</v>
      </c>
      <c r="AD4400" s="52" t="s">
        <v>1</v>
      </c>
      <c r="AE4400" s="52" t="s">
        <v>384</v>
      </c>
      <c r="AF4400" s="155" t="s">
        <v>247</v>
      </c>
      <c r="AG4400" s="155" t="s">
        <v>247</v>
      </c>
    </row>
    <row r="4401" spans="25:33">
      <c r="Y4401" s="47">
        <v>6426</v>
      </c>
      <c r="Z4401" s="52" t="s">
        <v>410</v>
      </c>
      <c r="AA4401" s="52" t="s">
        <v>247</v>
      </c>
      <c r="AB4401" s="52" t="s">
        <v>247</v>
      </c>
      <c r="AC4401" s="52" t="s">
        <v>247</v>
      </c>
      <c r="AD4401" s="52" t="s">
        <v>1</v>
      </c>
      <c r="AE4401" s="52" t="s">
        <v>384</v>
      </c>
      <c r="AF4401" s="155" t="s">
        <v>247</v>
      </c>
      <c r="AG4401" s="155" t="s">
        <v>247</v>
      </c>
    </row>
    <row r="4402" spans="25:33">
      <c r="Y4402" s="47">
        <v>6427</v>
      </c>
      <c r="Z4402" s="52" t="s">
        <v>410</v>
      </c>
      <c r="AA4402" s="52" t="s">
        <v>247</v>
      </c>
      <c r="AB4402" s="52" t="s">
        <v>247</v>
      </c>
      <c r="AC4402" s="52" t="s">
        <v>247</v>
      </c>
      <c r="AD4402" s="52" t="s">
        <v>1</v>
      </c>
      <c r="AE4402" s="52" t="s">
        <v>384</v>
      </c>
      <c r="AF4402" s="155" t="s">
        <v>247</v>
      </c>
      <c r="AG4402" s="155" t="s">
        <v>247</v>
      </c>
    </row>
    <row r="4403" spans="25:33">
      <c r="Y4403" s="47">
        <v>6428</v>
      </c>
      <c r="Z4403" s="52" t="s">
        <v>410</v>
      </c>
      <c r="AA4403" s="52" t="s">
        <v>247</v>
      </c>
      <c r="AB4403" s="52" t="s">
        <v>247</v>
      </c>
      <c r="AC4403" s="52" t="s">
        <v>247</v>
      </c>
      <c r="AD4403" s="52" t="s">
        <v>1</v>
      </c>
      <c r="AE4403" s="52" t="s">
        <v>384</v>
      </c>
      <c r="AF4403" s="155" t="s">
        <v>247</v>
      </c>
      <c r="AG4403" s="155" t="s">
        <v>247</v>
      </c>
    </row>
    <row r="4404" spans="25:33">
      <c r="Y4404" s="47">
        <v>6429</v>
      </c>
      <c r="Z4404" s="52" t="s">
        <v>410</v>
      </c>
      <c r="AA4404" s="52" t="s">
        <v>247</v>
      </c>
      <c r="AB4404" s="52" t="s">
        <v>247</v>
      </c>
      <c r="AC4404" s="52" t="s">
        <v>247</v>
      </c>
      <c r="AD4404" s="52" t="s">
        <v>1</v>
      </c>
      <c r="AE4404" s="52" t="s">
        <v>384</v>
      </c>
      <c r="AF4404" s="155" t="s">
        <v>247</v>
      </c>
      <c r="AG4404" s="155" t="s">
        <v>247</v>
      </c>
    </row>
    <row r="4405" spans="25:33">
      <c r="Y4405" s="47">
        <v>6430</v>
      </c>
      <c r="Z4405" s="52" t="s">
        <v>410</v>
      </c>
      <c r="AA4405" s="52" t="s">
        <v>247</v>
      </c>
      <c r="AB4405" s="52" t="s">
        <v>247</v>
      </c>
      <c r="AC4405" s="52" t="s">
        <v>247</v>
      </c>
      <c r="AD4405" s="52" t="s">
        <v>1</v>
      </c>
      <c r="AE4405" s="52" t="s">
        <v>384</v>
      </c>
      <c r="AF4405" s="155" t="s">
        <v>247</v>
      </c>
      <c r="AG4405" s="155" t="s">
        <v>247</v>
      </c>
    </row>
    <row r="4406" spans="25:33">
      <c r="Y4406" s="47">
        <v>6431</v>
      </c>
      <c r="Z4406" s="52" t="s">
        <v>410</v>
      </c>
      <c r="AA4406" s="52" t="s">
        <v>247</v>
      </c>
      <c r="AB4406" s="52" t="s">
        <v>247</v>
      </c>
      <c r="AC4406" s="52" t="s">
        <v>247</v>
      </c>
      <c r="AD4406" s="52" t="s">
        <v>1</v>
      </c>
      <c r="AE4406" s="52" t="s">
        <v>384</v>
      </c>
      <c r="AF4406" s="155" t="s">
        <v>247</v>
      </c>
      <c r="AG4406" s="155" t="s">
        <v>247</v>
      </c>
    </row>
    <row r="4407" spans="25:33">
      <c r="Y4407" s="47">
        <v>6432</v>
      </c>
      <c r="Z4407" s="52" t="s">
        <v>410</v>
      </c>
      <c r="AA4407" s="52" t="s">
        <v>247</v>
      </c>
      <c r="AB4407" s="52" t="s">
        <v>247</v>
      </c>
      <c r="AC4407" s="52" t="s">
        <v>247</v>
      </c>
      <c r="AD4407" s="52" t="s">
        <v>1</v>
      </c>
      <c r="AE4407" s="52" t="s">
        <v>384</v>
      </c>
      <c r="AF4407" s="155" t="s">
        <v>247</v>
      </c>
      <c r="AG4407" s="155" t="s">
        <v>247</v>
      </c>
    </row>
    <row r="4408" spans="25:33">
      <c r="Y4408" s="47">
        <v>6433</v>
      </c>
      <c r="Z4408" s="52" t="s">
        <v>410</v>
      </c>
      <c r="AA4408" s="52" t="s">
        <v>247</v>
      </c>
      <c r="AB4408" s="52" t="s">
        <v>247</v>
      </c>
      <c r="AC4408" s="52" t="s">
        <v>247</v>
      </c>
      <c r="AD4408" s="52" t="s">
        <v>1</v>
      </c>
      <c r="AE4408" s="52" t="s">
        <v>384</v>
      </c>
      <c r="AF4408" s="155" t="s">
        <v>247</v>
      </c>
      <c r="AG4408" s="155" t="s">
        <v>247</v>
      </c>
    </row>
    <row r="4409" spans="25:33">
      <c r="Y4409" s="47">
        <v>6434</v>
      </c>
      <c r="Z4409" s="52" t="s">
        <v>410</v>
      </c>
      <c r="AA4409" s="52" t="s">
        <v>247</v>
      </c>
      <c r="AB4409" s="52" t="s">
        <v>247</v>
      </c>
      <c r="AC4409" s="52" t="s">
        <v>247</v>
      </c>
      <c r="AD4409" s="52" t="s">
        <v>1</v>
      </c>
      <c r="AE4409" s="52" t="s">
        <v>384</v>
      </c>
      <c r="AF4409" s="155" t="s">
        <v>247</v>
      </c>
      <c r="AG4409" s="155" t="s">
        <v>247</v>
      </c>
    </row>
    <row r="4410" spans="25:33">
      <c r="Y4410" s="47">
        <v>6435</v>
      </c>
      <c r="Z4410" s="52" t="s">
        <v>410</v>
      </c>
      <c r="AA4410" s="52" t="s">
        <v>247</v>
      </c>
      <c r="AB4410" s="52" t="s">
        <v>247</v>
      </c>
      <c r="AC4410" s="52" t="s">
        <v>247</v>
      </c>
      <c r="AD4410" s="52" t="s">
        <v>1</v>
      </c>
      <c r="AE4410" s="52" t="s">
        <v>384</v>
      </c>
      <c r="AF4410" s="155" t="s">
        <v>247</v>
      </c>
      <c r="AG4410" s="155" t="s">
        <v>247</v>
      </c>
    </row>
    <row r="4411" spans="25:33">
      <c r="Y4411" s="47">
        <v>6436</v>
      </c>
      <c r="Z4411" s="52" t="s">
        <v>410</v>
      </c>
      <c r="AA4411" s="52" t="s">
        <v>247</v>
      </c>
      <c r="AB4411" s="52" t="s">
        <v>247</v>
      </c>
      <c r="AC4411" s="52" t="s">
        <v>247</v>
      </c>
      <c r="AD4411" s="52" t="s">
        <v>1</v>
      </c>
      <c r="AE4411" s="52" t="s">
        <v>384</v>
      </c>
      <c r="AF4411" s="155" t="s">
        <v>247</v>
      </c>
      <c r="AG4411" s="155" t="s">
        <v>247</v>
      </c>
    </row>
    <row r="4412" spans="25:33">
      <c r="Y4412" s="47">
        <v>6437</v>
      </c>
      <c r="Z4412" s="52" t="s">
        <v>410</v>
      </c>
      <c r="AA4412" s="52" t="s">
        <v>247</v>
      </c>
      <c r="AB4412" s="52" t="s">
        <v>247</v>
      </c>
      <c r="AC4412" s="52" t="s">
        <v>247</v>
      </c>
      <c r="AD4412" s="52" t="s">
        <v>1</v>
      </c>
      <c r="AE4412" s="52" t="s">
        <v>384</v>
      </c>
      <c r="AF4412" s="155" t="s">
        <v>247</v>
      </c>
      <c r="AG4412" s="155" t="s">
        <v>247</v>
      </c>
    </row>
    <row r="4413" spans="25:33">
      <c r="Y4413" s="47">
        <v>6438</v>
      </c>
      <c r="Z4413" s="52" t="s">
        <v>410</v>
      </c>
      <c r="AA4413" s="52" t="s">
        <v>247</v>
      </c>
      <c r="AB4413" s="52" t="s">
        <v>247</v>
      </c>
      <c r="AC4413" s="52" t="s">
        <v>247</v>
      </c>
      <c r="AD4413" s="52" t="s">
        <v>1</v>
      </c>
      <c r="AE4413" s="52" t="s">
        <v>384</v>
      </c>
      <c r="AF4413" s="155" t="s">
        <v>247</v>
      </c>
      <c r="AG4413" s="155" t="s">
        <v>247</v>
      </c>
    </row>
    <row r="4414" spans="25:33">
      <c r="Y4414" s="47">
        <v>6440</v>
      </c>
      <c r="Z4414" s="52" t="s">
        <v>409</v>
      </c>
      <c r="AA4414" s="52" t="s">
        <v>247</v>
      </c>
      <c r="AB4414" s="52" t="s">
        <v>247</v>
      </c>
      <c r="AC4414" s="52" t="s">
        <v>247</v>
      </c>
      <c r="AD4414" s="52" t="s">
        <v>1</v>
      </c>
      <c r="AE4414" s="52" t="s">
        <v>384</v>
      </c>
      <c r="AF4414" s="155" t="s">
        <v>247</v>
      </c>
      <c r="AG4414" s="155" t="s">
        <v>247</v>
      </c>
    </row>
    <row r="4415" spans="25:33">
      <c r="Y4415" s="47">
        <v>6442</v>
      </c>
      <c r="Z4415" s="52" t="s">
        <v>410</v>
      </c>
      <c r="AA4415" s="52" t="s">
        <v>247</v>
      </c>
      <c r="AB4415" s="52" t="s">
        <v>247</v>
      </c>
      <c r="AC4415" s="52" t="s">
        <v>247</v>
      </c>
      <c r="AD4415" s="52" t="s">
        <v>1</v>
      </c>
      <c r="AE4415" s="52" t="s">
        <v>384</v>
      </c>
      <c r="AF4415" s="155" t="s">
        <v>247</v>
      </c>
      <c r="AG4415" s="155" t="s">
        <v>247</v>
      </c>
    </row>
    <row r="4416" spans="25:33">
      <c r="Y4416" s="47">
        <v>6443</v>
      </c>
      <c r="Z4416" s="52" t="s">
        <v>410</v>
      </c>
      <c r="AA4416" s="52" t="s">
        <v>247</v>
      </c>
      <c r="AB4416" s="52" t="s">
        <v>247</v>
      </c>
      <c r="AC4416" s="52" t="s">
        <v>247</v>
      </c>
      <c r="AD4416" s="52" t="s">
        <v>1</v>
      </c>
      <c r="AE4416" s="52" t="s">
        <v>384</v>
      </c>
      <c r="AF4416" s="155" t="s">
        <v>247</v>
      </c>
      <c r="AG4416" s="155" t="s">
        <v>247</v>
      </c>
    </row>
    <row r="4417" spans="25:33">
      <c r="Y4417" s="47">
        <v>6445</v>
      </c>
      <c r="Z4417" s="52" t="s">
        <v>411</v>
      </c>
      <c r="AA4417" s="52" t="s">
        <v>247</v>
      </c>
      <c r="AB4417" s="52" t="s">
        <v>247</v>
      </c>
      <c r="AC4417" s="52" t="s">
        <v>247</v>
      </c>
      <c r="AD4417" s="52" t="s">
        <v>1</v>
      </c>
      <c r="AE4417" s="52" t="s">
        <v>384</v>
      </c>
      <c r="AF4417" s="155" t="s">
        <v>247</v>
      </c>
      <c r="AG4417" s="155" t="s">
        <v>247</v>
      </c>
    </row>
    <row r="4418" spans="25:33">
      <c r="Y4418" s="47">
        <v>6446</v>
      </c>
      <c r="Z4418" s="52" t="s">
        <v>411</v>
      </c>
      <c r="AA4418" s="52" t="s">
        <v>247</v>
      </c>
      <c r="AB4418" s="52" t="s">
        <v>247</v>
      </c>
      <c r="AC4418" s="52" t="s">
        <v>247</v>
      </c>
      <c r="AD4418" s="52" t="s">
        <v>1</v>
      </c>
      <c r="AE4418" s="52" t="s">
        <v>384</v>
      </c>
      <c r="AF4418" s="155" t="s">
        <v>247</v>
      </c>
      <c r="AG4418" s="155" t="s">
        <v>247</v>
      </c>
    </row>
    <row r="4419" spans="25:33">
      <c r="Y4419" s="47">
        <v>6447</v>
      </c>
      <c r="Z4419" s="52" t="s">
        <v>411</v>
      </c>
      <c r="AA4419" s="52" t="s">
        <v>247</v>
      </c>
      <c r="AB4419" s="52" t="s">
        <v>247</v>
      </c>
      <c r="AC4419" s="52" t="s">
        <v>247</v>
      </c>
      <c r="AD4419" s="52" t="s">
        <v>1</v>
      </c>
      <c r="AE4419" s="52" t="s">
        <v>384</v>
      </c>
      <c r="AF4419" s="155" t="s">
        <v>247</v>
      </c>
      <c r="AG4419" s="155" t="s">
        <v>247</v>
      </c>
    </row>
    <row r="4420" spans="25:33">
      <c r="Y4420" s="47">
        <v>6448</v>
      </c>
      <c r="Z4420" s="52" t="s">
        <v>411</v>
      </c>
      <c r="AA4420" s="52" t="s">
        <v>247</v>
      </c>
      <c r="AB4420" s="52" t="s">
        <v>247</v>
      </c>
      <c r="AC4420" s="52" t="s">
        <v>247</v>
      </c>
      <c r="AD4420" s="52" t="s">
        <v>1</v>
      </c>
      <c r="AE4420" s="52" t="s">
        <v>384</v>
      </c>
      <c r="AF4420" s="155" t="s">
        <v>247</v>
      </c>
      <c r="AG4420" s="155" t="s">
        <v>247</v>
      </c>
    </row>
    <row r="4421" spans="25:33">
      <c r="Y4421" s="47">
        <v>6449</v>
      </c>
      <c r="Z4421" s="52" t="s">
        <v>411</v>
      </c>
      <c r="AA4421" s="52" t="s">
        <v>247</v>
      </c>
      <c r="AB4421" s="52" t="s">
        <v>247</v>
      </c>
      <c r="AC4421" s="52" t="s">
        <v>247</v>
      </c>
      <c r="AD4421" s="52" t="s">
        <v>1</v>
      </c>
      <c r="AE4421" s="52" t="s">
        <v>384</v>
      </c>
      <c r="AF4421" s="155" t="s">
        <v>247</v>
      </c>
      <c r="AG4421" s="155" t="s">
        <v>247</v>
      </c>
    </row>
    <row r="4422" spans="25:33">
      <c r="Y4422" s="47">
        <v>6450</v>
      </c>
      <c r="Z4422" s="52" t="s">
        <v>411</v>
      </c>
      <c r="AA4422" s="52" t="s">
        <v>247</v>
      </c>
      <c r="AB4422" s="52" t="s">
        <v>247</v>
      </c>
      <c r="AC4422" s="52" t="s">
        <v>247</v>
      </c>
      <c r="AD4422" s="52" t="s">
        <v>1</v>
      </c>
      <c r="AE4422" s="52" t="s">
        <v>384</v>
      </c>
      <c r="AF4422" s="155" t="s">
        <v>247</v>
      </c>
      <c r="AG4422" s="155" t="s">
        <v>247</v>
      </c>
    </row>
    <row r="4423" spans="25:33">
      <c r="Y4423" s="47">
        <v>6451</v>
      </c>
      <c r="Z4423" s="52" t="s">
        <v>411</v>
      </c>
      <c r="AA4423" s="52" t="s">
        <v>247</v>
      </c>
      <c r="AB4423" s="52" t="s">
        <v>247</v>
      </c>
      <c r="AC4423" s="52" t="s">
        <v>247</v>
      </c>
      <c r="AD4423" s="52" t="s">
        <v>1</v>
      </c>
      <c r="AE4423" s="52" t="s">
        <v>384</v>
      </c>
      <c r="AF4423" s="155" t="s">
        <v>247</v>
      </c>
      <c r="AG4423" s="155" t="s">
        <v>247</v>
      </c>
    </row>
    <row r="4424" spans="25:33">
      <c r="Y4424" s="47">
        <v>6452</v>
      </c>
      <c r="Z4424" s="52" t="s">
        <v>411</v>
      </c>
      <c r="AA4424" s="52" t="s">
        <v>247</v>
      </c>
      <c r="AB4424" s="52" t="s">
        <v>247</v>
      </c>
      <c r="AC4424" s="52" t="s">
        <v>247</v>
      </c>
      <c r="AD4424" s="52" t="s">
        <v>1</v>
      </c>
      <c r="AE4424" s="52" t="s">
        <v>384</v>
      </c>
      <c r="AF4424" s="155" t="s">
        <v>247</v>
      </c>
      <c r="AG4424" s="155" t="s">
        <v>247</v>
      </c>
    </row>
    <row r="4425" spans="25:33">
      <c r="Y4425" s="47">
        <v>6460</v>
      </c>
      <c r="Z4425" s="52" t="s">
        <v>410</v>
      </c>
      <c r="AA4425" s="52" t="s">
        <v>247</v>
      </c>
      <c r="AB4425" s="52" t="s">
        <v>247</v>
      </c>
      <c r="AC4425" s="52" t="s">
        <v>247</v>
      </c>
      <c r="AD4425" s="52" t="s">
        <v>1</v>
      </c>
      <c r="AE4425" s="52" t="s">
        <v>384</v>
      </c>
      <c r="AF4425" s="155" t="s">
        <v>247</v>
      </c>
      <c r="AG4425" s="155" t="s">
        <v>247</v>
      </c>
    </row>
    <row r="4426" spans="25:33">
      <c r="Y4426" s="47">
        <v>6461</v>
      </c>
      <c r="Z4426" s="52" t="s">
        <v>410</v>
      </c>
      <c r="AA4426" s="52" t="s">
        <v>247</v>
      </c>
      <c r="AB4426" s="52" t="s">
        <v>247</v>
      </c>
      <c r="AC4426" s="52" t="s">
        <v>247</v>
      </c>
      <c r="AD4426" s="52" t="s">
        <v>1</v>
      </c>
      <c r="AE4426" s="52" t="s">
        <v>384</v>
      </c>
      <c r="AF4426" s="155" t="s">
        <v>247</v>
      </c>
      <c r="AG4426" s="155" t="s">
        <v>247</v>
      </c>
    </row>
    <row r="4427" spans="25:33">
      <c r="Y4427" s="47">
        <v>6462</v>
      </c>
      <c r="Z4427" s="52" t="s">
        <v>410</v>
      </c>
      <c r="AA4427" s="52" t="s">
        <v>247</v>
      </c>
      <c r="AB4427" s="52" t="s">
        <v>247</v>
      </c>
      <c r="AC4427" s="52" t="s">
        <v>247</v>
      </c>
      <c r="AD4427" s="52" t="s">
        <v>1</v>
      </c>
      <c r="AE4427" s="52" t="s">
        <v>384</v>
      </c>
      <c r="AF4427" s="155" t="s">
        <v>247</v>
      </c>
      <c r="AG4427" s="155" t="s">
        <v>247</v>
      </c>
    </row>
    <row r="4428" spans="25:33">
      <c r="Y4428" s="47">
        <v>6463</v>
      </c>
      <c r="Z4428" s="52" t="s">
        <v>410</v>
      </c>
      <c r="AA4428" s="52" t="s">
        <v>247</v>
      </c>
      <c r="AB4428" s="52" t="s">
        <v>247</v>
      </c>
      <c r="AC4428" s="52" t="s">
        <v>247</v>
      </c>
      <c r="AD4428" s="52" t="s">
        <v>1</v>
      </c>
      <c r="AE4428" s="52" t="s">
        <v>384</v>
      </c>
      <c r="AF4428" s="155" t="s">
        <v>247</v>
      </c>
      <c r="AG4428" s="155" t="s">
        <v>247</v>
      </c>
    </row>
    <row r="4429" spans="25:33">
      <c r="Y4429" s="47">
        <v>6464</v>
      </c>
      <c r="Z4429" s="52" t="s">
        <v>410</v>
      </c>
      <c r="AA4429" s="52" t="s">
        <v>247</v>
      </c>
      <c r="AB4429" s="52" t="s">
        <v>247</v>
      </c>
      <c r="AC4429" s="52" t="s">
        <v>247</v>
      </c>
      <c r="AD4429" s="52" t="s">
        <v>1</v>
      </c>
      <c r="AE4429" s="52" t="s">
        <v>384</v>
      </c>
      <c r="AF4429" s="155" t="s">
        <v>247</v>
      </c>
      <c r="AG4429" s="155" t="s">
        <v>247</v>
      </c>
    </row>
    <row r="4430" spans="25:33">
      <c r="Y4430" s="47">
        <v>6465</v>
      </c>
      <c r="Z4430" s="52" t="s">
        <v>410</v>
      </c>
      <c r="AA4430" s="52" t="s">
        <v>247</v>
      </c>
      <c r="AB4430" s="52" t="s">
        <v>247</v>
      </c>
      <c r="AC4430" s="52" t="s">
        <v>247</v>
      </c>
      <c r="AD4430" s="52" t="s">
        <v>1</v>
      </c>
      <c r="AE4430" s="52" t="s">
        <v>384</v>
      </c>
      <c r="AF4430" s="155" t="s">
        <v>247</v>
      </c>
      <c r="AG4430" s="155" t="s">
        <v>247</v>
      </c>
    </row>
    <row r="4431" spans="25:33">
      <c r="Y4431" s="47">
        <v>6466</v>
      </c>
      <c r="Z4431" s="52" t="s">
        <v>410</v>
      </c>
      <c r="AA4431" s="52" t="s">
        <v>247</v>
      </c>
      <c r="AB4431" s="52" t="s">
        <v>247</v>
      </c>
      <c r="AC4431" s="52" t="s">
        <v>247</v>
      </c>
      <c r="AD4431" s="52" t="s">
        <v>1</v>
      </c>
      <c r="AE4431" s="52" t="s">
        <v>384</v>
      </c>
      <c r="AF4431" s="155" t="s">
        <v>247</v>
      </c>
      <c r="AG4431" s="155" t="s">
        <v>247</v>
      </c>
    </row>
    <row r="4432" spans="25:33">
      <c r="Y4432" s="47">
        <v>6467</v>
      </c>
      <c r="Z4432" s="52" t="s">
        <v>410</v>
      </c>
      <c r="AA4432" s="52" t="s">
        <v>247</v>
      </c>
      <c r="AB4432" s="52" t="s">
        <v>247</v>
      </c>
      <c r="AC4432" s="52" t="s">
        <v>247</v>
      </c>
      <c r="AD4432" s="52" t="s">
        <v>1</v>
      </c>
      <c r="AE4432" s="52" t="s">
        <v>384</v>
      </c>
      <c r="AF4432" s="155" t="s">
        <v>247</v>
      </c>
      <c r="AG4432" s="155" t="s">
        <v>247</v>
      </c>
    </row>
    <row r="4433" spans="25:33">
      <c r="Y4433" s="47">
        <v>6468</v>
      </c>
      <c r="Z4433" s="52" t="s">
        <v>410</v>
      </c>
      <c r="AA4433" s="52" t="s">
        <v>247</v>
      </c>
      <c r="AB4433" s="52" t="s">
        <v>247</v>
      </c>
      <c r="AC4433" s="52" t="s">
        <v>247</v>
      </c>
      <c r="AD4433" s="52" t="s">
        <v>1</v>
      </c>
      <c r="AE4433" s="52" t="s">
        <v>384</v>
      </c>
      <c r="AF4433" s="155" t="s">
        <v>247</v>
      </c>
      <c r="AG4433" s="155" t="s">
        <v>247</v>
      </c>
    </row>
    <row r="4434" spans="25:33">
      <c r="Y4434" s="47">
        <v>6469</v>
      </c>
      <c r="Z4434" s="52" t="s">
        <v>410</v>
      </c>
      <c r="AA4434" s="52" t="s">
        <v>247</v>
      </c>
      <c r="AB4434" s="52" t="s">
        <v>247</v>
      </c>
      <c r="AC4434" s="52" t="s">
        <v>247</v>
      </c>
      <c r="AD4434" s="52" t="s">
        <v>1</v>
      </c>
      <c r="AE4434" s="52" t="s">
        <v>384</v>
      </c>
      <c r="AF4434" s="155" t="s">
        <v>247</v>
      </c>
      <c r="AG4434" s="155" t="s">
        <v>247</v>
      </c>
    </row>
    <row r="4435" spans="25:33">
      <c r="Y4435" s="47">
        <v>6470</v>
      </c>
      <c r="Z4435" s="52" t="s">
        <v>410</v>
      </c>
      <c r="AA4435" s="52" t="s">
        <v>247</v>
      </c>
      <c r="AB4435" s="52" t="s">
        <v>247</v>
      </c>
      <c r="AC4435" s="52" t="s">
        <v>247</v>
      </c>
      <c r="AD4435" s="52" t="s">
        <v>1</v>
      </c>
      <c r="AE4435" s="52" t="s">
        <v>384</v>
      </c>
      <c r="AF4435" s="155" t="s">
        <v>247</v>
      </c>
      <c r="AG4435" s="155" t="s">
        <v>247</v>
      </c>
    </row>
    <row r="4436" spans="25:33">
      <c r="Y4436" s="47">
        <v>6471</v>
      </c>
      <c r="Z4436" s="52" t="s">
        <v>410</v>
      </c>
      <c r="AA4436" s="52" t="s">
        <v>247</v>
      </c>
      <c r="AB4436" s="52" t="s">
        <v>247</v>
      </c>
      <c r="AC4436" s="52" t="s">
        <v>247</v>
      </c>
      <c r="AD4436" s="52" t="s">
        <v>1</v>
      </c>
      <c r="AE4436" s="52" t="s">
        <v>384</v>
      </c>
      <c r="AF4436" s="155" t="s">
        <v>247</v>
      </c>
      <c r="AG4436" s="155" t="s">
        <v>247</v>
      </c>
    </row>
    <row r="4437" spans="25:33">
      <c r="Y4437" s="47">
        <v>6472</v>
      </c>
      <c r="Z4437" s="52" t="s">
        <v>410</v>
      </c>
      <c r="AA4437" s="52" t="s">
        <v>247</v>
      </c>
      <c r="AB4437" s="52" t="s">
        <v>247</v>
      </c>
      <c r="AC4437" s="52" t="s">
        <v>247</v>
      </c>
      <c r="AD4437" s="52" t="s">
        <v>1</v>
      </c>
      <c r="AE4437" s="52" t="s">
        <v>384</v>
      </c>
      <c r="AF4437" s="155" t="s">
        <v>247</v>
      </c>
      <c r="AG4437" s="155" t="s">
        <v>247</v>
      </c>
    </row>
    <row r="4438" spans="25:33">
      <c r="Y4438" s="47">
        <v>6473</v>
      </c>
      <c r="Z4438" s="52" t="s">
        <v>410</v>
      </c>
      <c r="AA4438" s="52" t="s">
        <v>247</v>
      </c>
      <c r="AB4438" s="52" t="s">
        <v>247</v>
      </c>
      <c r="AC4438" s="52" t="s">
        <v>247</v>
      </c>
      <c r="AD4438" s="52" t="s">
        <v>1</v>
      </c>
      <c r="AE4438" s="52" t="s">
        <v>384</v>
      </c>
      <c r="AF4438" s="155" t="s">
        <v>247</v>
      </c>
      <c r="AG4438" s="155" t="s">
        <v>247</v>
      </c>
    </row>
    <row r="4439" spans="25:33">
      <c r="Y4439" s="47">
        <v>6474</v>
      </c>
      <c r="Z4439" s="52" t="s">
        <v>410</v>
      </c>
      <c r="AA4439" s="52" t="s">
        <v>247</v>
      </c>
      <c r="AB4439" s="52" t="s">
        <v>247</v>
      </c>
      <c r="AC4439" s="52" t="s">
        <v>247</v>
      </c>
      <c r="AD4439" s="52" t="s">
        <v>1</v>
      </c>
      <c r="AE4439" s="52" t="s">
        <v>384</v>
      </c>
      <c r="AF4439" s="155" t="s">
        <v>247</v>
      </c>
      <c r="AG4439" s="155" t="s">
        <v>247</v>
      </c>
    </row>
    <row r="4440" spans="25:33">
      <c r="Y4440" s="47">
        <v>6475</v>
      </c>
      <c r="Z4440" s="52" t="s">
        <v>410</v>
      </c>
      <c r="AA4440" s="52" t="s">
        <v>247</v>
      </c>
      <c r="AB4440" s="52" t="s">
        <v>247</v>
      </c>
      <c r="AC4440" s="52" t="s">
        <v>247</v>
      </c>
      <c r="AD4440" s="52" t="s">
        <v>1</v>
      </c>
      <c r="AE4440" s="52" t="s">
        <v>384</v>
      </c>
      <c r="AF4440" s="155" t="s">
        <v>247</v>
      </c>
      <c r="AG4440" s="155" t="s">
        <v>247</v>
      </c>
    </row>
    <row r="4441" spans="25:33">
      <c r="Y4441" s="47">
        <v>6476</v>
      </c>
      <c r="Z4441" s="52" t="s">
        <v>410</v>
      </c>
      <c r="AA4441" s="52" t="s">
        <v>247</v>
      </c>
      <c r="AB4441" s="52" t="s">
        <v>247</v>
      </c>
      <c r="AC4441" s="52" t="s">
        <v>247</v>
      </c>
      <c r="AD4441" s="52" t="s">
        <v>1</v>
      </c>
      <c r="AE4441" s="52" t="s">
        <v>384</v>
      </c>
      <c r="AF4441" s="155" t="s">
        <v>247</v>
      </c>
      <c r="AG4441" s="155" t="s">
        <v>247</v>
      </c>
    </row>
    <row r="4442" spans="25:33">
      <c r="Y4442" s="47">
        <v>6477</v>
      </c>
      <c r="Z4442" s="52" t="s">
        <v>410</v>
      </c>
      <c r="AA4442" s="52" t="s">
        <v>247</v>
      </c>
      <c r="AB4442" s="52" t="s">
        <v>247</v>
      </c>
      <c r="AC4442" s="52" t="s">
        <v>247</v>
      </c>
      <c r="AD4442" s="52" t="s">
        <v>1</v>
      </c>
      <c r="AE4442" s="52" t="s">
        <v>384</v>
      </c>
      <c r="AF4442" s="155" t="s">
        <v>247</v>
      </c>
      <c r="AG4442" s="155" t="s">
        <v>247</v>
      </c>
    </row>
    <row r="4443" spans="25:33">
      <c r="Y4443" s="47">
        <v>6478</v>
      </c>
      <c r="Z4443" s="52" t="s">
        <v>410</v>
      </c>
      <c r="AA4443" s="52" t="s">
        <v>247</v>
      </c>
      <c r="AB4443" s="52" t="s">
        <v>247</v>
      </c>
      <c r="AC4443" s="52" t="s">
        <v>247</v>
      </c>
      <c r="AD4443" s="52" t="s">
        <v>1</v>
      </c>
      <c r="AE4443" s="52" t="s">
        <v>384</v>
      </c>
      <c r="AF4443" s="155" t="s">
        <v>247</v>
      </c>
      <c r="AG4443" s="155" t="s">
        <v>247</v>
      </c>
    </row>
    <row r="4444" spans="25:33">
      <c r="Y4444" s="47">
        <v>6479</v>
      </c>
      <c r="Z4444" s="52" t="s">
        <v>410</v>
      </c>
      <c r="AA4444" s="52" t="s">
        <v>247</v>
      </c>
      <c r="AB4444" s="52" t="s">
        <v>247</v>
      </c>
      <c r="AC4444" s="52" t="s">
        <v>247</v>
      </c>
      <c r="AD4444" s="52" t="s">
        <v>1</v>
      </c>
      <c r="AE4444" s="52" t="s">
        <v>384</v>
      </c>
      <c r="AF4444" s="155" t="s">
        <v>247</v>
      </c>
      <c r="AG4444" s="155" t="s">
        <v>247</v>
      </c>
    </row>
    <row r="4445" spans="25:33">
      <c r="Y4445" s="47">
        <v>6480</v>
      </c>
      <c r="Z4445" s="52" t="s">
        <v>410</v>
      </c>
      <c r="AA4445" s="52" t="s">
        <v>247</v>
      </c>
      <c r="AB4445" s="52" t="s">
        <v>247</v>
      </c>
      <c r="AC4445" s="52" t="s">
        <v>247</v>
      </c>
      <c r="AD4445" s="52" t="s">
        <v>1</v>
      </c>
      <c r="AE4445" s="52" t="s">
        <v>384</v>
      </c>
      <c r="AF4445" s="155" t="s">
        <v>247</v>
      </c>
      <c r="AG4445" s="155" t="s">
        <v>247</v>
      </c>
    </row>
    <row r="4446" spans="25:33">
      <c r="Y4446" s="47">
        <v>6481</v>
      </c>
      <c r="Z4446" s="52" t="s">
        <v>410</v>
      </c>
      <c r="AA4446" s="52" t="s">
        <v>247</v>
      </c>
      <c r="AB4446" s="52" t="s">
        <v>247</v>
      </c>
      <c r="AC4446" s="52" t="s">
        <v>247</v>
      </c>
      <c r="AD4446" s="52" t="s">
        <v>1</v>
      </c>
      <c r="AE4446" s="52" t="s">
        <v>384</v>
      </c>
      <c r="AF4446" s="155" t="s">
        <v>247</v>
      </c>
      <c r="AG4446" s="155" t="s">
        <v>247</v>
      </c>
    </row>
    <row r="4447" spans="25:33">
      <c r="Y4447" s="47">
        <v>6482</v>
      </c>
      <c r="Z4447" s="52" t="s">
        <v>410</v>
      </c>
      <c r="AA4447" s="52" t="s">
        <v>247</v>
      </c>
      <c r="AB4447" s="52" t="s">
        <v>247</v>
      </c>
      <c r="AC4447" s="52" t="s">
        <v>247</v>
      </c>
      <c r="AD4447" s="52" t="s">
        <v>1</v>
      </c>
      <c r="AE4447" s="52" t="s">
        <v>384</v>
      </c>
      <c r="AF4447" s="155" t="s">
        <v>247</v>
      </c>
      <c r="AG4447" s="155" t="s">
        <v>247</v>
      </c>
    </row>
    <row r="4448" spans="25:33">
      <c r="Y4448" s="47">
        <v>6483</v>
      </c>
      <c r="Z4448" s="52" t="s">
        <v>410</v>
      </c>
      <c r="AA4448" s="52" t="s">
        <v>247</v>
      </c>
      <c r="AB4448" s="52" t="s">
        <v>247</v>
      </c>
      <c r="AC4448" s="52" t="s">
        <v>247</v>
      </c>
      <c r="AD4448" s="52" t="s">
        <v>1</v>
      </c>
      <c r="AE4448" s="52" t="s">
        <v>384</v>
      </c>
      <c r="AF4448" s="155" t="s">
        <v>247</v>
      </c>
      <c r="AG4448" s="155" t="s">
        <v>247</v>
      </c>
    </row>
    <row r="4449" spans="25:33">
      <c r="Y4449" s="47">
        <v>6484</v>
      </c>
      <c r="Z4449" s="52" t="s">
        <v>410</v>
      </c>
      <c r="AA4449" s="52" t="s">
        <v>247</v>
      </c>
      <c r="AB4449" s="52" t="s">
        <v>247</v>
      </c>
      <c r="AC4449" s="52" t="s">
        <v>247</v>
      </c>
      <c r="AD4449" s="52" t="s">
        <v>1</v>
      </c>
      <c r="AE4449" s="52" t="s">
        <v>384</v>
      </c>
      <c r="AF4449" s="155" t="s">
        <v>247</v>
      </c>
      <c r="AG4449" s="155" t="s">
        <v>247</v>
      </c>
    </row>
    <row r="4450" spans="25:33">
      <c r="Y4450" s="47">
        <v>6485</v>
      </c>
      <c r="Z4450" s="52" t="s">
        <v>410</v>
      </c>
      <c r="AA4450" s="52" t="s">
        <v>247</v>
      </c>
      <c r="AB4450" s="52" t="s">
        <v>247</v>
      </c>
      <c r="AC4450" s="52" t="s">
        <v>247</v>
      </c>
      <c r="AD4450" s="52" t="s">
        <v>1</v>
      </c>
      <c r="AE4450" s="52" t="s">
        <v>384</v>
      </c>
      <c r="AF4450" s="155" t="s">
        <v>247</v>
      </c>
      <c r="AG4450" s="155" t="s">
        <v>247</v>
      </c>
    </row>
    <row r="4451" spans="25:33">
      <c r="Y4451" s="47">
        <v>6486</v>
      </c>
      <c r="Z4451" s="52" t="s">
        <v>410</v>
      </c>
      <c r="AA4451" s="52" t="s">
        <v>247</v>
      </c>
      <c r="AB4451" s="52" t="s">
        <v>247</v>
      </c>
      <c r="AC4451" s="52" t="s">
        <v>247</v>
      </c>
      <c r="AD4451" s="52" t="s">
        <v>1</v>
      </c>
      <c r="AE4451" s="52" t="s">
        <v>384</v>
      </c>
      <c r="AF4451" s="155" t="s">
        <v>247</v>
      </c>
      <c r="AG4451" s="155" t="s">
        <v>247</v>
      </c>
    </row>
    <row r="4452" spans="25:33">
      <c r="Y4452" s="47">
        <v>6487</v>
      </c>
      <c r="Z4452" s="52" t="s">
        <v>410</v>
      </c>
      <c r="AA4452" s="52" t="s">
        <v>247</v>
      </c>
      <c r="AB4452" s="52" t="s">
        <v>247</v>
      </c>
      <c r="AC4452" s="52" t="s">
        <v>247</v>
      </c>
      <c r="AD4452" s="52" t="s">
        <v>1</v>
      </c>
      <c r="AE4452" s="52" t="s">
        <v>384</v>
      </c>
      <c r="AF4452" s="155" t="s">
        <v>247</v>
      </c>
      <c r="AG4452" s="155" t="s">
        <v>247</v>
      </c>
    </row>
    <row r="4453" spans="25:33">
      <c r="Y4453" s="47">
        <v>6488</v>
      </c>
      <c r="Z4453" s="52" t="s">
        <v>410</v>
      </c>
      <c r="AA4453" s="52" t="s">
        <v>247</v>
      </c>
      <c r="AB4453" s="52" t="s">
        <v>247</v>
      </c>
      <c r="AC4453" s="52" t="s">
        <v>247</v>
      </c>
      <c r="AD4453" s="52" t="s">
        <v>1</v>
      </c>
      <c r="AE4453" s="52" t="s">
        <v>384</v>
      </c>
      <c r="AF4453" s="155" t="s">
        <v>247</v>
      </c>
      <c r="AG4453" s="155" t="s">
        <v>247</v>
      </c>
    </row>
    <row r="4454" spans="25:33">
      <c r="Y4454" s="47">
        <v>6489</v>
      </c>
      <c r="Z4454" s="52" t="s">
        <v>410</v>
      </c>
      <c r="AA4454" s="52" t="s">
        <v>247</v>
      </c>
      <c r="AB4454" s="52" t="s">
        <v>247</v>
      </c>
      <c r="AC4454" s="52" t="s">
        <v>247</v>
      </c>
      <c r="AD4454" s="52" t="s">
        <v>1</v>
      </c>
      <c r="AE4454" s="52" t="s">
        <v>384</v>
      </c>
      <c r="AF4454" s="155" t="s">
        <v>247</v>
      </c>
      <c r="AG4454" s="155" t="s">
        <v>247</v>
      </c>
    </row>
    <row r="4455" spans="25:33">
      <c r="Y4455" s="47">
        <v>6490</v>
      </c>
      <c r="Z4455" s="52" t="s">
        <v>410</v>
      </c>
      <c r="AA4455" s="52" t="s">
        <v>247</v>
      </c>
      <c r="AB4455" s="52" t="s">
        <v>247</v>
      </c>
      <c r="AC4455" s="52" t="s">
        <v>247</v>
      </c>
      <c r="AD4455" s="52" t="s">
        <v>1</v>
      </c>
      <c r="AE4455" s="52" t="s">
        <v>384</v>
      </c>
      <c r="AF4455" s="155" t="s">
        <v>247</v>
      </c>
      <c r="AG4455" s="155" t="s">
        <v>247</v>
      </c>
    </row>
    <row r="4456" spans="25:33">
      <c r="Y4456" s="47">
        <v>6491</v>
      </c>
      <c r="Z4456" s="52" t="s">
        <v>410</v>
      </c>
      <c r="AA4456" s="52" t="s">
        <v>247</v>
      </c>
      <c r="AB4456" s="52" t="s">
        <v>247</v>
      </c>
      <c r="AC4456" s="52" t="s">
        <v>247</v>
      </c>
      <c r="AD4456" s="52" t="s">
        <v>1</v>
      </c>
      <c r="AE4456" s="52" t="s">
        <v>384</v>
      </c>
      <c r="AF4456" s="155" t="s">
        <v>247</v>
      </c>
      <c r="AG4456" s="155" t="s">
        <v>247</v>
      </c>
    </row>
    <row r="4457" spans="25:33">
      <c r="Y4457" s="47">
        <v>6492</v>
      </c>
      <c r="Z4457" s="52" t="s">
        <v>410</v>
      </c>
      <c r="AA4457" s="52" t="s">
        <v>247</v>
      </c>
      <c r="AB4457" s="52" t="s">
        <v>247</v>
      </c>
      <c r="AC4457" s="52" t="s">
        <v>247</v>
      </c>
      <c r="AD4457" s="52" t="s">
        <v>1</v>
      </c>
      <c r="AE4457" s="52" t="s">
        <v>384</v>
      </c>
      <c r="AF4457" s="155" t="s">
        <v>247</v>
      </c>
      <c r="AG4457" s="155" t="s">
        <v>247</v>
      </c>
    </row>
    <row r="4458" spans="25:33">
      <c r="Y4458" s="47">
        <v>6493</v>
      </c>
      <c r="Z4458" s="52" t="s">
        <v>410</v>
      </c>
      <c r="AA4458" s="52" t="s">
        <v>247</v>
      </c>
      <c r="AB4458" s="52" t="s">
        <v>247</v>
      </c>
      <c r="AC4458" s="52" t="s">
        <v>247</v>
      </c>
      <c r="AD4458" s="52" t="s">
        <v>1</v>
      </c>
      <c r="AE4458" s="52" t="s">
        <v>384</v>
      </c>
      <c r="AF4458" s="155" t="s">
        <v>247</v>
      </c>
      <c r="AG4458" s="155" t="s">
        <v>247</v>
      </c>
    </row>
    <row r="4459" spans="25:33">
      <c r="Y4459" s="47">
        <v>6494</v>
      </c>
      <c r="Z4459" s="52" t="s">
        <v>410</v>
      </c>
      <c r="AA4459" s="52" t="s">
        <v>247</v>
      </c>
      <c r="AB4459" s="52" t="s">
        <v>247</v>
      </c>
      <c r="AC4459" s="52" t="s">
        <v>247</v>
      </c>
      <c r="AD4459" s="52" t="s">
        <v>1</v>
      </c>
      <c r="AE4459" s="52" t="s">
        <v>384</v>
      </c>
      <c r="AF4459" s="155" t="s">
        <v>247</v>
      </c>
      <c r="AG4459" s="155" t="s">
        <v>247</v>
      </c>
    </row>
    <row r="4460" spans="25:33">
      <c r="Y4460" s="47">
        <v>6495</v>
      </c>
      <c r="Z4460" s="52" t="s">
        <v>410</v>
      </c>
      <c r="AA4460" s="52" t="s">
        <v>247</v>
      </c>
      <c r="AB4460" s="52" t="s">
        <v>247</v>
      </c>
      <c r="AC4460" s="52" t="s">
        <v>247</v>
      </c>
      <c r="AD4460" s="52" t="s">
        <v>1</v>
      </c>
      <c r="AE4460" s="52" t="s">
        <v>384</v>
      </c>
      <c r="AF4460" s="155" t="s">
        <v>247</v>
      </c>
      <c r="AG4460" s="155" t="s">
        <v>247</v>
      </c>
    </row>
    <row r="4461" spans="25:33">
      <c r="Y4461" s="47">
        <v>6496</v>
      </c>
      <c r="Z4461" s="52" t="s">
        <v>410</v>
      </c>
      <c r="AA4461" s="52" t="s">
        <v>247</v>
      </c>
      <c r="AB4461" s="52" t="s">
        <v>247</v>
      </c>
      <c r="AC4461" s="52" t="s">
        <v>247</v>
      </c>
      <c r="AD4461" s="52" t="s">
        <v>1</v>
      </c>
      <c r="AE4461" s="52" t="s">
        <v>384</v>
      </c>
      <c r="AF4461" s="155" t="s">
        <v>247</v>
      </c>
      <c r="AG4461" s="155" t="s">
        <v>247</v>
      </c>
    </row>
    <row r="4462" spans="25:33">
      <c r="Y4462" s="47">
        <v>6497</v>
      </c>
      <c r="Z4462" s="52" t="s">
        <v>410</v>
      </c>
      <c r="AA4462" s="52" t="s">
        <v>247</v>
      </c>
      <c r="AB4462" s="52" t="s">
        <v>247</v>
      </c>
      <c r="AC4462" s="52" t="s">
        <v>247</v>
      </c>
      <c r="AD4462" s="52" t="s">
        <v>1</v>
      </c>
      <c r="AE4462" s="52" t="s">
        <v>384</v>
      </c>
      <c r="AF4462" s="155" t="s">
        <v>247</v>
      </c>
      <c r="AG4462" s="155" t="s">
        <v>247</v>
      </c>
    </row>
    <row r="4463" spans="25:33">
      <c r="Y4463" s="47">
        <v>6498</v>
      </c>
      <c r="Z4463" s="52" t="s">
        <v>410</v>
      </c>
      <c r="AA4463" s="52" t="s">
        <v>247</v>
      </c>
      <c r="AB4463" s="52" t="s">
        <v>247</v>
      </c>
      <c r="AC4463" s="52" t="s">
        <v>247</v>
      </c>
      <c r="AD4463" s="52" t="s">
        <v>1</v>
      </c>
      <c r="AE4463" s="52" t="s">
        <v>384</v>
      </c>
      <c r="AF4463" s="155" t="s">
        <v>247</v>
      </c>
      <c r="AG4463" s="155" t="s">
        <v>247</v>
      </c>
    </row>
    <row r="4464" spans="25:33">
      <c r="Y4464" s="47">
        <v>6499</v>
      </c>
      <c r="Z4464" s="52" t="s">
        <v>410</v>
      </c>
      <c r="AA4464" s="52" t="s">
        <v>247</v>
      </c>
      <c r="AB4464" s="52" t="s">
        <v>247</v>
      </c>
      <c r="AC4464" s="52" t="s">
        <v>247</v>
      </c>
      <c r="AD4464" s="52" t="s">
        <v>1</v>
      </c>
      <c r="AE4464" s="52" t="s">
        <v>384</v>
      </c>
      <c r="AF4464" s="155" t="s">
        <v>247</v>
      </c>
      <c r="AG4464" s="155" t="s">
        <v>247</v>
      </c>
    </row>
    <row r="4465" spans="25:33">
      <c r="Y4465" s="47">
        <v>6500</v>
      </c>
      <c r="Z4465" s="52" t="s">
        <v>410</v>
      </c>
      <c r="AA4465" s="52" t="s">
        <v>247</v>
      </c>
      <c r="AB4465" s="52" t="s">
        <v>247</v>
      </c>
      <c r="AC4465" s="52" t="s">
        <v>247</v>
      </c>
      <c r="AD4465" s="52" t="s">
        <v>1</v>
      </c>
      <c r="AE4465" s="52" t="s">
        <v>384</v>
      </c>
      <c r="AF4465" s="155" t="s">
        <v>247</v>
      </c>
      <c r="AG4465" s="155" t="s">
        <v>247</v>
      </c>
    </row>
    <row r="4466" spans="25:33">
      <c r="Y4466" s="47">
        <v>6501</v>
      </c>
      <c r="Z4466" s="52" t="s">
        <v>410</v>
      </c>
      <c r="AA4466" s="52" t="s">
        <v>247</v>
      </c>
      <c r="AB4466" s="52" t="s">
        <v>247</v>
      </c>
      <c r="AC4466" s="52" t="s">
        <v>247</v>
      </c>
      <c r="AD4466" s="52" t="s">
        <v>1</v>
      </c>
      <c r="AE4466" s="52" t="s">
        <v>384</v>
      </c>
      <c r="AF4466" s="155" t="s">
        <v>247</v>
      </c>
      <c r="AG4466" s="155" t="s">
        <v>247</v>
      </c>
    </row>
    <row r="4467" spans="25:33">
      <c r="Y4467" s="47">
        <v>6502</v>
      </c>
      <c r="Z4467" s="52" t="s">
        <v>410</v>
      </c>
      <c r="AA4467" s="52" t="s">
        <v>247</v>
      </c>
      <c r="AB4467" s="52" t="s">
        <v>247</v>
      </c>
      <c r="AC4467" s="52" t="s">
        <v>247</v>
      </c>
      <c r="AD4467" s="52" t="s">
        <v>1</v>
      </c>
      <c r="AE4467" s="52" t="s">
        <v>384</v>
      </c>
      <c r="AF4467" s="155" t="s">
        <v>247</v>
      </c>
      <c r="AG4467" s="155" t="s">
        <v>247</v>
      </c>
    </row>
    <row r="4468" spans="25:33">
      <c r="Y4468" s="47">
        <v>6503</v>
      </c>
      <c r="Z4468" s="52" t="s">
        <v>410</v>
      </c>
      <c r="AA4468" s="52" t="s">
        <v>247</v>
      </c>
      <c r="AB4468" s="52" t="s">
        <v>247</v>
      </c>
      <c r="AC4468" s="52" t="s">
        <v>247</v>
      </c>
      <c r="AD4468" s="52" t="s">
        <v>1</v>
      </c>
      <c r="AE4468" s="52" t="s">
        <v>384</v>
      </c>
      <c r="AF4468" s="155" t="s">
        <v>247</v>
      </c>
      <c r="AG4468" s="155" t="s">
        <v>247</v>
      </c>
    </row>
    <row r="4469" spans="25:33">
      <c r="Y4469" s="47">
        <v>6504</v>
      </c>
      <c r="Z4469" s="52" t="s">
        <v>410</v>
      </c>
      <c r="AA4469" s="52" t="s">
        <v>247</v>
      </c>
      <c r="AB4469" s="52" t="s">
        <v>247</v>
      </c>
      <c r="AC4469" s="52" t="s">
        <v>247</v>
      </c>
      <c r="AD4469" s="52" t="s">
        <v>1</v>
      </c>
      <c r="AE4469" s="52" t="s">
        <v>384</v>
      </c>
      <c r="AF4469" s="155" t="s">
        <v>247</v>
      </c>
      <c r="AG4469" s="155" t="s">
        <v>247</v>
      </c>
    </row>
    <row r="4470" spans="25:33">
      <c r="Y4470" s="47">
        <v>6505</v>
      </c>
      <c r="Z4470" s="52" t="s">
        <v>410</v>
      </c>
      <c r="AA4470" s="52" t="s">
        <v>247</v>
      </c>
      <c r="AB4470" s="52" t="s">
        <v>247</v>
      </c>
      <c r="AC4470" s="52" t="s">
        <v>247</v>
      </c>
      <c r="AD4470" s="52" t="s">
        <v>1</v>
      </c>
      <c r="AE4470" s="52" t="s">
        <v>384</v>
      </c>
      <c r="AF4470" s="155" t="s">
        <v>247</v>
      </c>
      <c r="AG4470" s="155" t="s">
        <v>247</v>
      </c>
    </row>
    <row r="4471" spans="25:33">
      <c r="Y4471" s="47">
        <v>6506</v>
      </c>
      <c r="Z4471" s="52" t="s">
        <v>410</v>
      </c>
      <c r="AA4471" s="52" t="s">
        <v>247</v>
      </c>
      <c r="AB4471" s="52" t="s">
        <v>247</v>
      </c>
      <c r="AC4471" s="52" t="s">
        <v>247</v>
      </c>
      <c r="AD4471" s="52" t="s">
        <v>1</v>
      </c>
      <c r="AE4471" s="52" t="s">
        <v>384</v>
      </c>
      <c r="AF4471" s="155" t="s">
        <v>247</v>
      </c>
      <c r="AG4471" s="155" t="s">
        <v>247</v>
      </c>
    </row>
    <row r="4472" spans="25:33">
      <c r="Y4472" s="47">
        <v>6507</v>
      </c>
      <c r="Z4472" s="52" t="s">
        <v>410</v>
      </c>
      <c r="AA4472" s="52" t="s">
        <v>247</v>
      </c>
      <c r="AB4472" s="52" t="s">
        <v>247</v>
      </c>
      <c r="AC4472" s="52" t="s">
        <v>247</v>
      </c>
      <c r="AD4472" s="52" t="s">
        <v>1</v>
      </c>
      <c r="AE4472" s="52" t="s">
        <v>384</v>
      </c>
      <c r="AF4472" s="155" t="s">
        <v>247</v>
      </c>
      <c r="AG4472" s="155" t="s">
        <v>247</v>
      </c>
    </row>
    <row r="4473" spans="25:33">
      <c r="Y4473" s="47">
        <v>6508</v>
      </c>
      <c r="Z4473" s="52" t="s">
        <v>410</v>
      </c>
      <c r="AA4473" s="52" t="s">
        <v>247</v>
      </c>
      <c r="AB4473" s="52" t="s">
        <v>247</v>
      </c>
      <c r="AC4473" s="52" t="s">
        <v>247</v>
      </c>
      <c r="AD4473" s="52" t="s">
        <v>1</v>
      </c>
      <c r="AE4473" s="52" t="s">
        <v>384</v>
      </c>
      <c r="AF4473" s="155" t="s">
        <v>247</v>
      </c>
      <c r="AG4473" s="155" t="s">
        <v>247</v>
      </c>
    </row>
    <row r="4474" spans="25:33">
      <c r="Y4474" s="47">
        <v>6509</v>
      </c>
      <c r="Z4474" s="52" t="s">
        <v>410</v>
      </c>
      <c r="AA4474" s="52" t="s">
        <v>247</v>
      </c>
      <c r="AB4474" s="52" t="s">
        <v>247</v>
      </c>
      <c r="AC4474" s="52" t="s">
        <v>247</v>
      </c>
      <c r="AD4474" s="52" t="s">
        <v>1</v>
      </c>
      <c r="AE4474" s="52" t="s">
        <v>384</v>
      </c>
      <c r="AF4474" s="155" t="s">
        <v>247</v>
      </c>
      <c r="AG4474" s="155" t="s">
        <v>247</v>
      </c>
    </row>
    <row r="4475" spans="25:33">
      <c r="Y4475" s="47">
        <v>6510</v>
      </c>
      <c r="Z4475" s="52" t="s">
        <v>410</v>
      </c>
      <c r="AA4475" s="52" t="s">
        <v>247</v>
      </c>
      <c r="AB4475" s="52" t="s">
        <v>247</v>
      </c>
      <c r="AC4475" s="52" t="s">
        <v>247</v>
      </c>
      <c r="AD4475" s="52" t="s">
        <v>1</v>
      </c>
      <c r="AE4475" s="52" t="s">
        <v>384</v>
      </c>
      <c r="AF4475" s="155" t="s">
        <v>247</v>
      </c>
      <c r="AG4475" s="155" t="s">
        <v>247</v>
      </c>
    </row>
    <row r="4476" spans="25:33">
      <c r="Y4476" s="47">
        <v>6511</v>
      </c>
      <c r="Z4476" s="52" t="s">
        <v>410</v>
      </c>
      <c r="AA4476" s="52" t="s">
        <v>247</v>
      </c>
      <c r="AB4476" s="52" t="s">
        <v>247</v>
      </c>
      <c r="AC4476" s="52" t="s">
        <v>247</v>
      </c>
      <c r="AD4476" s="52" t="s">
        <v>1</v>
      </c>
      <c r="AE4476" s="52" t="s">
        <v>384</v>
      </c>
      <c r="AF4476" s="155" t="s">
        <v>247</v>
      </c>
      <c r="AG4476" s="155" t="s">
        <v>247</v>
      </c>
    </row>
    <row r="4477" spans="25:33">
      <c r="Y4477" s="47">
        <v>6512</v>
      </c>
      <c r="Z4477" s="52" t="s">
        <v>410</v>
      </c>
      <c r="AA4477" s="52" t="s">
        <v>247</v>
      </c>
      <c r="AB4477" s="52" t="s">
        <v>247</v>
      </c>
      <c r="AC4477" s="52" t="s">
        <v>247</v>
      </c>
      <c r="AD4477" s="52" t="s">
        <v>1</v>
      </c>
      <c r="AE4477" s="52" t="s">
        <v>384</v>
      </c>
      <c r="AF4477" s="155" t="s">
        <v>247</v>
      </c>
      <c r="AG4477" s="155" t="s">
        <v>247</v>
      </c>
    </row>
    <row r="4478" spans="25:33">
      <c r="Y4478" s="47">
        <v>6513</v>
      </c>
      <c r="Z4478" s="52" t="s">
        <v>410</v>
      </c>
      <c r="AA4478" s="52" t="s">
        <v>247</v>
      </c>
      <c r="AB4478" s="52" t="s">
        <v>247</v>
      </c>
      <c r="AC4478" s="52" t="s">
        <v>247</v>
      </c>
      <c r="AD4478" s="52" t="s">
        <v>1</v>
      </c>
      <c r="AE4478" s="52" t="s">
        <v>384</v>
      </c>
      <c r="AF4478" s="155" t="s">
        <v>247</v>
      </c>
      <c r="AG4478" s="155" t="s">
        <v>247</v>
      </c>
    </row>
    <row r="4479" spans="25:33">
      <c r="Y4479" s="47">
        <v>6514</v>
      </c>
      <c r="Z4479" s="52" t="s">
        <v>410</v>
      </c>
      <c r="AA4479" s="52" t="s">
        <v>247</v>
      </c>
      <c r="AB4479" s="52" t="s">
        <v>247</v>
      </c>
      <c r="AC4479" s="52" t="s">
        <v>247</v>
      </c>
      <c r="AD4479" s="52" t="s">
        <v>1</v>
      </c>
      <c r="AE4479" s="52" t="s">
        <v>384</v>
      </c>
      <c r="AF4479" s="155" t="s">
        <v>247</v>
      </c>
      <c r="AG4479" s="155" t="s">
        <v>247</v>
      </c>
    </row>
    <row r="4480" spans="25:33">
      <c r="Y4480" s="47">
        <v>6515</v>
      </c>
      <c r="Z4480" s="52" t="s">
        <v>410</v>
      </c>
      <c r="AA4480" s="52" t="s">
        <v>247</v>
      </c>
      <c r="AB4480" s="52" t="s">
        <v>247</v>
      </c>
      <c r="AC4480" s="52" t="s">
        <v>247</v>
      </c>
      <c r="AD4480" s="52" t="s">
        <v>1</v>
      </c>
      <c r="AE4480" s="52" t="s">
        <v>384</v>
      </c>
      <c r="AF4480" s="155" t="s">
        <v>247</v>
      </c>
      <c r="AG4480" s="155" t="s">
        <v>247</v>
      </c>
    </row>
    <row r="4481" spans="25:33">
      <c r="Y4481" s="47">
        <v>6516</v>
      </c>
      <c r="Z4481" s="52" t="s">
        <v>410</v>
      </c>
      <c r="AA4481" s="52" t="s">
        <v>247</v>
      </c>
      <c r="AB4481" s="52" t="s">
        <v>247</v>
      </c>
      <c r="AC4481" s="52" t="s">
        <v>247</v>
      </c>
      <c r="AD4481" s="52" t="s">
        <v>1</v>
      </c>
      <c r="AE4481" s="52" t="s">
        <v>384</v>
      </c>
      <c r="AF4481" s="155" t="s">
        <v>247</v>
      </c>
      <c r="AG4481" s="155" t="s">
        <v>247</v>
      </c>
    </row>
    <row r="4482" spans="25:33">
      <c r="Y4482" s="47">
        <v>6517</v>
      </c>
      <c r="Z4482" s="52" t="s">
        <v>410</v>
      </c>
      <c r="AA4482" s="52" t="s">
        <v>247</v>
      </c>
      <c r="AB4482" s="52" t="s">
        <v>247</v>
      </c>
      <c r="AC4482" s="52" t="s">
        <v>247</v>
      </c>
      <c r="AD4482" s="52" t="s">
        <v>1</v>
      </c>
      <c r="AE4482" s="52" t="s">
        <v>384</v>
      </c>
      <c r="AF4482" s="155" t="s">
        <v>247</v>
      </c>
      <c r="AG4482" s="155" t="s">
        <v>247</v>
      </c>
    </row>
    <row r="4483" spans="25:33">
      <c r="Y4483" s="47">
        <v>6518</v>
      </c>
      <c r="Z4483" s="52" t="s">
        <v>410</v>
      </c>
      <c r="AA4483" s="52" t="s">
        <v>247</v>
      </c>
      <c r="AB4483" s="52" t="s">
        <v>247</v>
      </c>
      <c r="AC4483" s="52" t="s">
        <v>247</v>
      </c>
      <c r="AD4483" s="52" t="s">
        <v>1</v>
      </c>
      <c r="AE4483" s="52" t="s">
        <v>384</v>
      </c>
      <c r="AF4483" s="155" t="s">
        <v>247</v>
      </c>
      <c r="AG4483" s="155" t="s">
        <v>247</v>
      </c>
    </row>
    <row r="4484" spans="25:33">
      <c r="Y4484" s="47">
        <v>6519</v>
      </c>
      <c r="Z4484" s="52" t="s">
        <v>410</v>
      </c>
      <c r="AA4484" s="52" t="s">
        <v>247</v>
      </c>
      <c r="AB4484" s="52" t="s">
        <v>247</v>
      </c>
      <c r="AC4484" s="52" t="s">
        <v>247</v>
      </c>
      <c r="AD4484" s="52" t="s">
        <v>1</v>
      </c>
      <c r="AE4484" s="52" t="s">
        <v>384</v>
      </c>
      <c r="AF4484" s="155" t="s">
        <v>247</v>
      </c>
      <c r="AG4484" s="155" t="s">
        <v>247</v>
      </c>
    </row>
    <row r="4485" spans="25:33">
      <c r="Y4485" s="47">
        <v>6520</v>
      </c>
      <c r="Z4485" s="52" t="s">
        <v>410</v>
      </c>
      <c r="AA4485" s="52" t="s">
        <v>247</v>
      </c>
      <c r="AB4485" s="52" t="s">
        <v>247</v>
      </c>
      <c r="AC4485" s="52" t="s">
        <v>247</v>
      </c>
      <c r="AD4485" s="52" t="s">
        <v>1</v>
      </c>
      <c r="AE4485" s="52" t="s">
        <v>384</v>
      </c>
      <c r="AF4485" s="155" t="s">
        <v>247</v>
      </c>
      <c r="AG4485" s="155" t="s">
        <v>247</v>
      </c>
    </row>
    <row r="4486" spans="25:33">
      <c r="Y4486" s="47">
        <v>6521</v>
      </c>
      <c r="Z4486" s="52" t="s">
        <v>410</v>
      </c>
      <c r="AA4486" s="52" t="s">
        <v>247</v>
      </c>
      <c r="AB4486" s="52" t="s">
        <v>247</v>
      </c>
      <c r="AC4486" s="52" t="s">
        <v>247</v>
      </c>
      <c r="AD4486" s="52" t="s">
        <v>1</v>
      </c>
      <c r="AE4486" s="52" t="s">
        <v>384</v>
      </c>
      <c r="AF4486" s="155" t="s">
        <v>247</v>
      </c>
      <c r="AG4486" s="155" t="s">
        <v>247</v>
      </c>
    </row>
    <row r="4487" spans="25:33">
      <c r="Y4487" s="47">
        <v>6522</v>
      </c>
      <c r="Z4487" s="52" t="s">
        <v>410</v>
      </c>
      <c r="AA4487" s="52" t="s">
        <v>247</v>
      </c>
      <c r="AB4487" s="52" t="s">
        <v>247</v>
      </c>
      <c r="AC4487" s="52" t="s">
        <v>247</v>
      </c>
      <c r="AD4487" s="52" t="s">
        <v>1</v>
      </c>
      <c r="AE4487" s="52" t="s">
        <v>384</v>
      </c>
      <c r="AF4487" s="155" t="s">
        <v>247</v>
      </c>
      <c r="AG4487" s="155" t="s">
        <v>247</v>
      </c>
    </row>
    <row r="4488" spans="25:33">
      <c r="Y4488" s="47">
        <v>6523</v>
      </c>
      <c r="Z4488" s="52" t="s">
        <v>410</v>
      </c>
      <c r="AA4488" s="52" t="s">
        <v>247</v>
      </c>
      <c r="AB4488" s="52" t="s">
        <v>247</v>
      </c>
      <c r="AC4488" s="52" t="s">
        <v>247</v>
      </c>
      <c r="AD4488" s="52" t="s">
        <v>1</v>
      </c>
      <c r="AE4488" s="52" t="s">
        <v>384</v>
      </c>
      <c r="AF4488" s="155" t="s">
        <v>247</v>
      </c>
      <c r="AG4488" s="155" t="s">
        <v>247</v>
      </c>
    </row>
    <row r="4489" spans="25:33">
      <c r="Y4489" s="47">
        <v>6524</v>
      </c>
      <c r="Z4489" s="52" t="s">
        <v>410</v>
      </c>
      <c r="AA4489" s="52" t="s">
        <v>247</v>
      </c>
      <c r="AB4489" s="52" t="s">
        <v>247</v>
      </c>
      <c r="AC4489" s="52" t="s">
        <v>247</v>
      </c>
      <c r="AD4489" s="52" t="s">
        <v>1</v>
      </c>
      <c r="AE4489" s="52" t="s">
        <v>384</v>
      </c>
      <c r="AF4489" s="155" t="s">
        <v>247</v>
      </c>
      <c r="AG4489" s="155" t="s">
        <v>247</v>
      </c>
    </row>
    <row r="4490" spans="25:33">
      <c r="Y4490" s="47">
        <v>6525</v>
      </c>
      <c r="Z4490" s="52" t="s">
        <v>410</v>
      </c>
      <c r="AA4490" s="52" t="s">
        <v>247</v>
      </c>
      <c r="AB4490" s="52" t="s">
        <v>247</v>
      </c>
      <c r="AC4490" s="52" t="s">
        <v>247</v>
      </c>
      <c r="AD4490" s="52" t="s">
        <v>1</v>
      </c>
      <c r="AE4490" s="52" t="s">
        <v>384</v>
      </c>
      <c r="AF4490" s="155" t="s">
        <v>247</v>
      </c>
      <c r="AG4490" s="155" t="s">
        <v>247</v>
      </c>
    </row>
    <row r="4491" spans="25:33">
      <c r="Y4491" s="47">
        <v>6526</v>
      </c>
      <c r="Z4491" s="52" t="s">
        <v>410</v>
      </c>
      <c r="AA4491" s="52" t="s">
        <v>247</v>
      </c>
      <c r="AB4491" s="52" t="s">
        <v>247</v>
      </c>
      <c r="AC4491" s="52" t="s">
        <v>247</v>
      </c>
      <c r="AD4491" s="52" t="s">
        <v>1</v>
      </c>
      <c r="AE4491" s="52" t="s">
        <v>384</v>
      </c>
      <c r="AF4491" s="155" t="s">
        <v>247</v>
      </c>
      <c r="AG4491" s="155" t="s">
        <v>247</v>
      </c>
    </row>
    <row r="4492" spans="25:33">
      <c r="Y4492" s="47">
        <v>6527</v>
      </c>
      <c r="Z4492" s="52" t="s">
        <v>410</v>
      </c>
      <c r="AA4492" s="52" t="s">
        <v>247</v>
      </c>
      <c r="AB4492" s="52" t="s">
        <v>247</v>
      </c>
      <c r="AC4492" s="52" t="s">
        <v>247</v>
      </c>
      <c r="AD4492" s="52" t="s">
        <v>1</v>
      </c>
      <c r="AE4492" s="52" t="s">
        <v>384</v>
      </c>
      <c r="AF4492" s="155" t="s">
        <v>247</v>
      </c>
      <c r="AG4492" s="155" t="s">
        <v>247</v>
      </c>
    </row>
    <row r="4493" spans="25:33">
      <c r="Y4493" s="47">
        <v>6528</v>
      </c>
      <c r="Z4493" s="52" t="s">
        <v>410</v>
      </c>
      <c r="AA4493" s="52" t="s">
        <v>247</v>
      </c>
      <c r="AB4493" s="52" t="s">
        <v>247</v>
      </c>
      <c r="AC4493" s="52" t="s">
        <v>247</v>
      </c>
      <c r="AD4493" s="52" t="s">
        <v>1</v>
      </c>
      <c r="AE4493" s="52" t="s">
        <v>384</v>
      </c>
      <c r="AF4493" s="155" t="s">
        <v>247</v>
      </c>
      <c r="AG4493" s="155" t="s">
        <v>247</v>
      </c>
    </row>
    <row r="4494" spans="25:33">
      <c r="Y4494" s="47">
        <v>6529</v>
      </c>
      <c r="Z4494" s="52" t="s">
        <v>410</v>
      </c>
      <c r="AA4494" s="52" t="s">
        <v>247</v>
      </c>
      <c r="AB4494" s="52" t="s">
        <v>247</v>
      </c>
      <c r="AC4494" s="52" t="s">
        <v>247</v>
      </c>
      <c r="AD4494" s="52" t="s">
        <v>1</v>
      </c>
      <c r="AE4494" s="52" t="s">
        <v>384</v>
      </c>
      <c r="AF4494" s="155" t="s">
        <v>247</v>
      </c>
      <c r="AG4494" s="155" t="s">
        <v>247</v>
      </c>
    </row>
    <row r="4495" spans="25:33">
      <c r="Y4495" s="47">
        <v>6530</v>
      </c>
      <c r="Z4495" s="52" t="s">
        <v>410</v>
      </c>
      <c r="AA4495" s="52" t="s">
        <v>247</v>
      </c>
      <c r="AB4495" s="52" t="s">
        <v>247</v>
      </c>
      <c r="AC4495" s="52" t="s">
        <v>247</v>
      </c>
      <c r="AD4495" s="52" t="s">
        <v>1</v>
      </c>
      <c r="AE4495" s="52" t="s">
        <v>384</v>
      </c>
      <c r="AF4495" s="155" t="s">
        <v>247</v>
      </c>
      <c r="AG4495" s="155" t="s">
        <v>247</v>
      </c>
    </row>
    <row r="4496" spans="25:33">
      <c r="Y4496" s="47">
        <v>6531</v>
      </c>
      <c r="Z4496" s="52" t="s">
        <v>410</v>
      </c>
      <c r="AA4496" s="52" t="s">
        <v>247</v>
      </c>
      <c r="AB4496" s="52" t="s">
        <v>247</v>
      </c>
      <c r="AC4496" s="52" t="s">
        <v>247</v>
      </c>
      <c r="AD4496" s="52" t="s">
        <v>1</v>
      </c>
      <c r="AE4496" s="52" t="s">
        <v>384</v>
      </c>
      <c r="AF4496" s="155" t="s">
        <v>247</v>
      </c>
      <c r="AG4496" s="155" t="s">
        <v>247</v>
      </c>
    </row>
    <row r="4497" spans="25:33">
      <c r="Y4497" s="47">
        <v>6532</v>
      </c>
      <c r="Z4497" s="52" t="s">
        <v>410</v>
      </c>
      <c r="AA4497" s="52" t="s">
        <v>247</v>
      </c>
      <c r="AB4497" s="52" t="s">
        <v>247</v>
      </c>
      <c r="AC4497" s="52" t="s">
        <v>247</v>
      </c>
      <c r="AD4497" s="52" t="s">
        <v>1</v>
      </c>
      <c r="AE4497" s="52" t="s">
        <v>384</v>
      </c>
      <c r="AF4497" s="155" t="s">
        <v>247</v>
      </c>
      <c r="AG4497" s="155" t="s">
        <v>247</v>
      </c>
    </row>
    <row r="4498" spans="25:33">
      <c r="Y4498" s="47">
        <v>6533</v>
      </c>
      <c r="Z4498" s="52" t="s">
        <v>410</v>
      </c>
      <c r="AA4498" s="52" t="s">
        <v>247</v>
      </c>
      <c r="AB4498" s="52" t="s">
        <v>247</v>
      </c>
      <c r="AC4498" s="52" t="s">
        <v>247</v>
      </c>
      <c r="AD4498" s="52" t="s">
        <v>1</v>
      </c>
      <c r="AE4498" s="52" t="s">
        <v>384</v>
      </c>
      <c r="AF4498" s="155" t="s">
        <v>247</v>
      </c>
      <c r="AG4498" s="155" t="s">
        <v>247</v>
      </c>
    </row>
    <row r="4499" spans="25:33">
      <c r="Y4499" s="47">
        <v>6534</v>
      </c>
      <c r="Z4499" s="52" t="s">
        <v>410</v>
      </c>
      <c r="AA4499" s="52" t="s">
        <v>247</v>
      </c>
      <c r="AB4499" s="52" t="s">
        <v>247</v>
      </c>
      <c r="AC4499" s="52" t="s">
        <v>247</v>
      </c>
      <c r="AD4499" s="52" t="s">
        <v>1</v>
      </c>
      <c r="AE4499" s="52" t="s">
        <v>384</v>
      </c>
      <c r="AF4499" s="155" t="s">
        <v>247</v>
      </c>
      <c r="AG4499" s="155" t="s">
        <v>247</v>
      </c>
    </row>
    <row r="4500" spans="25:33">
      <c r="Y4500" s="47">
        <v>6535</v>
      </c>
      <c r="Z4500" s="52" t="s">
        <v>410</v>
      </c>
      <c r="AA4500" s="52" t="s">
        <v>247</v>
      </c>
      <c r="AB4500" s="52" t="s">
        <v>247</v>
      </c>
      <c r="AC4500" s="52" t="s">
        <v>247</v>
      </c>
      <c r="AD4500" s="52" t="s">
        <v>1</v>
      </c>
      <c r="AE4500" s="52" t="s">
        <v>384</v>
      </c>
      <c r="AF4500" s="155" t="s">
        <v>247</v>
      </c>
      <c r="AG4500" s="155" t="s">
        <v>247</v>
      </c>
    </row>
    <row r="4501" spans="25:33">
      <c r="Y4501" s="47">
        <v>6536</v>
      </c>
      <c r="Z4501" s="52" t="s">
        <v>410</v>
      </c>
      <c r="AA4501" s="52" t="s">
        <v>247</v>
      </c>
      <c r="AB4501" s="52" t="s">
        <v>247</v>
      </c>
      <c r="AC4501" s="52" t="s">
        <v>247</v>
      </c>
      <c r="AD4501" s="52" t="s">
        <v>1</v>
      </c>
      <c r="AE4501" s="52" t="s">
        <v>384</v>
      </c>
      <c r="AF4501" s="155" t="s">
        <v>247</v>
      </c>
      <c r="AG4501" s="155" t="s">
        <v>247</v>
      </c>
    </row>
    <row r="4502" spans="25:33">
      <c r="Y4502" s="47">
        <v>6537</v>
      </c>
      <c r="Z4502" s="52" t="s">
        <v>410</v>
      </c>
      <c r="AA4502" s="52" t="s">
        <v>247</v>
      </c>
      <c r="AB4502" s="52" t="s">
        <v>247</v>
      </c>
      <c r="AC4502" s="52" t="s">
        <v>247</v>
      </c>
      <c r="AD4502" s="52" t="s">
        <v>1</v>
      </c>
      <c r="AE4502" s="52" t="s">
        <v>384</v>
      </c>
      <c r="AF4502" s="155" t="s">
        <v>247</v>
      </c>
      <c r="AG4502" s="155" t="s">
        <v>247</v>
      </c>
    </row>
    <row r="4503" spans="25:33">
      <c r="Y4503" s="47">
        <v>6538</v>
      </c>
      <c r="Z4503" s="52" t="s">
        <v>410</v>
      </c>
      <c r="AA4503" s="52" t="s">
        <v>247</v>
      </c>
      <c r="AB4503" s="52" t="s">
        <v>247</v>
      </c>
      <c r="AC4503" s="52" t="s">
        <v>247</v>
      </c>
      <c r="AD4503" s="52" t="s">
        <v>1</v>
      </c>
      <c r="AE4503" s="52" t="s">
        <v>384</v>
      </c>
      <c r="AF4503" s="155" t="s">
        <v>247</v>
      </c>
      <c r="AG4503" s="155" t="s">
        <v>247</v>
      </c>
    </row>
    <row r="4504" spans="25:33">
      <c r="Y4504" s="47">
        <v>6539</v>
      </c>
      <c r="Z4504" s="52" t="s">
        <v>410</v>
      </c>
      <c r="AA4504" s="52" t="s">
        <v>247</v>
      </c>
      <c r="AB4504" s="52" t="s">
        <v>247</v>
      </c>
      <c r="AC4504" s="52" t="s">
        <v>247</v>
      </c>
      <c r="AD4504" s="52" t="s">
        <v>1</v>
      </c>
      <c r="AE4504" s="52" t="s">
        <v>384</v>
      </c>
      <c r="AF4504" s="155" t="s">
        <v>247</v>
      </c>
      <c r="AG4504" s="155" t="s">
        <v>247</v>
      </c>
    </row>
    <row r="4505" spans="25:33">
      <c r="Y4505" s="47">
        <v>6540</v>
      </c>
      <c r="Z4505" s="52" t="s">
        <v>410</v>
      </c>
      <c r="AA4505" s="52" t="s">
        <v>247</v>
      </c>
      <c r="AB4505" s="52" t="s">
        <v>247</v>
      </c>
      <c r="AC4505" s="52" t="s">
        <v>247</v>
      </c>
      <c r="AD4505" s="52" t="s">
        <v>1</v>
      </c>
      <c r="AE4505" s="52" t="s">
        <v>384</v>
      </c>
      <c r="AF4505" s="155" t="s">
        <v>247</v>
      </c>
      <c r="AG4505" s="155" t="s">
        <v>247</v>
      </c>
    </row>
    <row r="4506" spans="25:33">
      <c r="Y4506" s="47">
        <v>6541</v>
      </c>
      <c r="Z4506" s="52" t="s">
        <v>410</v>
      </c>
      <c r="AA4506" s="52" t="s">
        <v>247</v>
      </c>
      <c r="AB4506" s="52" t="s">
        <v>247</v>
      </c>
      <c r="AC4506" s="52" t="s">
        <v>247</v>
      </c>
      <c r="AD4506" s="52" t="s">
        <v>1</v>
      </c>
      <c r="AE4506" s="52" t="s">
        <v>384</v>
      </c>
      <c r="AF4506" s="155" t="s">
        <v>247</v>
      </c>
      <c r="AG4506" s="155" t="s">
        <v>247</v>
      </c>
    </row>
    <row r="4507" spans="25:33">
      <c r="Y4507" s="47">
        <v>6542</v>
      </c>
      <c r="Z4507" s="52" t="s">
        <v>410</v>
      </c>
      <c r="AA4507" s="52" t="s">
        <v>247</v>
      </c>
      <c r="AB4507" s="52" t="s">
        <v>247</v>
      </c>
      <c r="AC4507" s="52" t="s">
        <v>247</v>
      </c>
      <c r="AD4507" s="52" t="s">
        <v>1</v>
      </c>
      <c r="AE4507" s="52" t="s">
        <v>384</v>
      </c>
      <c r="AF4507" s="155" t="s">
        <v>247</v>
      </c>
      <c r="AG4507" s="155" t="s">
        <v>247</v>
      </c>
    </row>
    <row r="4508" spans="25:33">
      <c r="Y4508" s="47">
        <v>6543</v>
      </c>
      <c r="Z4508" s="52" t="s">
        <v>410</v>
      </c>
      <c r="AA4508" s="52" t="s">
        <v>247</v>
      </c>
      <c r="AB4508" s="52" t="s">
        <v>247</v>
      </c>
      <c r="AC4508" s="52" t="s">
        <v>247</v>
      </c>
      <c r="AD4508" s="52" t="s">
        <v>1</v>
      </c>
      <c r="AE4508" s="52" t="s">
        <v>384</v>
      </c>
      <c r="AF4508" s="155" t="s">
        <v>247</v>
      </c>
      <c r="AG4508" s="155" t="s">
        <v>247</v>
      </c>
    </row>
    <row r="4509" spans="25:33">
      <c r="Y4509" s="47">
        <v>6544</v>
      </c>
      <c r="Z4509" s="52" t="s">
        <v>410</v>
      </c>
      <c r="AA4509" s="52" t="s">
        <v>247</v>
      </c>
      <c r="AB4509" s="52" t="s">
        <v>247</v>
      </c>
      <c r="AC4509" s="52" t="s">
        <v>247</v>
      </c>
      <c r="AD4509" s="52" t="s">
        <v>1</v>
      </c>
      <c r="AE4509" s="52" t="s">
        <v>384</v>
      </c>
      <c r="AF4509" s="155" t="s">
        <v>247</v>
      </c>
      <c r="AG4509" s="155" t="s">
        <v>247</v>
      </c>
    </row>
    <row r="4510" spans="25:33">
      <c r="Y4510" s="47">
        <v>6545</v>
      </c>
      <c r="Z4510" s="52" t="s">
        <v>410</v>
      </c>
      <c r="AA4510" s="52" t="s">
        <v>247</v>
      </c>
      <c r="AB4510" s="52" t="s">
        <v>247</v>
      </c>
      <c r="AC4510" s="52" t="s">
        <v>247</v>
      </c>
      <c r="AD4510" s="52" t="s">
        <v>1</v>
      </c>
      <c r="AE4510" s="52" t="s">
        <v>384</v>
      </c>
      <c r="AF4510" s="155" t="s">
        <v>247</v>
      </c>
      <c r="AG4510" s="155" t="s">
        <v>247</v>
      </c>
    </row>
    <row r="4511" spans="25:33">
      <c r="Y4511" s="47">
        <v>6546</v>
      </c>
      <c r="Z4511" s="52" t="s">
        <v>410</v>
      </c>
      <c r="AA4511" s="52" t="s">
        <v>247</v>
      </c>
      <c r="AB4511" s="52" t="s">
        <v>247</v>
      </c>
      <c r="AC4511" s="52" t="s">
        <v>247</v>
      </c>
      <c r="AD4511" s="52" t="s">
        <v>1</v>
      </c>
      <c r="AE4511" s="52" t="s">
        <v>384</v>
      </c>
      <c r="AF4511" s="155" t="s">
        <v>247</v>
      </c>
      <c r="AG4511" s="155" t="s">
        <v>247</v>
      </c>
    </row>
    <row r="4512" spans="25:33">
      <c r="Y4512" s="47">
        <v>6547</v>
      </c>
      <c r="Z4512" s="52" t="s">
        <v>410</v>
      </c>
      <c r="AA4512" s="52" t="s">
        <v>247</v>
      </c>
      <c r="AB4512" s="52" t="s">
        <v>247</v>
      </c>
      <c r="AC4512" s="52" t="s">
        <v>247</v>
      </c>
      <c r="AD4512" s="52" t="s">
        <v>1</v>
      </c>
      <c r="AE4512" s="52" t="s">
        <v>384</v>
      </c>
      <c r="AF4512" s="155" t="s">
        <v>247</v>
      </c>
      <c r="AG4512" s="155" t="s">
        <v>247</v>
      </c>
    </row>
    <row r="4513" spans="25:33">
      <c r="Y4513" s="47">
        <v>6548</v>
      </c>
      <c r="Z4513" s="52" t="s">
        <v>410</v>
      </c>
      <c r="AA4513" s="52" t="s">
        <v>247</v>
      </c>
      <c r="AB4513" s="52" t="s">
        <v>247</v>
      </c>
      <c r="AC4513" s="52" t="s">
        <v>247</v>
      </c>
      <c r="AD4513" s="52" t="s">
        <v>1</v>
      </c>
      <c r="AE4513" s="52" t="s">
        <v>384</v>
      </c>
      <c r="AF4513" s="155" t="s">
        <v>247</v>
      </c>
      <c r="AG4513" s="155" t="s">
        <v>247</v>
      </c>
    </row>
    <row r="4514" spans="25:33">
      <c r="Y4514" s="47">
        <v>6549</v>
      </c>
      <c r="Z4514" s="52" t="s">
        <v>410</v>
      </c>
      <c r="AA4514" s="52" t="s">
        <v>247</v>
      </c>
      <c r="AB4514" s="52" t="s">
        <v>247</v>
      </c>
      <c r="AC4514" s="52" t="s">
        <v>247</v>
      </c>
      <c r="AD4514" s="52" t="s">
        <v>1</v>
      </c>
      <c r="AE4514" s="52" t="s">
        <v>384</v>
      </c>
      <c r="AF4514" s="155" t="s">
        <v>247</v>
      </c>
      <c r="AG4514" s="155" t="s">
        <v>247</v>
      </c>
    </row>
    <row r="4515" spans="25:33">
      <c r="Y4515" s="47">
        <v>6550</v>
      </c>
      <c r="Z4515" s="52" t="s">
        <v>410</v>
      </c>
      <c r="AA4515" s="52" t="s">
        <v>247</v>
      </c>
      <c r="AB4515" s="52" t="s">
        <v>247</v>
      </c>
      <c r="AC4515" s="52" t="s">
        <v>247</v>
      </c>
      <c r="AD4515" s="52" t="s">
        <v>1</v>
      </c>
      <c r="AE4515" s="52" t="s">
        <v>384</v>
      </c>
      <c r="AF4515" s="155" t="s">
        <v>247</v>
      </c>
      <c r="AG4515" s="155" t="s">
        <v>247</v>
      </c>
    </row>
    <row r="4516" spans="25:33">
      <c r="Y4516" s="47">
        <v>6551</v>
      </c>
      <c r="Z4516" s="52" t="s">
        <v>410</v>
      </c>
      <c r="AA4516" s="52" t="s">
        <v>247</v>
      </c>
      <c r="AB4516" s="52" t="s">
        <v>247</v>
      </c>
      <c r="AC4516" s="52" t="s">
        <v>247</v>
      </c>
      <c r="AD4516" s="52" t="s">
        <v>1</v>
      </c>
      <c r="AE4516" s="52" t="s">
        <v>384</v>
      </c>
      <c r="AF4516" s="155" t="s">
        <v>247</v>
      </c>
      <c r="AG4516" s="155" t="s">
        <v>247</v>
      </c>
    </row>
    <row r="4517" spans="25:33">
      <c r="Y4517" s="47">
        <v>6552</v>
      </c>
      <c r="Z4517" s="52" t="s">
        <v>410</v>
      </c>
      <c r="AA4517" s="52" t="s">
        <v>247</v>
      </c>
      <c r="AB4517" s="52" t="s">
        <v>247</v>
      </c>
      <c r="AC4517" s="52" t="s">
        <v>247</v>
      </c>
      <c r="AD4517" s="52" t="s">
        <v>1</v>
      </c>
      <c r="AE4517" s="52" t="s">
        <v>384</v>
      </c>
      <c r="AF4517" s="155" t="s">
        <v>247</v>
      </c>
      <c r="AG4517" s="155" t="s">
        <v>247</v>
      </c>
    </row>
    <row r="4518" spans="25:33">
      <c r="Y4518" s="47">
        <v>6553</v>
      </c>
      <c r="Z4518" s="52" t="s">
        <v>410</v>
      </c>
      <c r="AA4518" s="52" t="s">
        <v>247</v>
      </c>
      <c r="AB4518" s="52" t="s">
        <v>247</v>
      </c>
      <c r="AC4518" s="52" t="s">
        <v>247</v>
      </c>
      <c r="AD4518" s="52" t="s">
        <v>1</v>
      </c>
      <c r="AE4518" s="52" t="s">
        <v>384</v>
      </c>
      <c r="AF4518" s="155" t="s">
        <v>247</v>
      </c>
      <c r="AG4518" s="155" t="s">
        <v>247</v>
      </c>
    </row>
    <row r="4519" spans="25:33">
      <c r="Y4519" s="47">
        <v>6554</v>
      </c>
      <c r="Z4519" s="52" t="s">
        <v>410</v>
      </c>
      <c r="AA4519" s="52" t="s">
        <v>247</v>
      </c>
      <c r="AB4519" s="52" t="s">
        <v>247</v>
      </c>
      <c r="AC4519" s="52" t="s">
        <v>247</v>
      </c>
      <c r="AD4519" s="52" t="s">
        <v>1</v>
      </c>
      <c r="AE4519" s="52" t="s">
        <v>384</v>
      </c>
      <c r="AF4519" s="155" t="s">
        <v>247</v>
      </c>
      <c r="AG4519" s="155" t="s">
        <v>247</v>
      </c>
    </row>
    <row r="4520" spans="25:33">
      <c r="Y4520" s="47">
        <v>6555</v>
      </c>
      <c r="Z4520" s="52" t="s">
        <v>410</v>
      </c>
      <c r="AA4520" s="52" t="s">
        <v>247</v>
      </c>
      <c r="AB4520" s="52" t="s">
        <v>247</v>
      </c>
      <c r="AC4520" s="52" t="s">
        <v>247</v>
      </c>
      <c r="AD4520" s="52" t="s">
        <v>1</v>
      </c>
      <c r="AE4520" s="52" t="s">
        <v>384</v>
      </c>
      <c r="AF4520" s="155" t="s">
        <v>247</v>
      </c>
      <c r="AG4520" s="155" t="s">
        <v>247</v>
      </c>
    </row>
    <row r="4521" spans="25:33">
      <c r="Y4521" s="47">
        <v>6556</v>
      </c>
      <c r="Z4521" s="52" t="s">
        <v>410</v>
      </c>
      <c r="AA4521" s="52" t="s">
        <v>247</v>
      </c>
      <c r="AB4521" s="52" t="s">
        <v>247</v>
      </c>
      <c r="AC4521" s="52" t="s">
        <v>247</v>
      </c>
      <c r="AD4521" s="52" t="s">
        <v>1</v>
      </c>
      <c r="AE4521" s="52" t="s">
        <v>384</v>
      </c>
      <c r="AF4521" s="155" t="s">
        <v>247</v>
      </c>
      <c r="AG4521" s="155" t="s">
        <v>247</v>
      </c>
    </row>
    <row r="4522" spans="25:33">
      <c r="Y4522" s="47">
        <v>6557</v>
      </c>
      <c r="Z4522" s="52" t="s">
        <v>410</v>
      </c>
      <c r="AA4522" s="52" t="s">
        <v>247</v>
      </c>
      <c r="AB4522" s="52" t="s">
        <v>247</v>
      </c>
      <c r="AC4522" s="52" t="s">
        <v>247</v>
      </c>
      <c r="AD4522" s="52" t="s">
        <v>1</v>
      </c>
      <c r="AE4522" s="52" t="s">
        <v>384</v>
      </c>
      <c r="AF4522" s="155" t="s">
        <v>247</v>
      </c>
      <c r="AG4522" s="155" t="s">
        <v>247</v>
      </c>
    </row>
    <row r="4523" spans="25:33">
      <c r="Y4523" s="47">
        <v>6558</v>
      </c>
      <c r="Z4523" s="52" t="s">
        <v>410</v>
      </c>
      <c r="AA4523" s="52" t="s">
        <v>247</v>
      </c>
      <c r="AB4523" s="52" t="s">
        <v>247</v>
      </c>
      <c r="AC4523" s="52" t="s">
        <v>247</v>
      </c>
      <c r="AD4523" s="52" t="s">
        <v>1</v>
      </c>
      <c r="AE4523" s="52" t="s">
        <v>384</v>
      </c>
      <c r="AF4523" s="155" t="s">
        <v>247</v>
      </c>
      <c r="AG4523" s="155" t="s">
        <v>247</v>
      </c>
    </row>
    <row r="4524" spans="25:33">
      <c r="Y4524" s="47">
        <v>6559</v>
      </c>
      <c r="Z4524" s="52" t="s">
        <v>410</v>
      </c>
      <c r="AA4524" s="52" t="s">
        <v>247</v>
      </c>
      <c r="AB4524" s="52" t="s">
        <v>247</v>
      </c>
      <c r="AC4524" s="52" t="s">
        <v>247</v>
      </c>
      <c r="AD4524" s="52" t="s">
        <v>1</v>
      </c>
      <c r="AE4524" s="52" t="s">
        <v>384</v>
      </c>
      <c r="AF4524" s="155" t="s">
        <v>247</v>
      </c>
      <c r="AG4524" s="155" t="s">
        <v>247</v>
      </c>
    </row>
    <row r="4525" spans="25:33">
      <c r="Y4525" s="47">
        <v>6560</v>
      </c>
      <c r="Z4525" s="52" t="s">
        <v>410</v>
      </c>
      <c r="AA4525" s="52" t="s">
        <v>247</v>
      </c>
      <c r="AB4525" s="52" t="s">
        <v>247</v>
      </c>
      <c r="AC4525" s="52" t="s">
        <v>247</v>
      </c>
      <c r="AD4525" s="52" t="s">
        <v>1</v>
      </c>
      <c r="AE4525" s="52" t="s">
        <v>384</v>
      </c>
      <c r="AF4525" s="155" t="s">
        <v>247</v>
      </c>
      <c r="AG4525" s="155" t="s">
        <v>247</v>
      </c>
    </row>
    <row r="4526" spans="25:33">
      <c r="Y4526" s="47">
        <v>6561</v>
      </c>
      <c r="Z4526" s="52" t="s">
        <v>410</v>
      </c>
      <c r="AA4526" s="52" t="s">
        <v>247</v>
      </c>
      <c r="AB4526" s="52" t="s">
        <v>247</v>
      </c>
      <c r="AC4526" s="52" t="s">
        <v>247</v>
      </c>
      <c r="AD4526" s="52" t="s">
        <v>1</v>
      </c>
      <c r="AE4526" s="52" t="s">
        <v>384</v>
      </c>
      <c r="AF4526" s="155" t="s">
        <v>247</v>
      </c>
      <c r="AG4526" s="155" t="s">
        <v>247</v>
      </c>
    </row>
    <row r="4527" spans="25:33">
      <c r="Y4527" s="47">
        <v>6562</v>
      </c>
      <c r="Z4527" s="52" t="s">
        <v>410</v>
      </c>
      <c r="AA4527" s="52" t="s">
        <v>247</v>
      </c>
      <c r="AB4527" s="52" t="s">
        <v>247</v>
      </c>
      <c r="AC4527" s="52" t="s">
        <v>247</v>
      </c>
      <c r="AD4527" s="52" t="s">
        <v>1</v>
      </c>
      <c r="AE4527" s="52" t="s">
        <v>384</v>
      </c>
      <c r="AF4527" s="155" t="s">
        <v>247</v>
      </c>
      <c r="AG4527" s="155" t="s">
        <v>247</v>
      </c>
    </row>
    <row r="4528" spans="25:33">
      <c r="Y4528" s="47">
        <v>6563</v>
      </c>
      <c r="Z4528" s="52" t="s">
        <v>410</v>
      </c>
      <c r="AA4528" s="52" t="s">
        <v>247</v>
      </c>
      <c r="AB4528" s="52" t="s">
        <v>247</v>
      </c>
      <c r="AC4528" s="52" t="s">
        <v>247</v>
      </c>
      <c r="AD4528" s="52" t="s">
        <v>1</v>
      </c>
      <c r="AE4528" s="52" t="s">
        <v>384</v>
      </c>
      <c r="AF4528" s="155" t="s">
        <v>247</v>
      </c>
      <c r="AG4528" s="155" t="s">
        <v>247</v>
      </c>
    </row>
    <row r="4529" spans="25:33">
      <c r="Y4529" s="47">
        <v>6564</v>
      </c>
      <c r="Z4529" s="52" t="s">
        <v>410</v>
      </c>
      <c r="AA4529" s="52" t="s">
        <v>247</v>
      </c>
      <c r="AB4529" s="52" t="s">
        <v>247</v>
      </c>
      <c r="AC4529" s="52" t="s">
        <v>247</v>
      </c>
      <c r="AD4529" s="52" t="s">
        <v>1</v>
      </c>
      <c r="AE4529" s="52" t="s">
        <v>384</v>
      </c>
      <c r="AF4529" s="155" t="s">
        <v>247</v>
      </c>
      <c r="AG4529" s="155" t="s">
        <v>247</v>
      </c>
    </row>
    <row r="4530" spans="25:33">
      <c r="Y4530" s="47">
        <v>6565</v>
      </c>
      <c r="Z4530" s="52" t="s">
        <v>410</v>
      </c>
      <c r="AA4530" s="52" t="s">
        <v>247</v>
      </c>
      <c r="AB4530" s="52" t="s">
        <v>247</v>
      </c>
      <c r="AC4530" s="52" t="s">
        <v>247</v>
      </c>
      <c r="AD4530" s="52" t="s">
        <v>1</v>
      </c>
      <c r="AE4530" s="52" t="s">
        <v>384</v>
      </c>
      <c r="AF4530" s="155" t="s">
        <v>247</v>
      </c>
      <c r="AG4530" s="155" t="s">
        <v>247</v>
      </c>
    </row>
    <row r="4531" spans="25:33">
      <c r="Y4531" s="47">
        <v>6566</v>
      </c>
      <c r="Z4531" s="52" t="s">
        <v>410</v>
      </c>
      <c r="AA4531" s="52" t="s">
        <v>247</v>
      </c>
      <c r="AB4531" s="52" t="s">
        <v>247</v>
      </c>
      <c r="AC4531" s="52" t="s">
        <v>247</v>
      </c>
      <c r="AD4531" s="52" t="s">
        <v>1</v>
      </c>
      <c r="AE4531" s="52" t="s">
        <v>384</v>
      </c>
      <c r="AF4531" s="155" t="s">
        <v>247</v>
      </c>
      <c r="AG4531" s="155" t="s">
        <v>247</v>
      </c>
    </row>
    <row r="4532" spans="25:33">
      <c r="Y4532" s="47">
        <v>6567</v>
      </c>
      <c r="Z4532" s="52" t="s">
        <v>410</v>
      </c>
      <c r="AA4532" s="52" t="s">
        <v>247</v>
      </c>
      <c r="AB4532" s="52" t="s">
        <v>247</v>
      </c>
      <c r="AC4532" s="52" t="s">
        <v>247</v>
      </c>
      <c r="AD4532" s="52" t="s">
        <v>1</v>
      </c>
      <c r="AE4532" s="52" t="s">
        <v>384</v>
      </c>
      <c r="AF4532" s="155" t="s">
        <v>247</v>
      </c>
      <c r="AG4532" s="155" t="s">
        <v>247</v>
      </c>
    </row>
    <row r="4533" spans="25:33">
      <c r="Y4533" s="47">
        <v>6568</v>
      </c>
      <c r="Z4533" s="52" t="s">
        <v>410</v>
      </c>
      <c r="AA4533" s="52" t="s">
        <v>247</v>
      </c>
      <c r="AB4533" s="52" t="s">
        <v>247</v>
      </c>
      <c r="AC4533" s="52" t="s">
        <v>247</v>
      </c>
      <c r="AD4533" s="52" t="s">
        <v>1</v>
      </c>
      <c r="AE4533" s="52" t="s">
        <v>384</v>
      </c>
      <c r="AF4533" s="155" t="s">
        <v>247</v>
      </c>
      <c r="AG4533" s="155" t="s">
        <v>247</v>
      </c>
    </row>
    <row r="4534" spans="25:33">
      <c r="Y4534" s="47">
        <v>6569</v>
      </c>
      <c r="Z4534" s="52" t="s">
        <v>410</v>
      </c>
      <c r="AA4534" s="52" t="s">
        <v>247</v>
      </c>
      <c r="AB4534" s="52" t="s">
        <v>247</v>
      </c>
      <c r="AC4534" s="52" t="s">
        <v>247</v>
      </c>
      <c r="AD4534" s="52" t="s">
        <v>1</v>
      </c>
      <c r="AE4534" s="52" t="s">
        <v>384</v>
      </c>
      <c r="AF4534" s="155" t="s">
        <v>247</v>
      </c>
      <c r="AG4534" s="155" t="s">
        <v>247</v>
      </c>
    </row>
    <row r="4535" spans="25:33">
      <c r="Y4535" s="47">
        <v>6570</v>
      </c>
      <c r="Z4535" s="52" t="s">
        <v>410</v>
      </c>
      <c r="AA4535" s="52" t="s">
        <v>247</v>
      </c>
      <c r="AB4535" s="52" t="s">
        <v>247</v>
      </c>
      <c r="AC4535" s="52" t="s">
        <v>247</v>
      </c>
      <c r="AD4535" s="52" t="s">
        <v>1</v>
      </c>
      <c r="AE4535" s="52" t="s">
        <v>384</v>
      </c>
      <c r="AF4535" s="155" t="s">
        <v>247</v>
      </c>
      <c r="AG4535" s="155" t="s">
        <v>247</v>
      </c>
    </row>
    <row r="4536" spans="25:33">
      <c r="Y4536" s="47">
        <v>6571</v>
      </c>
      <c r="Z4536" s="52" t="s">
        <v>410</v>
      </c>
      <c r="AA4536" s="52" t="s">
        <v>247</v>
      </c>
      <c r="AB4536" s="52" t="s">
        <v>247</v>
      </c>
      <c r="AC4536" s="52" t="s">
        <v>247</v>
      </c>
      <c r="AD4536" s="52" t="s">
        <v>1</v>
      </c>
      <c r="AE4536" s="52" t="s">
        <v>384</v>
      </c>
      <c r="AF4536" s="155" t="s">
        <v>247</v>
      </c>
      <c r="AG4536" s="155" t="s">
        <v>247</v>
      </c>
    </row>
    <row r="4537" spans="25:33">
      <c r="Y4537" s="47">
        <v>6572</v>
      </c>
      <c r="Z4537" s="52" t="s">
        <v>410</v>
      </c>
      <c r="AA4537" s="52" t="s">
        <v>247</v>
      </c>
      <c r="AB4537" s="52" t="s">
        <v>247</v>
      </c>
      <c r="AC4537" s="52" t="s">
        <v>247</v>
      </c>
      <c r="AD4537" s="52" t="s">
        <v>1</v>
      </c>
      <c r="AE4537" s="52" t="s">
        <v>384</v>
      </c>
      <c r="AF4537" s="155" t="s">
        <v>247</v>
      </c>
      <c r="AG4537" s="155" t="s">
        <v>247</v>
      </c>
    </row>
    <row r="4538" spans="25:33">
      <c r="Y4538" s="47">
        <v>6573</v>
      </c>
      <c r="Z4538" s="52" t="s">
        <v>410</v>
      </c>
      <c r="AA4538" s="52" t="s">
        <v>247</v>
      </c>
      <c r="AB4538" s="52" t="s">
        <v>247</v>
      </c>
      <c r="AC4538" s="52" t="s">
        <v>247</v>
      </c>
      <c r="AD4538" s="52" t="s">
        <v>1</v>
      </c>
      <c r="AE4538" s="52" t="s">
        <v>384</v>
      </c>
      <c r="AF4538" s="155" t="s">
        <v>247</v>
      </c>
      <c r="AG4538" s="155" t="s">
        <v>247</v>
      </c>
    </row>
    <row r="4539" spans="25:33">
      <c r="Y4539" s="47">
        <v>6574</v>
      </c>
      <c r="Z4539" s="52" t="s">
        <v>410</v>
      </c>
      <c r="AA4539" s="52" t="s">
        <v>247</v>
      </c>
      <c r="AB4539" s="52" t="s">
        <v>247</v>
      </c>
      <c r="AC4539" s="52" t="s">
        <v>247</v>
      </c>
      <c r="AD4539" s="52" t="s">
        <v>1</v>
      </c>
      <c r="AE4539" s="52" t="s">
        <v>384</v>
      </c>
      <c r="AF4539" s="155" t="s">
        <v>247</v>
      </c>
      <c r="AG4539" s="155" t="s">
        <v>247</v>
      </c>
    </row>
    <row r="4540" spans="25:33">
      <c r="Y4540" s="47">
        <v>6575</v>
      </c>
      <c r="Z4540" s="52" t="s">
        <v>410</v>
      </c>
      <c r="AA4540" s="52" t="s">
        <v>247</v>
      </c>
      <c r="AB4540" s="52" t="s">
        <v>247</v>
      </c>
      <c r="AC4540" s="52" t="s">
        <v>247</v>
      </c>
      <c r="AD4540" s="52" t="s">
        <v>1</v>
      </c>
      <c r="AE4540" s="52" t="s">
        <v>384</v>
      </c>
      <c r="AF4540" s="155" t="s">
        <v>247</v>
      </c>
      <c r="AG4540" s="155" t="s">
        <v>247</v>
      </c>
    </row>
    <row r="4541" spans="25:33">
      <c r="Y4541" s="47">
        <v>6576</v>
      </c>
      <c r="Z4541" s="52" t="s">
        <v>410</v>
      </c>
      <c r="AA4541" s="52" t="s">
        <v>247</v>
      </c>
      <c r="AB4541" s="52" t="s">
        <v>247</v>
      </c>
      <c r="AC4541" s="52" t="s">
        <v>247</v>
      </c>
      <c r="AD4541" s="52" t="s">
        <v>1</v>
      </c>
      <c r="AE4541" s="52" t="s">
        <v>384</v>
      </c>
      <c r="AF4541" s="155" t="s">
        <v>247</v>
      </c>
      <c r="AG4541" s="155" t="s">
        <v>247</v>
      </c>
    </row>
    <row r="4542" spans="25:33">
      <c r="Y4542" s="47">
        <v>6577</v>
      </c>
      <c r="Z4542" s="52" t="s">
        <v>410</v>
      </c>
      <c r="AA4542" s="52" t="s">
        <v>247</v>
      </c>
      <c r="AB4542" s="52" t="s">
        <v>247</v>
      </c>
      <c r="AC4542" s="52" t="s">
        <v>247</v>
      </c>
      <c r="AD4542" s="52" t="s">
        <v>1</v>
      </c>
      <c r="AE4542" s="52" t="s">
        <v>384</v>
      </c>
      <c r="AF4542" s="155" t="s">
        <v>247</v>
      </c>
      <c r="AG4542" s="155" t="s">
        <v>247</v>
      </c>
    </row>
    <row r="4543" spans="25:33">
      <c r="Y4543" s="47">
        <v>6578</v>
      </c>
      <c r="Z4543" s="52" t="s">
        <v>410</v>
      </c>
      <c r="AA4543" s="52" t="s">
        <v>247</v>
      </c>
      <c r="AB4543" s="52" t="s">
        <v>247</v>
      </c>
      <c r="AC4543" s="52" t="s">
        <v>247</v>
      </c>
      <c r="AD4543" s="52" t="s">
        <v>1</v>
      </c>
      <c r="AE4543" s="52" t="s">
        <v>384</v>
      </c>
      <c r="AF4543" s="155" t="s">
        <v>247</v>
      </c>
      <c r="AG4543" s="155" t="s">
        <v>247</v>
      </c>
    </row>
    <row r="4544" spans="25:33">
      <c r="Y4544" s="47">
        <v>6579</v>
      </c>
      <c r="Z4544" s="52" t="s">
        <v>410</v>
      </c>
      <c r="AA4544" s="52" t="s">
        <v>247</v>
      </c>
      <c r="AB4544" s="52" t="s">
        <v>247</v>
      </c>
      <c r="AC4544" s="52" t="s">
        <v>247</v>
      </c>
      <c r="AD4544" s="52" t="s">
        <v>1</v>
      </c>
      <c r="AE4544" s="52" t="s">
        <v>384</v>
      </c>
      <c r="AF4544" s="155" t="s">
        <v>247</v>
      </c>
      <c r="AG4544" s="155" t="s">
        <v>247</v>
      </c>
    </row>
    <row r="4545" spans="25:33">
      <c r="Y4545" s="47">
        <v>6580</v>
      </c>
      <c r="Z4545" s="52" t="s">
        <v>410</v>
      </c>
      <c r="AA4545" s="52" t="s">
        <v>247</v>
      </c>
      <c r="AB4545" s="52" t="s">
        <v>247</v>
      </c>
      <c r="AC4545" s="52" t="s">
        <v>247</v>
      </c>
      <c r="AD4545" s="52" t="s">
        <v>1</v>
      </c>
      <c r="AE4545" s="52" t="s">
        <v>384</v>
      </c>
      <c r="AF4545" s="155" t="s">
        <v>247</v>
      </c>
      <c r="AG4545" s="155" t="s">
        <v>247</v>
      </c>
    </row>
    <row r="4546" spans="25:33">
      <c r="Y4546" s="47">
        <v>6581</v>
      </c>
      <c r="Z4546" s="52" t="s">
        <v>410</v>
      </c>
      <c r="AA4546" s="52" t="s">
        <v>247</v>
      </c>
      <c r="AB4546" s="52" t="s">
        <v>247</v>
      </c>
      <c r="AC4546" s="52" t="s">
        <v>247</v>
      </c>
      <c r="AD4546" s="52" t="s">
        <v>1</v>
      </c>
      <c r="AE4546" s="52" t="s">
        <v>384</v>
      </c>
      <c r="AF4546" s="155" t="s">
        <v>247</v>
      </c>
      <c r="AG4546" s="155" t="s">
        <v>247</v>
      </c>
    </row>
    <row r="4547" spans="25:33">
      <c r="Y4547" s="47">
        <v>6582</v>
      </c>
      <c r="Z4547" s="52" t="s">
        <v>410</v>
      </c>
      <c r="AA4547" s="52" t="s">
        <v>247</v>
      </c>
      <c r="AB4547" s="52" t="s">
        <v>247</v>
      </c>
      <c r="AC4547" s="52" t="s">
        <v>247</v>
      </c>
      <c r="AD4547" s="52" t="s">
        <v>1</v>
      </c>
      <c r="AE4547" s="52" t="s">
        <v>384</v>
      </c>
      <c r="AF4547" s="155" t="s">
        <v>247</v>
      </c>
      <c r="AG4547" s="155" t="s">
        <v>247</v>
      </c>
    </row>
    <row r="4548" spans="25:33">
      <c r="Y4548" s="47">
        <v>6583</v>
      </c>
      <c r="Z4548" s="52" t="s">
        <v>410</v>
      </c>
      <c r="AA4548" s="52" t="s">
        <v>247</v>
      </c>
      <c r="AB4548" s="52" t="s">
        <v>247</v>
      </c>
      <c r="AC4548" s="52" t="s">
        <v>247</v>
      </c>
      <c r="AD4548" s="52" t="s">
        <v>1</v>
      </c>
      <c r="AE4548" s="52" t="s">
        <v>384</v>
      </c>
      <c r="AF4548" s="155" t="s">
        <v>247</v>
      </c>
      <c r="AG4548" s="155" t="s">
        <v>247</v>
      </c>
    </row>
    <row r="4549" spans="25:33">
      <c r="Y4549" s="47">
        <v>6584</v>
      </c>
      <c r="Z4549" s="52" t="s">
        <v>410</v>
      </c>
      <c r="AA4549" s="52" t="s">
        <v>247</v>
      </c>
      <c r="AB4549" s="52" t="s">
        <v>247</v>
      </c>
      <c r="AC4549" s="52" t="s">
        <v>247</v>
      </c>
      <c r="AD4549" s="52" t="s">
        <v>1</v>
      </c>
      <c r="AE4549" s="52" t="s">
        <v>384</v>
      </c>
      <c r="AF4549" s="155" t="s">
        <v>247</v>
      </c>
      <c r="AG4549" s="155" t="s">
        <v>247</v>
      </c>
    </row>
    <row r="4550" spans="25:33">
      <c r="Y4550" s="47">
        <v>6585</v>
      </c>
      <c r="Z4550" s="52" t="s">
        <v>410</v>
      </c>
      <c r="AA4550" s="52" t="s">
        <v>247</v>
      </c>
      <c r="AB4550" s="52" t="s">
        <v>247</v>
      </c>
      <c r="AC4550" s="52" t="s">
        <v>247</v>
      </c>
      <c r="AD4550" s="52" t="s">
        <v>1</v>
      </c>
      <c r="AE4550" s="52" t="s">
        <v>384</v>
      </c>
      <c r="AF4550" s="155" t="s">
        <v>247</v>
      </c>
      <c r="AG4550" s="155" t="s">
        <v>247</v>
      </c>
    </row>
    <row r="4551" spans="25:33">
      <c r="Y4551" s="47">
        <v>6586</v>
      </c>
      <c r="Z4551" s="52" t="s">
        <v>410</v>
      </c>
      <c r="AA4551" s="52" t="s">
        <v>247</v>
      </c>
      <c r="AB4551" s="52" t="s">
        <v>247</v>
      </c>
      <c r="AC4551" s="52" t="s">
        <v>247</v>
      </c>
      <c r="AD4551" s="52" t="s">
        <v>1</v>
      </c>
      <c r="AE4551" s="52" t="s">
        <v>384</v>
      </c>
      <c r="AF4551" s="155" t="s">
        <v>247</v>
      </c>
      <c r="AG4551" s="155" t="s">
        <v>247</v>
      </c>
    </row>
    <row r="4552" spans="25:33">
      <c r="Y4552" s="47">
        <v>6587</v>
      </c>
      <c r="Z4552" s="52" t="s">
        <v>410</v>
      </c>
      <c r="AA4552" s="52" t="s">
        <v>247</v>
      </c>
      <c r="AB4552" s="52" t="s">
        <v>247</v>
      </c>
      <c r="AC4552" s="52" t="s">
        <v>247</v>
      </c>
      <c r="AD4552" s="52" t="s">
        <v>1</v>
      </c>
      <c r="AE4552" s="52" t="s">
        <v>384</v>
      </c>
      <c r="AF4552" s="155" t="s">
        <v>247</v>
      </c>
      <c r="AG4552" s="155" t="s">
        <v>247</v>
      </c>
    </row>
    <row r="4553" spans="25:33">
      <c r="Y4553" s="47">
        <v>6588</v>
      </c>
      <c r="Z4553" s="52" t="s">
        <v>410</v>
      </c>
      <c r="AA4553" s="52" t="s">
        <v>247</v>
      </c>
      <c r="AB4553" s="52" t="s">
        <v>247</v>
      </c>
      <c r="AC4553" s="52" t="s">
        <v>247</v>
      </c>
      <c r="AD4553" s="52" t="s">
        <v>1</v>
      </c>
      <c r="AE4553" s="52" t="s">
        <v>384</v>
      </c>
      <c r="AF4553" s="155" t="s">
        <v>247</v>
      </c>
      <c r="AG4553" s="155" t="s">
        <v>247</v>
      </c>
    </row>
    <row r="4554" spans="25:33">
      <c r="Y4554" s="47">
        <v>6589</v>
      </c>
      <c r="Z4554" s="52" t="s">
        <v>410</v>
      </c>
      <c r="AA4554" s="52" t="s">
        <v>247</v>
      </c>
      <c r="AB4554" s="52" t="s">
        <v>247</v>
      </c>
      <c r="AC4554" s="52" t="s">
        <v>247</v>
      </c>
      <c r="AD4554" s="52" t="s">
        <v>1</v>
      </c>
      <c r="AE4554" s="52" t="s">
        <v>384</v>
      </c>
      <c r="AF4554" s="155" t="s">
        <v>247</v>
      </c>
      <c r="AG4554" s="155" t="s">
        <v>247</v>
      </c>
    </row>
    <row r="4555" spans="25:33">
      <c r="Y4555" s="47">
        <v>6590</v>
      </c>
      <c r="Z4555" s="52" t="s">
        <v>410</v>
      </c>
      <c r="AA4555" s="52" t="s">
        <v>247</v>
      </c>
      <c r="AB4555" s="52" t="s">
        <v>247</v>
      </c>
      <c r="AC4555" s="52" t="s">
        <v>247</v>
      </c>
      <c r="AD4555" s="52" t="s">
        <v>1</v>
      </c>
      <c r="AE4555" s="52" t="s">
        <v>384</v>
      </c>
      <c r="AF4555" s="155" t="s">
        <v>247</v>
      </c>
      <c r="AG4555" s="155" t="s">
        <v>247</v>
      </c>
    </row>
    <row r="4556" spans="25:33">
      <c r="Y4556" s="47">
        <v>6591</v>
      </c>
      <c r="Z4556" s="52" t="s">
        <v>410</v>
      </c>
      <c r="AA4556" s="52" t="s">
        <v>247</v>
      </c>
      <c r="AB4556" s="52" t="s">
        <v>247</v>
      </c>
      <c r="AC4556" s="52" t="s">
        <v>247</v>
      </c>
      <c r="AD4556" s="52" t="s">
        <v>1</v>
      </c>
      <c r="AE4556" s="52" t="s">
        <v>384</v>
      </c>
      <c r="AF4556" s="155" t="s">
        <v>247</v>
      </c>
      <c r="AG4556" s="155" t="s">
        <v>247</v>
      </c>
    </row>
    <row r="4557" spans="25:33">
      <c r="Y4557" s="47">
        <v>6592</v>
      </c>
      <c r="Z4557" s="52" t="s">
        <v>410</v>
      </c>
      <c r="AA4557" s="52" t="s">
        <v>247</v>
      </c>
      <c r="AB4557" s="52" t="s">
        <v>247</v>
      </c>
      <c r="AC4557" s="52" t="s">
        <v>247</v>
      </c>
      <c r="AD4557" s="52" t="s">
        <v>1</v>
      </c>
      <c r="AE4557" s="52" t="s">
        <v>384</v>
      </c>
      <c r="AF4557" s="155" t="s">
        <v>247</v>
      </c>
      <c r="AG4557" s="155" t="s">
        <v>247</v>
      </c>
    </row>
    <row r="4558" spans="25:33">
      <c r="Y4558" s="47">
        <v>6593</v>
      </c>
      <c r="Z4558" s="52" t="s">
        <v>410</v>
      </c>
      <c r="AA4558" s="52" t="s">
        <v>247</v>
      </c>
      <c r="AB4558" s="52" t="s">
        <v>247</v>
      </c>
      <c r="AC4558" s="52" t="s">
        <v>247</v>
      </c>
      <c r="AD4558" s="52" t="s">
        <v>1</v>
      </c>
      <c r="AE4558" s="52" t="s">
        <v>384</v>
      </c>
      <c r="AF4558" s="155" t="s">
        <v>247</v>
      </c>
      <c r="AG4558" s="155" t="s">
        <v>247</v>
      </c>
    </row>
    <row r="4559" spans="25:33">
      <c r="Y4559" s="47">
        <v>6594</v>
      </c>
      <c r="Z4559" s="52" t="s">
        <v>410</v>
      </c>
      <c r="AA4559" s="52" t="s">
        <v>247</v>
      </c>
      <c r="AB4559" s="52" t="s">
        <v>247</v>
      </c>
      <c r="AC4559" s="52" t="s">
        <v>247</v>
      </c>
      <c r="AD4559" s="52" t="s">
        <v>1</v>
      </c>
      <c r="AE4559" s="52" t="s">
        <v>384</v>
      </c>
      <c r="AF4559" s="155" t="s">
        <v>247</v>
      </c>
      <c r="AG4559" s="155" t="s">
        <v>247</v>
      </c>
    </row>
    <row r="4560" spans="25:33">
      <c r="Y4560" s="47">
        <v>6595</v>
      </c>
      <c r="Z4560" s="52" t="s">
        <v>410</v>
      </c>
      <c r="AA4560" s="52" t="s">
        <v>247</v>
      </c>
      <c r="AB4560" s="52" t="s">
        <v>247</v>
      </c>
      <c r="AC4560" s="52" t="s">
        <v>247</v>
      </c>
      <c r="AD4560" s="52" t="s">
        <v>1</v>
      </c>
      <c r="AE4560" s="52" t="s">
        <v>384</v>
      </c>
      <c r="AF4560" s="155" t="s">
        <v>247</v>
      </c>
      <c r="AG4560" s="155" t="s">
        <v>247</v>
      </c>
    </row>
    <row r="4561" spans="25:33">
      <c r="Y4561" s="47">
        <v>6596</v>
      </c>
      <c r="Z4561" s="52" t="s">
        <v>410</v>
      </c>
      <c r="AA4561" s="52" t="s">
        <v>247</v>
      </c>
      <c r="AB4561" s="52" t="s">
        <v>247</v>
      </c>
      <c r="AC4561" s="52" t="s">
        <v>247</v>
      </c>
      <c r="AD4561" s="52" t="s">
        <v>1</v>
      </c>
      <c r="AE4561" s="52" t="s">
        <v>384</v>
      </c>
      <c r="AF4561" s="155" t="s">
        <v>247</v>
      </c>
      <c r="AG4561" s="155" t="s">
        <v>247</v>
      </c>
    </row>
    <row r="4562" spans="25:33">
      <c r="Y4562" s="47">
        <v>6597</v>
      </c>
      <c r="Z4562" s="52" t="s">
        <v>410</v>
      </c>
      <c r="AA4562" s="52" t="s">
        <v>247</v>
      </c>
      <c r="AB4562" s="52" t="s">
        <v>247</v>
      </c>
      <c r="AC4562" s="52" t="s">
        <v>247</v>
      </c>
      <c r="AD4562" s="52" t="s">
        <v>1</v>
      </c>
      <c r="AE4562" s="52" t="s">
        <v>384</v>
      </c>
      <c r="AF4562" s="155" t="s">
        <v>247</v>
      </c>
      <c r="AG4562" s="155" t="s">
        <v>247</v>
      </c>
    </row>
    <row r="4563" spans="25:33">
      <c r="Y4563" s="47">
        <v>6598</v>
      </c>
      <c r="Z4563" s="52" t="s">
        <v>410</v>
      </c>
      <c r="AA4563" s="52" t="s">
        <v>247</v>
      </c>
      <c r="AB4563" s="52" t="s">
        <v>247</v>
      </c>
      <c r="AC4563" s="52" t="s">
        <v>247</v>
      </c>
      <c r="AD4563" s="52" t="s">
        <v>1</v>
      </c>
      <c r="AE4563" s="52" t="s">
        <v>384</v>
      </c>
      <c r="AF4563" s="155" t="s">
        <v>247</v>
      </c>
      <c r="AG4563" s="155" t="s">
        <v>247</v>
      </c>
    </row>
    <row r="4564" spans="25:33">
      <c r="Y4564" s="47">
        <v>6599</v>
      </c>
      <c r="Z4564" s="52" t="s">
        <v>410</v>
      </c>
      <c r="AA4564" s="52" t="s">
        <v>247</v>
      </c>
      <c r="AB4564" s="52" t="s">
        <v>247</v>
      </c>
      <c r="AC4564" s="52" t="s">
        <v>247</v>
      </c>
      <c r="AD4564" s="52" t="s">
        <v>1</v>
      </c>
      <c r="AE4564" s="52" t="s">
        <v>384</v>
      </c>
      <c r="AF4564" s="155" t="s">
        <v>247</v>
      </c>
      <c r="AG4564" s="155" t="s">
        <v>247</v>
      </c>
    </row>
    <row r="4565" spans="25:33">
      <c r="Y4565" s="47">
        <v>6600</v>
      </c>
      <c r="Z4565" s="52" t="s">
        <v>410</v>
      </c>
      <c r="AA4565" s="52" t="s">
        <v>247</v>
      </c>
      <c r="AB4565" s="52" t="s">
        <v>247</v>
      </c>
      <c r="AC4565" s="52" t="s">
        <v>247</v>
      </c>
      <c r="AD4565" s="52" t="s">
        <v>1</v>
      </c>
      <c r="AE4565" s="52" t="s">
        <v>384</v>
      </c>
      <c r="AF4565" s="155" t="s">
        <v>247</v>
      </c>
      <c r="AG4565" s="155" t="s">
        <v>247</v>
      </c>
    </row>
    <row r="4566" spans="25:33">
      <c r="Y4566" s="47">
        <v>6601</v>
      </c>
      <c r="Z4566" s="52" t="s">
        <v>410</v>
      </c>
      <c r="AA4566" s="52" t="s">
        <v>247</v>
      </c>
      <c r="AB4566" s="52" t="s">
        <v>247</v>
      </c>
      <c r="AC4566" s="52" t="s">
        <v>247</v>
      </c>
      <c r="AD4566" s="52" t="s">
        <v>1</v>
      </c>
      <c r="AE4566" s="52" t="s">
        <v>384</v>
      </c>
      <c r="AF4566" s="155" t="s">
        <v>247</v>
      </c>
      <c r="AG4566" s="155" t="s">
        <v>247</v>
      </c>
    </row>
    <row r="4567" spans="25:33">
      <c r="Y4567" s="47">
        <v>6602</v>
      </c>
      <c r="Z4567" s="52" t="s">
        <v>410</v>
      </c>
      <c r="AA4567" s="52" t="s">
        <v>247</v>
      </c>
      <c r="AB4567" s="52" t="s">
        <v>247</v>
      </c>
      <c r="AC4567" s="52" t="s">
        <v>247</v>
      </c>
      <c r="AD4567" s="52" t="s">
        <v>1</v>
      </c>
      <c r="AE4567" s="52" t="s">
        <v>384</v>
      </c>
      <c r="AF4567" s="155" t="s">
        <v>247</v>
      </c>
      <c r="AG4567" s="155" t="s">
        <v>247</v>
      </c>
    </row>
    <row r="4568" spans="25:33">
      <c r="Y4568" s="47">
        <v>6603</v>
      </c>
      <c r="Z4568" s="52" t="s">
        <v>410</v>
      </c>
      <c r="AA4568" s="52" t="s">
        <v>247</v>
      </c>
      <c r="AB4568" s="52" t="s">
        <v>247</v>
      </c>
      <c r="AC4568" s="52" t="s">
        <v>247</v>
      </c>
      <c r="AD4568" s="52" t="s">
        <v>1</v>
      </c>
      <c r="AE4568" s="52" t="s">
        <v>384</v>
      </c>
      <c r="AF4568" s="155" t="s">
        <v>247</v>
      </c>
      <c r="AG4568" s="155" t="s">
        <v>247</v>
      </c>
    </row>
    <row r="4569" spans="25:33">
      <c r="Y4569" s="47">
        <v>6604</v>
      </c>
      <c r="Z4569" s="52" t="s">
        <v>410</v>
      </c>
      <c r="AA4569" s="52" t="s">
        <v>247</v>
      </c>
      <c r="AB4569" s="52" t="s">
        <v>247</v>
      </c>
      <c r="AC4569" s="52" t="s">
        <v>247</v>
      </c>
      <c r="AD4569" s="52" t="s">
        <v>1</v>
      </c>
      <c r="AE4569" s="52" t="s">
        <v>384</v>
      </c>
      <c r="AF4569" s="155" t="s">
        <v>247</v>
      </c>
      <c r="AG4569" s="155" t="s">
        <v>247</v>
      </c>
    </row>
    <row r="4570" spans="25:33">
      <c r="Y4570" s="47">
        <v>6605</v>
      </c>
      <c r="Z4570" s="52" t="s">
        <v>410</v>
      </c>
      <c r="AA4570" s="52" t="s">
        <v>247</v>
      </c>
      <c r="AB4570" s="52" t="s">
        <v>247</v>
      </c>
      <c r="AC4570" s="52" t="s">
        <v>247</v>
      </c>
      <c r="AD4570" s="52" t="s">
        <v>1</v>
      </c>
      <c r="AE4570" s="52" t="s">
        <v>384</v>
      </c>
      <c r="AF4570" s="155" t="s">
        <v>247</v>
      </c>
      <c r="AG4570" s="155" t="s">
        <v>247</v>
      </c>
    </row>
    <row r="4571" spans="25:33">
      <c r="Y4571" s="47">
        <v>6606</v>
      </c>
      <c r="Z4571" s="52" t="s">
        <v>410</v>
      </c>
      <c r="AA4571" s="52" t="s">
        <v>247</v>
      </c>
      <c r="AB4571" s="52" t="s">
        <v>247</v>
      </c>
      <c r="AC4571" s="52" t="s">
        <v>247</v>
      </c>
      <c r="AD4571" s="52" t="s">
        <v>1</v>
      </c>
      <c r="AE4571" s="52" t="s">
        <v>384</v>
      </c>
      <c r="AF4571" s="155" t="s">
        <v>247</v>
      </c>
      <c r="AG4571" s="155" t="s">
        <v>247</v>
      </c>
    </row>
    <row r="4572" spans="25:33">
      <c r="Y4572" s="47">
        <v>6607</v>
      </c>
      <c r="Z4572" s="52" t="s">
        <v>410</v>
      </c>
      <c r="AA4572" s="52" t="s">
        <v>247</v>
      </c>
      <c r="AB4572" s="52" t="s">
        <v>247</v>
      </c>
      <c r="AC4572" s="52" t="s">
        <v>247</v>
      </c>
      <c r="AD4572" s="52" t="s">
        <v>1</v>
      </c>
      <c r="AE4572" s="52" t="s">
        <v>384</v>
      </c>
      <c r="AF4572" s="155" t="s">
        <v>247</v>
      </c>
      <c r="AG4572" s="155" t="s">
        <v>247</v>
      </c>
    </row>
    <row r="4573" spans="25:33">
      <c r="Y4573" s="47">
        <v>6608</v>
      </c>
      <c r="Z4573" s="52" t="s">
        <v>410</v>
      </c>
      <c r="AA4573" s="52" t="s">
        <v>247</v>
      </c>
      <c r="AB4573" s="52" t="s">
        <v>247</v>
      </c>
      <c r="AC4573" s="52" t="s">
        <v>247</v>
      </c>
      <c r="AD4573" s="52" t="s">
        <v>1</v>
      </c>
      <c r="AE4573" s="52" t="s">
        <v>384</v>
      </c>
      <c r="AF4573" s="155" t="s">
        <v>247</v>
      </c>
      <c r="AG4573" s="155" t="s">
        <v>247</v>
      </c>
    </row>
    <row r="4574" spans="25:33">
      <c r="Y4574" s="47">
        <v>6609</v>
      </c>
      <c r="Z4574" s="52" t="s">
        <v>410</v>
      </c>
      <c r="AA4574" s="52" t="s">
        <v>247</v>
      </c>
      <c r="AB4574" s="52" t="s">
        <v>247</v>
      </c>
      <c r="AC4574" s="52" t="s">
        <v>247</v>
      </c>
      <c r="AD4574" s="52" t="s">
        <v>1</v>
      </c>
      <c r="AE4574" s="52" t="s">
        <v>384</v>
      </c>
      <c r="AF4574" s="155" t="s">
        <v>247</v>
      </c>
      <c r="AG4574" s="155" t="s">
        <v>247</v>
      </c>
    </row>
    <row r="4575" spans="25:33">
      <c r="Y4575" s="47">
        <v>6610</v>
      </c>
      <c r="Z4575" s="52" t="s">
        <v>410</v>
      </c>
      <c r="AA4575" s="52" t="s">
        <v>247</v>
      </c>
      <c r="AB4575" s="52" t="s">
        <v>247</v>
      </c>
      <c r="AC4575" s="52" t="s">
        <v>247</v>
      </c>
      <c r="AD4575" s="52" t="s">
        <v>1</v>
      </c>
      <c r="AE4575" s="52" t="s">
        <v>384</v>
      </c>
      <c r="AF4575" s="155" t="s">
        <v>247</v>
      </c>
      <c r="AG4575" s="155" t="s">
        <v>247</v>
      </c>
    </row>
    <row r="4576" spans="25:33">
      <c r="Y4576" s="47">
        <v>6611</v>
      </c>
      <c r="Z4576" s="52" t="s">
        <v>410</v>
      </c>
      <c r="AA4576" s="52" t="s">
        <v>247</v>
      </c>
      <c r="AB4576" s="52" t="s">
        <v>247</v>
      </c>
      <c r="AC4576" s="52" t="s">
        <v>247</v>
      </c>
      <c r="AD4576" s="52" t="s">
        <v>1</v>
      </c>
      <c r="AE4576" s="52" t="s">
        <v>384</v>
      </c>
      <c r="AF4576" s="155" t="s">
        <v>247</v>
      </c>
      <c r="AG4576" s="155" t="s">
        <v>247</v>
      </c>
    </row>
    <row r="4577" spans="25:33">
      <c r="Y4577" s="47">
        <v>6612</v>
      </c>
      <c r="Z4577" s="52" t="s">
        <v>410</v>
      </c>
      <c r="AA4577" s="52" t="s">
        <v>247</v>
      </c>
      <c r="AB4577" s="52" t="s">
        <v>247</v>
      </c>
      <c r="AC4577" s="52" t="s">
        <v>247</v>
      </c>
      <c r="AD4577" s="52" t="s">
        <v>1</v>
      </c>
      <c r="AE4577" s="52" t="s">
        <v>384</v>
      </c>
      <c r="AF4577" s="155" t="s">
        <v>247</v>
      </c>
      <c r="AG4577" s="155" t="s">
        <v>247</v>
      </c>
    </row>
    <row r="4578" spans="25:33">
      <c r="Y4578" s="47">
        <v>6613</v>
      </c>
      <c r="Z4578" s="52" t="s">
        <v>410</v>
      </c>
      <c r="AA4578" s="52" t="s">
        <v>247</v>
      </c>
      <c r="AB4578" s="52" t="s">
        <v>247</v>
      </c>
      <c r="AC4578" s="52" t="s">
        <v>247</v>
      </c>
      <c r="AD4578" s="52" t="s">
        <v>1</v>
      </c>
      <c r="AE4578" s="52" t="s">
        <v>384</v>
      </c>
      <c r="AF4578" s="155" t="s">
        <v>247</v>
      </c>
      <c r="AG4578" s="155" t="s">
        <v>247</v>
      </c>
    </row>
    <row r="4579" spans="25:33">
      <c r="Y4579" s="47">
        <v>6614</v>
      </c>
      <c r="Z4579" s="52" t="s">
        <v>410</v>
      </c>
      <c r="AA4579" s="52" t="s">
        <v>247</v>
      </c>
      <c r="AB4579" s="52" t="s">
        <v>247</v>
      </c>
      <c r="AC4579" s="52" t="s">
        <v>247</v>
      </c>
      <c r="AD4579" s="52" t="s">
        <v>1</v>
      </c>
      <c r="AE4579" s="52" t="s">
        <v>384</v>
      </c>
      <c r="AF4579" s="155" t="s">
        <v>247</v>
      </c>
      <c r="AG4579" s="155" t="s">
        <v>247</v>
      </c>
    </row>
    <row r="4580" spans="25:33">
      <c r="Y4580" s="47">
        <v>6615</v>
      </c>
      <c r="Z4580" s="52" t="s">
        <v>410</v>
      </c>
      <c r="AA4580" s="52" t="s">
        <v>247</v>
      </c>
      <c r="AB4580" s="52" t="s">
        <v>247</v>
      </c>
      <c r="AC4580" s="52" t="s">
        <v>247</v>
      </c>
      <c r="AD4580" s="52" t="s">
        <v>1</v>
      </c>
      <c r="AE4580" s="52" t="s">
        <v>384</v>
      </c>
      <c r="AF4580" s="155" t="s">
        <v>247</v>
      </c>
      <c r="AG4580" s="155" t="s">
        <v>247</v>
      </c>
    </row>
    <row r="4581" spans="25:33">
      <c r="Y4581" s="47">
        <v>6616</v>
      </c>
      <c r="Z4581" s="52" t="s">
        <v>410</v>
      </c>
      <c r="AA4581" s="52" t="s">
        <v>247</v>
      </c>
      <c r="AB4581" s="52" t="s">
        <v>247</v>
      </c>
      <c r="AC4581" s="52" t="s">
        <v>247</v>
      </c>
      <c r="AD4581" s="52" t="s">
        <v>1</v>
      </c>
      <c r="AE4581" s="52" t="s">
        <v>384</v>
      </c>
      <c r="AF4581" s="155" t="s">
        <v>247</v>
      </c>
      <c r="AG4581" s="155" t="s">
        <v>247</v>
      </c>
    </row>
    <row r="4582" spans="25:33">
      <c r="Y4582" s="47">
        <v>6617</v>
      </c>
      <c r="Z4582" s="52" t="s">
        <v>410</v>
      </c>
      <c r="AA4582" s="52" t="s">
        <v>247</v>
      </c>
      <c r="AB4582" s="52" t="s">
        <v>247</v>
      </c>
      <c r="AC4582" s="52" t="s">
        <v>247</v>
      </c>
      <c r="AD4582" s="52" t="s">
        <v>1</v>
      </c>
      <c r="AE4582" s="52" t="s">
        <v>384</v>
      </c>
      <c r="AF4582" s="155" t="s">
        <v>247</v>
      </c>
      <c r="AG4582" s="155" t="s">
        <v>247</v>
      </c>
    </row>
    <row r="4583" spans="25:33">
      <c r="Y4583" s="47">
        <v>6618</v>
      </c>
      <c r="Z4583" s="52" t="s">
        <v>410</v>
      </c>
      <c r="AA4583" s="52" t="s">
        <v>247</v>
      </c>
      <c r="AB4583" s="52" t="s">
        <v>247</v>
      </c>
      <c r="AC4583" s="52" t="s">
        <v>247</v>
      </c>
      <c r="AD4583" s="52" t="s">
        <v>1</v>
      </c>
      <c r="AE4583" s="52" t="s">
        <v>384</v>
      </c>
      <c r="AF4583" s="155" t="s">
        <v>247</v>
      </c>
      <c r="AG4583" s="155" t="s">
        <v>247</v>
      </c>
    </row>
    <row r="4584" spans="25:33">
      <c r="Y4584" s="47">
        <v>6619</v>
      </c>
      <c r="Z4584" s="52" t="s">
        <v>410</v>
      </c>
      <c r="AA4584" s="52" t="s">
        <v>247</v>
      </c>
      <c r="AB4584" s="52" t="s">
        <v>247</v>
      </c>
      <c r="AC4584" s="52" t="s">
        <v>247</v>
      </c>
      <c r="AD4584" s="52" t="s">
        <v>1</v>
      </c>
      <c r="AE4584" s="52" t="s">
        <v>384</v>
      </c>
      <c r="AF4584" s="155" t="s">
        <v>247</v>
      </c>
      <c r="AG4584" s="155" t="s">
        <v>247</v>
      </c>
    </row>
    <row r="4585" spans="25:33">
      <c r="Y4585" s="47">
        <v>6620</v>
      </c>
      <c r="Z4585" s="52" t="s">
        <v>410</v>
      </c>
      <c r="AA4585" s="52" t="s">
        <v>247</v>
      </c>
      <c r="AB4585" s="52" t="s">
        <v>247</v>
      </c>
      <c r="AC4585" s="52" t="s">
        <v>247</v>
      </c>
      <c r="AD4585" s="52" t="s">
        <v>1</v>
      </c>
      <c r="AE4585" s="52" t="s">
        <v>384</v>
      </c>
      <c r="AF4585" s="155" t="s">
        <v>247</v>
      </c>
      <c r="AG4585" s="155" t="s">
        <v>247</v>
      </c>
    </row>
    <row r="4586" spans="25:33">
      <c r="Y4586" s="47">
        <v>6621</v>
      </c>
      <c r="Z4586" s="52" t="s">
        <v>410</v>
      </c>
      <c r="AA4586" s="52" t="s">
        <v>247</v>
      </c>
      <c r="AB4586" s="52" t="s">
        <v>247</v>
      </c>
      <c r="AC4586" s="52" t="s">
        <v>247</v>
      </c>
      <c r="AD4586" s="52" t="s">
        <v>1</v>
      </c>
      <c r="AE4586" s="52" t="s">
        <v>384</v>
      </c>
      <c r="AF4586" s="155" t="s">
        <v>247</v>
      </c>
      <c r="AG4586" s="155" t="s">
        <v>247</v>
      </c>
    </row>
    <row r="4587" spans="25:33">
      <c r="Y4587" s="47">
        <v>6622</v>
      </c>
      <c r="Z4587" s="52" t="s">
        <v>410</v>
      </c>
      <c r="AA4587" s="52" t="s">
        <v>247</v>
      </c>
      <c r="AB4587" s="52" t="s">
        <v>247</v>
      </c>
      <c r="AC4587" s="52" t="s">
        <v>247</v>
      </c>
      <c r="AD4587" s="52" t="s">
        <v>1</v>
      </c>
      <c r="AE4587" s="52" t="s">
        <v>384</v>
      </c>
      <c r="AF4587" s="155" t="s">
        <v>247</v>
      </c>
      <c r="AG4587" s="155" t="s">
        <v>247</v>
      </c>
    </row>
    <row r="4588" spans="25:33">
      <c r="Y4588" s="47">
        <v>6623</v>
      </c>
      <c r="Z4588" s="52" t="s">
        <v>410</v>
      </c>
      <c r="AA4588" s="52" t="s">
        <v>247</v>
      </c>
      <c r="AB4588" s="52" t="s">
        <v>247</v>
      </c>
      <c r="AC4588" s="52" t="s">
        <v>247</v>
      </c>
      <c r="AD4588" s="52" t="s">
        <v>1</v>
      </c>
      <c r="AE4588" s="52" t="s">
        <v>384</v>
      </c>
      <c r="AF4588" s="155" t="s">
        <v>247</v>
      </c>
      <c r="AG4588" s="155" t="s">
        <v>247</v>
      </c>
    </row>
    <row r="4589" spans="25:33">
      <c r="Y4589" s="47">
        <v>6624</v>
      </c>
      <c r="Z4589" s="52" t="s">
        <v>410</v>
      </c>
      <c r="AA4589" s="52" t="s">
        <v>247</v>
      </c>
      <c r="AB4589" s="52" t="s">
        <v>247</v>
      </c>
      <c r="AC4589" s="52" t="s">
        <v>247</v>
      </c>
      <c r="AD4589" s="52" t="s">
        <v>1</v>
      </c>
      <c r="AE4589" s="52" t="s">
        <v>384</v>
      </c>
      <c r="AF4589" s="155" t="s">
        <v>247</v>
      </c>
      <c r="AG4589" s="155" t="s">
        <v>247</v>
      </c>
    </row>
    <row r="4590" spans="25:33">
      <c r="Y4590" s="47">
        <v>6625</v>
      </c>
      <c r="Z4590" s="52" t="s">
        <v>410</v>
      </c>
      <c r="AA4590" s="52" t="s">
        <v>247</v>
      </c>
      <c r="AB4590" s="52" t="s">
        <v>247</v>
      </c>
      <c r="AC4590" s="52" t="s">
        <v>247</v>
      </c>
      <c r="AD4590" s="52" t="s">
        <v>1</v>
      </c>
      <c r="AE4590" s="52" t="s">
        <v>384</v>
      </c>
      <c r="AF4590" s="155" t="s">
        <v>247</v>
      </c>
      <c r="AG4590" s="155" t="s">
        <v>247</v>
      </c>
    </row>
    <row r="4591" spans="25:33">
      <c r="Y4591" s="47">
        <v>6626</v>
      </c>
      <c r="Z4591" s="52" t="s">
        <v>410</v>
      </c>
      <c r="AA4591" s="52" t="s">
        <v>247</v>
      </c>
      <c r="AB4591" s="52" t="s">
        <v>247</v>
      </c>
      <c r="AC4591" s="52" t="s">
        <v>247</v>
      </c>
      <c r="AD4591" s="52" t="s">
        <v>1</v>
      </c>
      <c r="AE4591" s="52" t="s">
        <v>384</v>
      </c>
      <c r="AF4591" s="155" t="s">
        <v>247</v>
      </c>
      <c r="AG4591" s="155" t="s">
        <v>247</v>
      </c>
    </row>
    <row r="4592" spans="25:33">
      <c r="Y4592" s="47">
        <v>6627</v>
      </c>
      <c r="Z4592" s="52" t="s">
        <v>410</v>
      </c>
      <c r="AA4592" s="52" t="s">
        <v>247</v>
      </c>
      <c r="AB4592" s="52" t="s">
        <v>247</v>
      </c>
      <c r="AC4592" s="52" t="s">
        <v>247</v>
      </c>
      <c r="AD4592" s="52" t="s">
        <v>1</v>
      </c>
      <c r="AE4592" s="52" t="s">
        <v>384</v>
      </c>
      <c r="AF4592" s="155" t="s">
        <v>247</v>
      </c>
      <c r="AG4592" s="155" t="s">
        <v>247</v>
      </c>
    </row>
    <row r="4593" spans="25:33">
      <c r="Y4593" s="47">
        <v>6628</v>
      </c>
      <c r="Z4593" s="52" t="s">
        <v>410</v>
      </c>
      <c r="AA4593" s="52" t="s">
        <v>247</v>
      </c>
      <c r="AB4593" s="52" t="s">
        <v>247</v>
      </c>
      <c r="AC4593" s="52" t="s">
        <v>247</v>
      </c>
      <c r="AD4593" s="52" t="s">
        <v>1</v>
      </c>
      <c r="AE4593" s="52" t="s">
        <v>384</v>
      </c>
      <c r="AF4593" s="155" t="s">
        <v>247</v>
      </c>
      <c r="AG4593" s="155" t="s">
        <v>247</v>
      </c>
    </row>
    <row r="4594" spans="25:33">
      <c r="Y4594" s="47">
        <v>6629</v>
      </c>
      <c r="Z4594" s="52" t="s">
        <v>410</v>
      </c>
      <c r="AA4594" s="52" t="s">
        <v>247</v>
      </c>
      <c r="AB4594" s="52" t="s">
        <v>247</v>
      </c>
      <c r="AC4594" s="52" t="s">
        <v>247</v>
      </c>
      <c r="AD4594" s="52" t="s">
        <v>1</v>
      </c>
      <c r="AE4594" s="52" t="s">
        <v>384</v>
      </c>
      <c r="AF4594" s="155" t="s">
        <v>247</v>
      </c>
      <c r="AG4594" s="155" t="s">
        <v>247</v>
      </c>
    </row>
    <row r="4595" spans="25:33">
      <c r="Y4595" s="47">
        <v>6630</v>
      </c>
      <c r="Z4595" s="52" t="s">
        <v>410</v>
      </c>
      <c r="AA4595" s="52" t="s">
        <v>247</v>
      </c>
      <c r="AB4595" s="52" t="s">
        <v>247</v>
      </c>
      <c r="AC4595" s="52" t="s">
        <v>247</v>
      </c>
      <c r="AD4595" s="52" t="s">
        <v>1</v>
      </c>
      <c r="AE4595" s="52" t="s">
        <v>384</v>
      </c>
      <c r="AF4595" s="155" t="s">
        <v>247</v>
      </c>
      <c r="AG4595" s="155" t="s">
        <v>247</v>
      </c>
    </row>
    <row r="4596" spans="25:33">
      <c r="Y4596" s="47">
        <v>6631</v>
      </c>
      <c r="Z4596" s="52" t="s">
        <v>410</v>
      </c>
      <c r="AA4596" s="52" t="s">
        <v>247</v>
      </c>
      <c r="AB4596" s="52" t="s">
        <v>247</v>
      </c>
      <c r="AC4596" s="52" t="s">
        <v>247</v>
      </c>
      <c r="AD4596" s="52" t="s">
        <v>1</v>
      </c>
      <c r="AE4596" s="52" t="s">
        <v>384</v>
      </c>
      <c r="AF4596" s="155" t="s">
        <v>247</v>
      </c>
      <c r="AG4596" s="155" t="s">
        <v>247</v>
      </c>
    </row>
    <row r="4597" spans="25:33">
      <c r="Y4597" s="47">
        <v>6632</v>
      </c>
      <c r="Z4597" s="52" t="s">
        <v>410</v>
      </c>
      <c r="AA4597" s="52" t="s">
        <v>247</v>
      </c>
      <c r="AB4597" s="52" t="s">
        <v>247</v>
      </c>
      <c r="AC4597" s="52" t="s">
        <v>247</v>
      </c>
      <c r="AD4597" s="52" t="s">
        <v>1</v>
      </c>
      <c r="AE4597" s="52" t="s">
        <v>384</v>
      </c>
      <c r="AF4597" s="155" t="s">
        <v>247</v>
      </c>
      <c r="AG4597" s="155" t="s">
        <v>247</v>
      </c>
    </row>
    <row r="4598" spans="25:33">
      <c r="Y4598" s="47">
        <v>6633</v>
      </c>
      <c r="Z4598" s="52" t="s">
        <v>410</v>
      </c>
      <c r="AA4598" s="52" t="s">
        <v>247</v>
      </c>
      <c r="AB4598" s="52" t="s">
        <v>247</v>
      </c>
      <c r="AC4598" s="52" t="s">
        <v>247</v>
      </c>
      <c r="AD4598" s="52" t="s">
        <v>1</v>
      </c>
      <c r="AE4598" s="52" t="s">
        <v>384</v>
      </c>
      <c r="AF4598" s="155" t="s">
        <v>247</v>
      </c>
      <c r="AG4598" s="155" t="s">
        <v>247</v>
      </c>
    </row>
    <row r="4599" spans="25:33">
      <c r="Y4599" s="47">
        <v>6634</v>
      </c>
      <c r="Z4599" s="52" t="s">
        <v>410</v>
      </c>
      <c r="AA4599" s="52" t="s">
        <v>247</v>
      </c>
      <c r="AB4599" s="52" t="s">
        <v>247</v>
      </c>
      <c r="AC4599" s="52" t="s">
        <v>247</v>
      </c>
      <c r="AD4599" s="52" t="s">
        <v>1</v>
      </c>
      <c r="AE4599" s="52" t="s">
        <v>384</v>
      </c>
      <c r="AF4599" s="155" t="s">
        <v>247</v>
      </c>
      <c r="AG4599" s="155" t="s">
        <v>247</v>
      </c>
    </row>
    <row r="4600" spans="25:33">
      <c r="Y4600" s="47">
        <v>6635</v>
      </c>
      <c r="Z4600" s="52" t="s">
        <v>410</v>
      </c>
      <c r="AA4600" s="52" t="s">
        <v>247</v>
      </c>
      <c r="AB4600" s="52" t="s">
        <v>247</v>
      </c>
      <c r="AC4600" s="52" t="s">
        <v>247</v>
      </c>
      <c r="AD4600" s="52" t="s">
        <v>1</v>
      </c>
      <c r="AE4600" s="52" t="s">
        <v>384</v>
      </c>
      <c r="AF4600" s="155" t="s">
        <v>247</v>
      </c>
      <c r="AG4600" s="155" t="s">
        <v>247</v>
      </c>
    </row>
    <row r="4601" spans="25:33">
      <c r="Y4601" s="47">
        <v>6636</v>
      </c>
      <c r="Z4601" s="52" t="s">
        <v>410</v>
      </c>
      <c r="AA4601" s="52" t="s">
        <v>247</v>
      </c>
      <c r="AB4601" s="52" t="s">
        <v>247</v>
      </c>
      <c r="AC4601" s="52" t="s">
        <v>247</v>
      </c>
      <c r="AD4601" s="52" t="s">
        <v>1</v>
      </c>
      <c r="AE4601" s="52" t="s">
        <v>384</v>
      </c>
      <c r="AF4601" s="155" t="s">
        <v>247</v>
      </c>
      <c r="AG4601" s="155" t="s">
        <v>247</v>
      </c>
    </row>
    <row r="4602" spans="25:33">
      <c r="Y4602" s="47">
        <v>6637</v>
      </c>
      <c r="Z4602" s="52" t="s">
        <v>410</v>
      </c>
      <c r="AA4602" s="52" t="s">
        <v>247</v>
      </c>
      <c r="AB4602" s="52" t="s">
        <v>247</v>
      </c>
      <c r="AC4602" s="52" t="s">
        <v>247</v>
      </c>
      <c r="AD4602" s="52" t="s">
        <v>1</v>
      </c>
      <c r="AE4602" s="52" t="s">
        <v>384</v>
      </c>
      <c r="AF4602" s="155" t="s">
        <v>247</v>
      </c>
      <c r="AG4602" s="155" t="s">
        <v>247</v>
      </c>
    </row>
    <row r="4603" spans="25:33">
      <c r="Y4603" s="47">
        <v>6638</v>
      </c>
      <c r="Z4603" s="52" t="s">
        <v>410</v>
      </c>
      <c r="AA4603" s="52" t="s">
        <v>247</v>
      </c>
      <c r="AB4603" s="52" t="s">
        <v>247</v>
      </c>
      <c r="AC4603" s="52" t="s">
        <v>247</v>
      </c>
      <c r="AD4603" s="52" t="s">
        <v>1</v>
      </c>
      <c r="AE4603" s="52" t="s">
        <v>384</v>
      </c>
      <c r="AF4603" s="155" t="s">
        <v>247</v>
      </c>
      <c r="AG4603" s="155" t="s">
        <v>247</v>
      </c>
    </row>
    <row r="4604" spans="25:33">
      <c r="Y4604" s="47">
        <v>6639</v>
      </c>
      <c r="Z4604" s="52" t="s">
        <v>410</v>
      </c>
      <c r="AA4604" s="52" t="s">
        <v>247</v>
      </c>
      <c r="AB4604" s="52" t="s">
        <v>247</v>
      </c>
      <c r="AC4604" s="52" t="s">
        <v>247</v>
      </c>
      <c r="AD4604" s="52" t="s">
        <v>1</v>
      </c>
      <c r="AE4604" s="52" t="s">
        <v>384</v>
      </c>
      <c r="AF4604" s="155" t="s">
        <v>247</v>
      </c>
      <c r="AG4604" s="155" t="s">
        <v>247</v>
      </c>
    </row>
    <row r="4605" spans="25:33">
      <c r="Y4605" s="47">
        <v>6640</v>
      </c>
      <c r="Z4605" s="52" t="s">
        <v>410</v>
      </c>
      <c r="AA4605" s="52" t="s">
        <v>247</v>
      </c>
      <c r="AB4605" s="52" t="s">
        <v>247</v>
      </c>
      <c r="AC4605" s="52" t="s">
        <v>247</v>
      </c>
      <c r="AD4605" s="52" t="s">
        <v>1</v>
      </c>
      <c r="AE4605" s="52" t="s">
        <v>384</v>
      </c>
      <c r="AF4605" s="155" t="s">
        <v>247</v>
      </c>
      <c r="AG4605" s="155" t="s">
        <v>247</v>
      </c>
    </row>
    <row r="4606" spans="25:33">
      <c r="Y4606" s="47">
        <v>6642</v>
      </c>
      <c r="Z4606" s="52" t="s">
        <v>409</v>
      </c>
      <c r="AA4606" s="52" t="s">
        <v>247</v>
      </c>
      <c r="AB4606" s="52" t="s">
        <v>247</v>
      </c>
      <c r="AC4606" s="52" t="s">
        <v>247</v>
      </c>
      <c r="AD4606" s="52" t="s">
        <v>1</v>
      </c>
      <c r="AE4606" s="52" t="s">
        <v>384</v>
      </c>
      <c r="AF4606" s="155" t="s">
        <v>247</v>
      </c>
      <c r="AG4606" s="155" t="s">
        <v>247</v>
      </c>
    </row>
    <row r="4607" spans="25:33">
      <c r="Y4607" s="47">
        <v>6643</v>
      </c>
      <c r="Z4607" s="52" t="s">
        <v>409</v>
      </c>
      <c r="AA4607" s="52" t="s">
        <v>247</v>
      </c>
      <c r="AB4607" s="52" t="s">
        <v>247</v>
      </c>
      <c r="AC4607" s="52" t="s">
        <v>247</v>
      </c>
      <c r="AD4607" s="52" t="s">
        <v>1</v>
      </c>
      <c r="AE4607" s="52" t="s">
        <v>384</v>
      </c>
      <c r="AF4607" s="155" t="s">
        <v>247</v>
      </c>
      <c r="AG4607" s="155" t="s">
        <v>247</v>
      </c>
    </row>
    <row r="4608" spans="25:33">
      <c r="Y4608" s="47">
        <v>6644</v>
      </c>
      <c r="Z4608" s="52" t="s">
        <v>409</v>
      </c>
      <c r="AA4608" s="52" t="s">
        <v>247</v>
      </c>
      <c r="AB4608" s="52" t="s">
        <v>247</v>
      </c>
      <c r="AC4608" s="52" t="s">
        <v>247</v>
      </c>
      <c r="AD4608" s="52" t="s">
        <v>1</v>
      </c>
      <c r="AE4608" s="52" t="s">
        <v>384</v>
      </c>
      <c r="AF4608" s="155" t="s">
        <v>247</v>
      </c>
      <c r="AG4608" s="155" t="s">
        <v>247</v>
      </c>
    </row>
    <row r="4609" spans="25:33">
      <c r="Y4609" s="47">
        <v>6645</v>
      </c>
      <c r="Z4609" s="52" t="s">
        <v>409</v>
      </c>
      <c r="AA4609" s="52" t="s">
        <v>247</v>
      </c>
      <c r="AB4609" s="52" t="s">
        <v>247</v>
      </c>
      <c r="AC4609" s="52" t="s">
        <v>247</v>
      </c>
      <c r="AD4609" s="52" t="s">
        <v>1</v>
      </c>
      <c r="AE4609" s="52" t="s">
        <v>384</v>
      </c>
      <c r="AF4609" s="155" t="s">
        <v>247</v>
      </c>
      <c r="AG4609" s="155" t="s">
        <v>247</v>
      </c>
    </row>
    <row r="4610" spans="25:33">
      <c r="Y4610" s="47">
        <v>6646</v>
      </c>
      <c r="Z4610" s="52" t="s">
        <v>409</v>
      </c>
      <c r="AA4610" s="52" t="s">
        <v>247</v>
      </c>
      <c r="AB4610" s="52" t="s">
        <v>247</v>
      </c>
      <c r="AC4610" s="52" t="s">
        <v>247</v>
      </c>
      <c r="AD4610" s="52" t="s">
        <v>1</v>
      </c>
      <c r="AE4610" s="52" t="s">
        <v>384</v>
      </c>
      <c r="AF4610" s="155" t="s">
        <v>247</v>
      </c>
      <c r="AG4610" s="155" t="s">
        <v>247</v>
      </c>
    </row>
    <row r="4611" spans="25:33">
      <c r="Y4611" s="47">
        <v>6647</v>
      </c>
      <c r="Z4611" s="52" t="s">
        <v>409</v>
      </c>
      <c r="AA4611" s="52" t="s">
        <v>247</v>
      </c>
      <c r="AB4611" s="52" t="s">
        <v>247</v>
      </c>
      <c r="AC4611" s="52" t="s">
        <v>247</v>
      </c>
      <c r="AD4611" s="52" t="s">
        <v>1</v>
      </c>
      <c r="AE4611" s="52" t="s">
        <v>384</v>
      </c>
      <c r="AF4611" s="155" t="s">
        <v>247</v>
      </c>
      <c r="AG4611" s="155" t="s">
        <v>247</v>
      </c>
    </row>
    <row r="4612" spans="25:33">
      <c r="Y4612" s="47">
        <v>6648</v>
      </c>
      <c r="Z4612" s="52" t="s">
        <v>409</v>
      </c>
      <c r="AA4612" s="52" t="s">
        <v>247</v>
      </c>
      <c r="AB4612" s="52" t="s">
        <v>247</v>
      </c>
      <c r="AC4612" s="52" t="s">
        <v>247</v>
      </c>
      <c r="AD4612" s="52" t="s">
        <v>1</v>
      </c>
      <c r="AE4612" s="52" t="s">
        <v>384</v>
      </c>
      <c r="AF4612" s="155" t="s">
        <v>247</v>
      </c>
      <c r="AG4612" s="155" t="s">
        <v>247</v>
      </c>
    </row>
    <row r="4613" spans="25:33">
      <c r="Y4613" s="47">
        <v>6649</v>
      </c>
      <c r="Z4613" s="52" t="s">
        <v>409</v>
      </c>
      <c r="AA4613" s="52" t="s">
        <v>247</v>
      </c>
      <c r="AB4613" s="52" t="s">
        <v>247</v>
      </c>
      <c r="AC4613" s="52" t="s">
        <v>247</v>
      </c>
      <c r="AD4613" s="52" t="s">
        <v>1</v>
      </c>
      <c r="AE4613" s="52" t="s">
        <v>384</v>
      </c>
      <c r="AF4613" s="155" t="s">
        <v>247</v>
      </c>
      <c r="AG4613" s="155" t="s">
        <v>247</v>
      </c>
    </row>
    <row r="4614" spans="25:33">
      <c r="Y4614" s="47">
        <v>6650</v>
      </c>
      <c r="Z4614" s="52" t="s">
        <v>409</v>
      </c>
      <c r="AA4614" s="52" t="s">
        <v>247</v>
      </c>
      <c r="AB4614" s="52" t="s">
        <v>247</v>
      </c>
      <c r="AC4614" s="52" t="s">
        <v>247</v>
      </c>
      <c r="AD4614" s="52" t="s">
        <v>1</v>
      </c>
      <c r="AE4614" s="52" t="s">
        <v>384</v>
      </c>
      <c r="AF4614" s="155" t="s">
        <v>247</v>
      </c>
      <c r="AG4614" s="155" t="s">
        <v>247</v>
      </c>
    </row>
    <row r="4615" spans="25:33">
      <c r="Y4615" s="47">
        <v>6651</v>
      </c>
      <c r="Z4615" s="52" t="s">
        <v>409</v>
      </c>
      <c r="AA4615" s="52" t="s">
        <v>247</v>
      </c>
      <c r="AB4615" s="52" t="s">
        <v>247</v>
      </c>
      <c r="AC4615" s="52" t="s">
        <v>247</v>
      </c>
      <c r="AD4615" s="52" t="s">
        <v>1</v>
      </c>
      <c r="AE4615" s="52" t="s">
        <v>384</v>
      </c>
      <c r="AF4615" s="155" t="s">
        <v>247</v>
      </c>
      <c r="AG4615" s="155" t="s">
        <v>247</v>
      </c>
    </row>
    <row r="4616" spans="25:33">
      <c r="Y4616" s="47">
        <v>6652</v>
      </c>
      <c r="Z4616" s="52" t="s">
        <v>409</v>
      </c>
      <c r="AA4616" s="52" t="s">
        <v>247</v>
      </c>
      <c r="AB4616" s="52" t="s">
        <v>247</v>
      </c>
      <c r="AC4616" s="52" t="s">
        <v>247</v>
      </c>
      <c r="AD4616" s="52" t="s">
        <v>1</v>
      </c>
      <c r="AE4616" s="52" t="s">
        <v>384</v>
      </c>
      <c r="AF4616" s="155" t="s">
        <v>247</v>
      </c>
      <c r="AG4616" s="155" t="s">
        <v>247</v>
      </c>
    </row>
    <row r="4617" spans="25:33">
      <c r="Y4617" s="47">
        <v>6653</v>
      </c>
      <c r="Z4617" s="52" t="s">
        <v>409</v>
      </c>
      <c r="AA4617" s="52" t="s">
        <v>247</v>
      </c>
      <c r="AB4617" s="52" t="s">
        <v>247</v>
      </c>
      <c r="AC4617" s="52" t="s">
        <v>247</v>
      </c>
      <c r="AD4617" s="52" t="s">
        <v>1</v>
      </c>
      <c r="AE4617" s="52" t="s">
        <v>384</v>
      </c>
      <c r="AF4617" s="155" t="s">
        <v>247</v>
      </c>
      <c r="AG4617" s="155" t="s">
        <v>247</v>
      </c>
    </row>
    <row r="4618" spans="25:33">
      <c r="Y4618" s="47">
        <v>6654</v>
      </c>
      <c r="Z4618" s="52" t="s">
        <v>409</v>
      </c>
      <c r="AA4618" s="52" t="s">
        <v>247</v>
      </c>
      <c r="AB4618" s="52" t="s">
        <v>247</v>
      </c>
      <c r="AC4618" s="52" t="s">
        <v>247</v>
      </c>
      <c r="AD4618" s="52" t="s">
        <v>1</v>
      </c>
      <c r="AE4618" s="52" t="s">
        <v>384</v>
      </c>
      <c r="AF4618" s="155" t="s">
        <v>247</v>
      </c>
      <c r="AG4618" s="155" t="s">
        <v>247</v>
      </c>
    </row>
    <row r="4619" spans="25:33">
      <c r="Y4619" s="47">
        <v>6655</v>
      </c>
      <c r="Z4619" s="52" t="s">
        <v>409</v>
      </c>
      <c r="AA4619" s="52" t="s">
        <v>247</v>
      </c>
      <c r="AB4619" s="52" t="s">
        <v>247</v>
      </c>
      <c r="AC4619" s="52" t="s">
        <v>247</v>
      </c>
      <c r="AD4619" s="52" t="s">
        <v>1</v>
      </c>
      <c r="AE4619" s="52" t="s">
        <v>384</v>
      </c>
      <c r="AF4619" s="155" t="s">
        <v>247</v>
      </c>
      <c r="AG4619" s="155" t="s">
        <v>247</v>
      </c>
    </row>
    <row r="4620" spans="25:33">
      <c r="Y4620" s="47">
        <v>6656</v>
      </c>
      <c r="Z4620" s="52" t="s">
        <v>409</v>
      </c>
      <c r="AA4620" s="52" t="s">
        <v>247</v>
      </c>
      <c r="AB4620" s="52" t="s">
        <v>247</v>
      </c>
      <c r="AC4620" s="52" t="s">
        <v>247</v>
      </c>
      <c r="AD4620" s="52" t="s">
        <v>1</v>
      </c>
      <c r="AE4620" s="52" t="s">
        <v>384</v>
      </c>
      <c r="AF4620" s="155" t="s">
        <v>247</v>
      </c>
      <c r="AG4620" s="155" t="s">
        <v>247</v>
      </c>
    </row>
    <row r="4621" spans="25:33">
      <c r="Y4621" s="47">
        <v>6657</v>
      </c>
      <c r="Z4621" s="52" t="s">
        <v>409</v>
      </c>
      <c r="AA4621" s="52" t="s">
        <v>247</v>
      </c>
      <c r="AB4621" s="52" t="s">
        <v>247</v>
      </c>
      <c r="AC4621" s="52" t="s">
        <v>247</v>
      </c>
      <c r="AD4621" s="52" t="s">
        <v>1</v>
      </c>
      <c r="AE4621" s="52" t="s">
        <v>384</v>
      </c>
      <c r="AF4621" s="155" t="s">
        <v>247</v>
      </c>
      <c r="AG4621" s="155" t="s">
        <v>247</v>
      </c>
    </row>
    <row r="4622" spans="25:33">
      <c r="Y4622" s="47">
        <v>6658</v>
      </c>
      <c r="Z4622" s="52" t="s">
        <v>409</v>
      </c>
      <c r="AA4622" s="52" t="s">
        <v>247</v>
      </c>
      <c r="AB4622" s="52" t="s">
        <v>247</v>
      </c>
      <c r="AC4622" s="52" t="s">
        <v>247</v>
      </c>
      <c r="AD4622" s="52" t="s">
        <v>1</v>
      </c>
      <c r="AE4622" s="52" t="s">
        <v>384</v>
      </c>
      <c r="AF4622" s="155" t="s">
        <v>247</v>
      </c>
      <c r="AG4622" s="155" t="s">
        <v>247</v>
      </c>
    </row>
    <row r="4623" spans="25:33">
      <c r="Y4623" s="47">
        <v>6659</v>
      </c>
      <c r="Z4623" s="52" t="s">
        <v>409</v>
      </c>
      <c r="AA4623" s="52" t="s">
        <v>247</v>
      </c>
      <c r="AB4623" s="52" t="s">
        <v>247</v>
      </c>
      <c r="AC4623" s="52" t="s">
        <v>247</v>
      </c>
      <c r="AD4623" s="52" t="s">
        <v>1</v>
      </c>
      <c r="AE4623" s="52" t="s">
        <v>384</v>
      </c>
      <c r="AF4623" s="155" t="s">
        <v>247</v>
      </c>
      <c r="AG4623" s="155" t="s">
        <v>247</v>
      </c>
    </row>
    <row r="4624" spans="25:33">
      <c r="Y4624" s="47">
        <v>6660</v>
      </c>
      <c r="Z4624" s="52" t="s">
        <v>409</v>
      </c>
      <c r="AA4624" s="52" t="s">
        <v>247</v>
      </c>
      <c r="AB4624" s="52" t="s">
        <v>247</v>
      </c>
      <c r="AC4624" s="52" t="s">
        <v>247</v>
      </c>
      <c r="AD4624" s="52" t="s">
        <v>1</v>
      </c>
      <c r="AE4624" s="52" t="s">
        <v>384</v>
      </c>
      <c r="AF4624" s="155" t="s">
        <v>247</v>
      </c>
      <c r="AG4624" s="155" t="s">
        <v>247</v>
      </c>
    </row>
    <row r="4625" spans="25:33">
      <c r="Y4625" s="47">
        <v>6661</v>
      </c>
      <c r="Z4625" s="52" t="s">
        <v>409</v>
      </c>
      <c r="AA4625" s="52" t="s">
        <v>247</v>
      </c>
      <c r="AB4625" s="52" t="s">
        <v>247</v>
      </c>
      <c r="AC4625" s="52" t="s">
        <v>247</v>
      </c>
      <c r="AD4625" s="52" t="s">
        <v>1</v>
      </c>
      <c r="AE4625" s="52" t="s">
        <v>384</v>
      </c>
      <c r="AF4625" s="155" t="s">
        <v>247</v>
      </c>
      <c r="AG4625" s="155" t="s">
        <v>247</v>
      </c>
    </row>
    <row r="4626" spans="25:33">
      <c r="Y4626" s="47">
        <v>6662</v>
      </c>
      <c r="Z4626" s="52" t="s">
        <v>409</v>
      </c>
      <c r="AA4626" s="52" t="s">
        <v>247</v>
      </c>
      <c r="AB4626" s="52" t="s">
        <v>247</v>
      </c>
      <c r="AC4626" s="52" t="s">
        <v>247</v>
      </c>
      <c r="AD4626" s="52" t="s">
        <v>1</v>
      </c>
      <c r="AE4626" s="52" t="s">
        <v>384</v>
      </c>
      <c r="AF4626" s="155" t="s">
        <v>247</v>
      </c>
      <c r="AG4626" s="155" t="s">
        <v>247</v>
      </c>
    </row>
    <row r="4627" spans="25:33">
      <c r="Y4627" s="47">
        <v>6663</v>
      </c>
      <c r="Z4627" s="52" t="s">
        <v>409</v>
      </c>
      <c r="AA4627" s="52" t="s">
        <v>247</v>
      </c>
      <c r="AB4627" s="52" t="s">
        <v>247</v>
      </c>
      <c r="AC4627" s="52" t="s">
        <v>247</v>
      </c>
      <c r="AD4627" s="52" t="s">
        <v>1</v>
      </c>
      <c r="AE4627" s="52" t="s">
        <v>384</v>
      </c>
      <c r="AF4627" s="155" t="s">
        <v>247</v>
      </c>
      <c r="AG4627" s="155" t="s">
        <v>247</v>
      </c>
    </row>
    <row r="4628" spans="25:33">
      <c r="Y4628" s="47">
        <v>6664</v>
      </c>
      <c r="Z4628" s="52" t="s">
        <v>409</v>
      </c>
      <c r="AA4628" s="52" t="s">
        <v>247</v>
      </c>
      <c r="AB4628" s="52" t="s">
        <v>247</v>
      </c>
      <c r="AC4628" s="52" t="s">
        <v>247</v>
      </c>
      <c r="AD4628" s="52" t="s">
        <v>1</v>
      </c>
      <c r="AE4628" s="52" t="s">
        <v>384</v>
      </c>
      <c r="AF4628" s="155" t="s">
        <v>247</v>
      </c>
      <c r="AG4628" s="155" t="s">
        <v>247</v>
      </c>
    </row>
    <row r="4629" spans="25:33">
      <c r="Y4629" s="47">
        <v>6665</v>
      </c>
      <c r="Z4629" s="52" t="s">
        <v>409</v>
      </c>
      <c r="AA4629" s="52" t="s">
        <v>247</v>
      </c>
      <c r="AB4629" s="52" t="s">
        <v>247</v>
      </c>
      <c r="AC4629" s="52" t="s">
        <v>247</v>
      </c>
      <c r="AD4629" s="52" t="s">
        <v>1</v>
      </c>
      <c r="AE4629" s="52" t="s">
        <v>384</v>
      </c>
      <c r="AF4629" s="155" t="s">
        <v>247</v>
      </c>
      <c r="AG4629" s="155" t="s">
        <v>247</v>
      </c>
    </row>
    <row r="4630" spans="25:33">
      <c r="Y4630" s="47">
        <v>6666</v>
      </c>
      <c r="Z4630" s="52" t="s">
        <v>409</v>
      </c>
      <c r="AA4630" s="52" t="s">
        <v>247</v>
      </c>
      <c r="AB4630" s="52" t="s">
        <v>247</v>
      </c>
      <c r="AC4630" s="52" t="s">
        <v>247</v>
      </c>
      <c r="AD4630" s="52" t="s">
        <v>1</v>
      </c>
      <c r="AE4630" s="52" t="s">
        <v>384</v>
      </c>
      <c r="AF4630" s="155" t="s">
        <v>247</v>
      </c>
      <c r="AG4630" s="155" t="s">
        <v>247</v>
      </c>
    </row>
    <row r="4631" spans="25:33">
      <c r="Y4631" s="47">
        <v>6667</v>
      </c>
      <c r="Z4631" s="52" t="s">
        <v>409</v>
      </c>
      <c r="AA4631" s="52" t="s">
        <v>247</v>
      </c>
      <c r="AB4631" s="52" t="s">
        <v>247</v>
      </c>
      <c r="AC4631" s="52" t="s">
        <v>247</v>
      </c>
      <c r="AD4631" s="52" t="s">
        <v>1</v>
      </c>
      <c r="AE4631" s="52" t="s">
        <v>384</v>
      </c>
      <c r="AF4631" s="155" t="s">
        <v>247</v>
      </c>
      <c r="AG4631" s="155" t="s">
        <v>247</v>
      </c>
    </row>
    <row r="4632" spans="25:33">
      <c r="Y4632" s="47">
        <v>6668</v>
      </c>
      <c r="Z4632" s="52" t="s">
        <v>409</v>
      </c>
      <c r="AA4632" s="52" t="s">
        <v>247</v>
      </c>
      <c r="AB4632" s="52" t="s">
        <v>247</v>
      </c>
      <c r="AC4632" s="52" t="s">
        <v>247</v>
      </c>
      <c r="AD4632" s="52" t="s">
        <v>1</v>
      </c>
      <c r="AE4632" s="52" t="s">
        <v>384</v>
      </c>
      <c r="AF4632" s="155" t="s">
        <v>247</v>
      </c>
      <c r="AG4632" s="155" t="s">
        <v>247</v>
      </c>
    </row>
    <row r="4633" spans="25:33">
      <c r="Y4633" s="47">
        <v>6669</v>
      </c>
      <c r="Z4633" s="52" t="s">
        <v>409</v>
      </c>
      <c r="AA4633" s="52" t="s">
        <v>247</v>
      </c>
      <c r="AB4633" s="52" t="s">
        <v>247</v>
      </c>
      <c r="AC4633" s="52" t="s">
        <v>247</v>
      </c>
      <c r="AD4633" s="52" t="s">
        <v>1</v>
      </c>
      <c r="AE4633" s="52" t="s">
        <v>384</v>
      </c>
      <c r="AF4633" s="155" t="s">
        <v>247</v>
      </c>
      <c r="AG4633" s="155" t="s">
        <v>247</v>
      </c>
    </row>
    <row r="4634" spans="25:33">
      <c r="Y4634" s="47">
        <v>6670</v>
      </c>
      <c r="Z4634" s="52" t="s">
        <v>409</v>
      </c>
      <c r="AA4634" s="52" t="s">
        <v>247</v>
      </c>
      <c r="AB4634" s="52" t="s">
        <v>247</v>
      </c>
      <c r="AC4634" s="52" t="s">
        <v>247</v>
      </c>
      <c r="AD4634" s="52" t="s">
        <v>1</v>
      </c>
      <c r="AE4634" s="52" t="s">
        <v>384</v>
      </c>
      <c r="AF4634" s="155" t="s">
        <v>247</v>
      </c>
      <c r="AG4634" s="155" t="s">
        <v>247</v>
      </c>
    </row>
    <row r="4635" spans="25:33">
      <c r="Y4635" s="47">
        <v>6671</v>
      </c>
      <c r="Z4635" s="52" t="s">
        <v>409</v>
      </c>
      <c r="AA4635" s="52" t="s">
        <v>247</v>
      </c>
      <c r="AB4635" s="52" t="s">
        <v>247</v>
      </c>
      <c r="AC4635" s="52" t="s">
        <v>247</v>
      </c>
      <c r="AD4635" s="52" t="s">
        <v>1</v>
      </c>
      <c r="AE4635" s="52" t="s">
        <v>384</v>
      </c>
      <c r="AF4635" s="155" t="s">
        <v>247</v>
      </c>
      <c r="AG4635" s="155" t="s">
        <v>247</v>
      </c>
    </row>
    <row r="4636" spans="25:33">
      <c r="Y4636" s="47">
        <v>6672</v>
      </c>
      <c r="Z4636" s="52" t="s">
        <v>409</v>
      </c>
      <c r="AA4636" s="52" t="s">
        <v>247</v>
      </c>
      <c r="AB4636" s="52" t="s">
        <v>247</v>
      </c>
      <c r="AC4636" s="52" t="s">
        <v>247</v>
      </c>
      <c r="AD4636" s="52" t="s">
        <v>1</v>
      </c>
      <c r="AE4636" s="52" t="s">
        <v>384</v>
      </c>
      <c r="AF4636" s="155" t="s">
        <v>247</v>
      </c>
      <c r="AG4636" s="155" t="s">
        <v>247</v>
      </c>
    </row>
    <row r="4637" spans="25:33">
      <c r="Y4637" s="47">
        <v>6673</v>
      </c>
      <c r="Z4637" s="52" t="s">
        <v>409</v>
      </c>
      <c r="AA4637" s="52" t="s">
        <v>247</v>
      </c>
      <c r="AB4637" s="52" t="s">
        <v>247</v>
      </c>
      <c r="AC4637" s="52" t="s">
        <v>247</v>
      </c>
      <c r="AD4637" s="52" t="s">
        <v>1</v>
      </c>
      <c r="AE4637" s="52" t="s">
        <v>384</v>
      </c>
      <c r="AF4637" s="155" t="s">
        <v>247</v>
      </c>
      <c r="AG4637" s="155" t="s">
        <v>247</v>
      </c>
    </row>
    <row r="4638" spans="25:33">
      <c r="Y4638" s="47">
        <v>6674</v>
      </c>
      <c r="Z4638" s="52" t="s">
        <v>409</v>
      </c>
      <c r="AA4638" s="52" t="s">
        <v>247</v>
      </c>
      <c r="AB4638" s="52" t="s">
        <v>247</v>
      </c>
      <c r="AC4638" s="52" t="s">
        <v>247</v>
      </c>
      <c r="AD4638" s="52" t="s">
        <v>1</v>
      </c>
      <c r="AE4638" s="52" t="s">
        <v>384</v>
      </c>
      <c r="AF4638" s="155" t="s">
        <v>247</v>
      </c>
      <c r="AG4638" s="155" t="s">
        <v>247</v>
      </c>
    </row>
    <row r="4639" spans="25:33">
      <c r="Y4639" s="47">
        <v>6675</v>
      </c>
      <c r="Z4639" s="52" t="s">
        <v>409</v>
      </c>
      <c r="AA4639" s="52" t="s">
        <v>247</v>
      </c>
      <c r="AB4639" s="52" t="s">
        <v>247</v>
      </c>
      <c r="AC4639" s="52" t="s">
        <v>247</v>
      </c>
      <c r="AD4639" s="52" t="s">
        <v>1</v>
      </c>
      <c r="AE4639" s="52" t="s">
        <v>384</v>
      </c>
      <c r="AF4639" s="155" t="s">
        <v>247</v>
      </c>
      <c r="AG4639" s="155" t="s">
        <v>247</v>
      </c>
    </row>
    <row r="4640" spans="25:33">
      <c r="Y4640" s="47">
        <v>6676</v>
      </c>
      <c r="Z4640" s="52" t="s">
        <v>409</v>
      </c>
      <c r="AA4640" s="52" t="s">
        <v>247</v>
      </c>
      <c r="AB4640" s="52" t="s">
        <v>247</v>
      </c>
      <c r="AC4640" s="52" t="s">
        <v>247</v>
      </c>
      <c r="AD4640" s="52" t="s">
        <v>1</v>
      </c>
      <c r="AE4640" s="52" t="s">
        <v>384</v>
      </c>
      <c r="AF4640" s="155" t="s">
        <v>247</v>
      </c>
      <c r="AG4640" s="155" t="s">
        <v>247</v>
      </c>
    </row>
    <row r="4641" spans="25:33">
      <c r="Y4641" s="47">
        <v>6677</v>
      </c>
      <c r="Z4641" s="52" t="s">
        <v>409</v>
      </c>
      <c r="AA4641" s="52" t="s">
        <v>247</v>
      </c>
      <c r="AB4641" s="52" t="s">
        <v>247</v>
      </c>
      <c r="AC4641" s="52" t="s">
        <v>247</v>
      </c>
      <c r="AD4641" s="52" t="s">
        <v>1</v>
      </c>
      <c r="AE4641" s="52" t="s">
        <v>384</v>
      </c>
      <c r="AF4641" s="155" t="s">
        <v>247</v>
      </c>
      <c r="AG4641" s="155" t="s">
        <v>247</v>
      </c>
    </row>
    <row r="4642" spans="25:33">
      <c r="Y4642" s="47">
        <v>6678</v>
      </c>
      <c r="Z4642" s="52" t="s">
        <v>409</v>
      </c>
      <c r="AA4642" s="52" t="s">
        <v>247</v>
      </c>
      <c r="AB4642" s="52" t="s">
        <v>247</v>
      </c>
      <c r="AC4642" s="52" t="s">
        <v>247</v>
      </c>
      <c r="AD4642" s="52" t="s">
        <v>1</v>
      </c>
      <c r="AE4642" s="52" t="s">
        <v>384</v>
      </c>
      <c r="AF4642" s="155" t="s">
        <v>247</v>
      </c>
      <c r="AG4642" s="155" t="s">
        <v>247</v>
      </c>
    </row>
    <row r="4643" spans="25:33">
      <c r="Y4643" s="47">
        <v>6679</v>
      </c>
      <c r="Z4643" s="52" t="s">
        <v>409</v>
      </c>
      <c r="AA4643" s="52" t="s">
        <v>247</v>
      </c>
      <c r="AB4643" s="52" t="s">
        <v>247</v>
      </c>
      <c r="AC4643" s="52" t="s">
        <v>247</v>
      </c>
      <c r="AD4643" s="52" t="s">
        <v>1</v>
      </c>
      <c r="AE4643" s="52" t="s">
        <v>384</v>
      </c>
      <c r="AF4643" s="155" t="s">
        <v>247</v>
      </c>
      <c r="AG4643" s="155" t="s">
        <v>247</v>
      </c>
    </row>
    <row r="4644" spans="25:33">
      <c r="Y4644" s="47">
        <v>6680</v>
      </c>
      <c r="Z4644" s="52" t="s">
        <v>409</v>
      </c>
      <c r="AA4644" s="52" t="s">
        <v>247</v>
      </c>
      <c r="AB4644" s="52" t="s">
        <v>247</v>
      </c>
      <c r="AC4644" s="52" t="s">
        <v>247</v>
      </c>
      <c r="AD4644" s="52" t="s">
        <v>1</v>
      </c>
      <c r="AE4644" s="52" t="s">
        <v>384</v>
      </c>
      <c r="AF4644" s="155" t="s">
        <v>247</v>
      </c>
      <c r="AG4644" s="155" t="s">
        <v>247</v>
      </c>
    </row>
    <row r="4645" spans="25:33">
      <c r="Y4645" s="47">
        <v>6681</v>
      </c>
      <c r="Z4645" s="52" t="s">
        <v>409</v>
      </c>
      <c r="AA4645" s="52" t="s">
        <v>247</v>
      </c>
      <c r="AB4645" s="52" t="s">
        <v>247</v>
      </c>
      <c r="AC4645" s="52" t="s">
        <v>247</v>
      </c>
      <c r="AD4645" s="52" t="s">
        <v>1</v>
      </c>
      <c r="AE4645" s="52" t="s">
        <v>384</v>
      </c>
      <c r="AF4645" s="155" t="s">
        <v>247</v>
      </c>
      <c r="AG4645" s="155" t="s">
        <v>247</v>
      </c>
    </row>
    <row r="4646" spans="25:33">
      <c r="Y4646" s="47">
        <v>6682</v>
      </c>
      <c r="Z4646" s="52" t="s">
        <v>409</v>
      </c>
      <c r="AA4646" s="52" t="s">
        <v>247</v>
      </c>
      <c r="AB4646" s="52" t="s">
        <v>247</v>
      </c>
      <c r="AC4646" s="52" t="s">
        <v>247</v>
      </c>
      <c r="AD4646" s="52" t="s">
        <v>1</v>
      </c>
      <c r="AE4646" s="52" t="s">
        <v>384</v>
      </c>
      <c r="AF4646" s="155" t="s">
        <v>247</v>
      </c>
      <c r="AG4646" s="155" t="s">
        <v>247</v>
      </c>
    </row>
    <row r="4647" spans="25:33">
      <c r="Y4647" s="47">
        <v>6683</v>
      </c>
      <c r="Z4647" s="52" t="s">
        <v>409</v>
      </c>
      <c r="AA4647" s="52" t="s">
        <v>247</v>
      </c>
      <c r="AB4647" s="52" t="s">
        <v>247</v>
      </c>
      <c r="AC4647" s="52" t="s">
        <v>247</v>
      </c>
      <c r="AD4647" s="52" t="s">
        <v>1</v>
      </c>
      <c r="AE4647" s="52" t="s">
        <v>384</v>
      </c>
      <c r="AF4647" s="155" t="s">
        <v>247</v>
      </c>
      <c r="AG4647" s="155" t="s">
        <v>247</v>
      </c>
    </row>
    <row r="4648" spans="25:33">
      <c r="Y4648" s="47">
        <v>6684</v>
      </c>
      <c r="Z4648" s="52" t="s">
        <v>409</v>
      </c>
      <c r="AA4648" s="52" t="s">
        <v>247</v>
      </c>
      <c r="AB4648" s="52" t="s">
        <v>247</v>
      </c>
      <c r="AC4648" s="52" t="s">
        <v>247</v>
      </c>
      <c r="AD4648" s="52" t="s">
        <v>1</v>
      </c>
      <c r="AE4648" s="52" t="s">
        <v>384</v>
      </c>
      <c r="AF4648" s="155" t="s">
        <v>247</v>
      </c>
      <c r="AG4648" s="155" t="s">
        <v>247</v>
      </c>
    </row>
    <row r="4649" spans="25:33">
      <c r="Y4649" s="47">
        <v>6685</v>
      </c>
      <c r="Z4649" s="52" t="s">
        <v>409</v>
      </c>
      <c r="AA4649" s="52" t="s">
        <v>247</v>
      </c>
      <c r="AB4649" s="52" t="s">
        <v>247</v>
      </c>
      <c r="AC4649" s="52" t="s">
        <v>247</v>
      </c>
      <c r="AD4649" s="52" t="s">
        <v>1</v>
      </c>
      <c r="AE4649" s="52" t="s">
        <v>384</v>
      </c>
      <c r="AF4649" s="155" t="s">
        <v>247</v>
      </c>
      <c r="AG4649" s="155" t="s">
        <v>247</v>
      </c>
    </row>
    <row r="4650" spans="25:33">
      <c r="Y4650" s="47">
        <v>6686</v>
      </c>
      <c r="Z4650" s="52" t="s">
        <v>409</v>
      </c>
      <c r="AA4650" s="52" t="s">
        <v>247</v>
      </c>
      <c r="AB4650" s="52" t="s">
        <v>247</v>
      </c>
      <c r="AC4650" s="52" t="s">
        <v>247</v>
      </c>
      <c r="AD4650" s="52" t="s">
        <v>1</v>
      </c>
      <c r="AE4650" s="52" t="s">
        <v>384</v>
      </c>
      <c r="AF4650" s="155" t="s">
        <v>247</v>
      </c>
      <c r="AG4650" s="155" t="s">
        <v>247</v>
      </c>
    </row>
    <row r="4651" spans="25:33">
      <c r="Y4651" s="47">
        <v>6687</v>
      </c>
      <c r="Z4651" s="52" t="s">
        <v>409</v>
      </c>
      <c r="AA4651" s="52" t="s">
        <v>247</v>
      </c>
      <c r="AB4651" s="52" t="s">
        <v>247</v>
      </c>
      <c r="AC4651" s="52" t="s">
        <v>247</v>
      </c>
      <c r="AD4651" s="52" t="s">
        <v>1</v>
      </c>
      <c r="AE4651" s="52" t="s">
        <v>384</v>
      </c>
      <c r="AF4651" s="155" t="s">
        <v>247</v>
      </c>
      <c r="AG4651" s="155" t="s">
        <v>247</v>
      </c>
    </row>
    <row r="4652" spans="25:33">
      <c r="Y4652" s="47">
        <v>6688</v>
      </c>
      <c r="Z4652" s="52" t="s">
        <v>409</v>
      </c>
      <c r="AA4652" s="52" t="s">
        <v>247</v>
      </c>
      <c r="AB4652" s="52" t="s">
        <v>247</v>
      </c>
      <c r="AC4652" s="52" t="s">
        <v>247</v>
      </c>
      <c r="AD4652" s="52" t="s">
        <v>1</v>
      </c>
      <c r="AE4652" s="52" t="s">
        <v>384</v>
      </c>
      <c r="AF4652" s="155" t="s">
        <v>247</v>
      </c>
      <c r="AG4652" s="155" t="s">
        <v>247</v>
      </c>
    </row>
    <row r="4653" spans="25:33">
      <c r="Y4653" s="47">
        <v>6689</v>
      </c>
      <c r="Z4653" s="52" t="s">
        <v>409</v>
      </c>
      <c r="AA4653" s="52" t="s">
        <v>247</v>
      </c>
      <c r="AB4653" s="52" t="s">
        <v>247</v>
      </c>
      <c r="AC4653" s="52" t="s">
        <v>247</v>
      </c>
      <c r="AD4653" s="52" t="s">
        <v>1</v>
      </c>
      <c r="AE4653" s="52" t="s">
        <v>384</v>
      </c>
      <c r="AF4653" s="155" t="s">
        <v>247</v>
      </c>
      <c r="AG4653" s="155" t="s">
        <v>247</v>
      </c>
    </row>
    <row r="4654" spans="25:33">
      <c r="Y4654" s="47">
        <v>6690</v>
      </c>
      <c r="Z4654" s="52" t="s">
        <v>409</v>
      </c>
      <c r="AA4654" s="52" t="s">
        <v>247</v>
      </c>
      <c r="AB4654" s="52" t="s">
        <v>247</v>
      </c>
      <c r="AC4654" s="52" t="s">
        <v>247</v>
      </c>
      <c r="AD4654" s="52" t="s">
        <v>1</v>
      </c>
      <c r="AE4654" s="52" t="s">
        <v>384</v>
      </c>
      <c r="AF4654" s="155" t="s">
        <v>247</v>
      </c>
      <c r="AG4654" s="155" t="s">
        <v>247</v>
      </c>
    </row>
    <row r="4655" spans="25:33">
      <c r="Y4655" s="47">
        <v>6691</v>
      </c>
      <c r="Z4655" s="52" t="s">
        <v>409</v>
      </c>
      <c r="AA4655" s="52" t="s">
        <v>247</v>
      </c>
      <c r="AB4655" s="52" t="s">
        <v>247</v>
      </c>
      <c r="AC4655" s="52" t="s">
        <v>247</v>
      </c>
      <c r="AD4655" s="52" t="s">
        <v>1</v>
      </c>
      <c r="AE4655" s="52" t="s">
        <v>384</v>
      </c>
      <c r="AF4655" s="155" t="s">
        <v>247</v>
      </c>
      <c r="AG4655" s="155" t="s">
        <v>247</v>
      </c>
    </row>
    <row r="4656" spans="25:33">
      <c r="Y4656" s="47">
        <v>6692</v>
      </c>
      <c r="Z4656" s="52" t="s">
        <v>409</v>
      </c>
      <c r="AA4656" s="52" t="s">
        <v>247</v>
      </c>
      <c r="AB4656" s="52" t="s">
        <v>247</v>
      </c>
      <c r="AC4656" s="52" t="s">
        <v>247</v>
      </c>
      <c r="AD4656" s="52" t="s">
        <v>1</v>
      </c>
      <c r="AE4656" s="52" t="s">
        <v>384</v>
      </c>
      <c r="AF4656" s="155" t="s">
        <v>247</v>
      </c>
      <c r="AG4656" s="155" t="s">
        <v>247</v>
      </c>
    </row>
    <row r="4657" spans="25:33">
      <c r="Y4657" s="47">
        <v>6693</v>
      </c>
      <c r="Z4657" s="52" t="s">
        <v>409</v>
      </c>
      <c r="AA4657" s="52" t="s">
        <v>247</v>
      </c>
      <c r="AB4657" s="52" t="s">
        <v>247</v>
      </c>
      <c r="AC4657" s="52" t="s">
        <v>247</v>
      </c>
      <c r="AD4657" s="52" t="s">
        <v>1</v>
      </c>
      <c r="AE4657" s="52" t="s">
        <v>384</v>
      </c>
      <c r="AF4657" s="155" t="s">
        <v>247</v>
      </c>
      <c r="AG4657" s="155" t="s">
        <v>247</v>
      </c>
    </row>
    <row r="4658" spans="25:33">
      <c r="Y4658" s="47">
        <v>6694</v>
      </c>
      <c r="Z4658" s="52" t="s">
        <v>409</v>
      </c>
      <c r="AA4658" s="52" t="s">
        <v>247</v>
      </c>
      <c r="AB4658" s="52" t="s">
        <v>247</v>
      </c>
      <c r="AC4658" s="52" t="s">
        <v>247</v>
      </c>
      <c r="AD4658" s="52" t="s">
        <v>1</v>
      </c>
      <c r="AE4658" s="52" t="s">
        <v>384</v>
      </c>
      <c r="AF4658" s="155" t="s">
        <v>247</v>
      </c>
      <c r="AG4658" s="155" t="s">
        <v>247</v>
      </c>
    </row>
    <row r="4659" spans="25:33">
      <c r="Y4659" s="47">
        <v>6695</v>
      </c>
      <c r="Z4659" s="52" t="s">
        <v>409</v>
      </c>
      <c r="AA4659" s="52" t="s">
        <v>247</v>
      </c>
      <c r="AB4659" s="52" t="s">
        <v>247</v>
      </c>
      <c r="AC4659" s="52" t="s">
        <v>247</v>
      </c>
      <c r="AD4659" s="52" t="s">
        <v>1</v>
      </c>
      <c r="AE4659" s="52" t="s">
        <v>384</v>
      </c>
      <c r="AF4659" s="155" t="s">
        <v>247</v>
      </c>
      <c r="AG4659" s="155" t="s">
        <v>247</v>
      </c>
    </row>
    <row r="4660" spans="25:33">
      <c r="Y4660" s="47">
        <v>6696</v>
      </c>
      <c r="Z4660" s="52" t="s">
        <v>409</v>
      </c>
      <c r="AA4660" s="52" t="s">
        <v>247</v>
      </c>
      <c r="AB4660" s="52" t="s">
        <v>247</v>
      </c>
      <c r="AC4660" s="52" t="s">
        <v>247</v>
      </c>
      <c r="AD4660" s="52" t="s">
        <v>1</v>
      </c>
      <c r="AE4660" s="52" t="s">
        <v>384</v>
      </c>
      <c r="AF4660" s="155" t="s">
        <v>247</v>
      </c>
      <c r="AG4660" s="155" t="s">
        <v>247</v>
      </c>
    </row>
    <row r="4661" spans="25:33">
      <c r="Y4661" s="47">
        <v>6697</v>
      </c>
      <c r="Z4661" s="52" t="s">
        <v>409</v>
      </c>
      <c r="AA4661" s="52" t="s">
        <v>247</v>
      </c>
      <c r="AB4661" s="52" t="s">
        <v>247</v>
      </c>
      <c r="AC4661" s="52" t="s">
        <v>247</v>
      </c>
      <c r="AD4661" s="52" t="s">
        <v>1</v>
      </c>
      <c r="AE4661" s="52" t="s">
        <v>384</v>
      </c>
      <c r="AF4661" s="155" t="s">
        <v>247</v>
      </c>
      <c r="AG4661" s="155" t="s">
        <v>247</v>
      </c>
    </row>
    <row r="4662" spans="25:33">
      <c r="Y4662" s="47">
        <v>6698</v>
      </c>
      <c r="Z4662" s="52" t="s">
        <v>409</v>
      </c>
      <c r="AA4662" s="52" t="s">
        <v>247</v>
      </c>
      <c r="AB4662" s="52" t="s">
        <v>247</v>
      </c>
      <c r="AC4662" s="52" t="s">
        <v>247</v>
      </c>
      <c r="AD4662" s="52" t="s">
        <v>1</v>
      </c>
      <c r="AE4662" s="52" t="s">
        <v>384</v>
      </c>
      <c r="AF4662" s="155" t="s">
        <v>247</v>
      </c>
      <c r="AG4662" s="155" t="s">
        <v>247</v>
      </c>
    </row>
    <row r="4663" spans="25:33">
      <c r="Y4663" s="47">
        <v>6699</v>
      </c>
      <c r="Z4663" s="52" t="s">
        <v>409</v>
      </c>
      <c r="AA4663" s="52" t="s">
        <v>247</v>
      </c>
      <c r="AB4663" s="52" t="s">
        <v>247</v>
      </c>
      <c r="AC4663" s="52" t="s">
        <v>247</v>
      </c>
      <c r="AD4663" s="52" t="s">
        <v>1</v>
      </c>
      <c r="AE4663" s="52" t="s">
        <v>384</v>
      </c>
      <c r="AF4663" s="155" t="s">
        <v>247</v>
      </c>
      <c r="AG4663" s="155" t="s">
        <v>247</v>
      </c>
    </row>
    <row r="4664" spans="25:33">
      <c r="Y4664" s="47">
        <v>6700</v>
      </c>
      <c r="Z4664" s="52" t="s">
        <v>409</v>
      </c>
      <c r="AA4664" s="52" t="s">
        <v>247</v>
      </c>
      <c r="AB4664" s="52" t="s">
        <v>247</v>
      </c>
      <c r="AC4664" s="52" t="s">
        <v>247</v>
      </c>
      <c r="AD4664" s="52" t="s">
        <v>1</v>
      </c>
      <c r="AE4664" s="52" t="s">
        <v>384</v>
      </c>
      <c r="AF4664" s="155" t="s">
        <v>247</v>
      </c>
      <c r="AG4664" s="155" t="s">
        <v>247</v>
      </c>
    </row>
    <row r="4665" spans="25:33">
      <c r="Y4665" s="47">
        <v>6701</v>
      </c>
      <c r="Z4665" s="52" t="s">
        <v>409</v>
      </c>
      <c r="AA4665" s="52" t="s">
        <v>247</v>
      </c>
      <c r="AB4665" s="52" t="s">
        <v>247</v>
      </c>
      <c r="AC4665" s="52" t="s">
        <v>247</v>
      </c>
      <c r="AD4665" s="52" t="s">
        <v>1</v>
      </c>
      <c r="AE4665" s="52" t="s">
        <v>384</v>
      </c>
      <c r="AF4665" s="155" t="s">
        <v>247</v>
      </c>
      <c r="AG4665" s="155" t="s">
        <v>247</v>
      </c>
    </row>
    <row r="4666" spans="25:33">
      <c r="Y4666" s="47">
        <v>6702</v>
      </c>
      <c r="Z4666" s="52" t="s">
        <v>409</v>
      </c>
      <c r="AA4666" s="52" t="s">
        <v>247</v>
      </c>
      <c r="AB4666" s="52" t="s">
        <v>247</v>
      </c>
      <c r="AC4666" s="52" t="s">
        <v>247</v>
      </c>
      <c r="AD4666" s="52" t="s">
        <v>1</v>
      </c>
      <c r="AE4666" s="52" t="s">
        <v>384</v>
      </c>
      <c r="AF4666" s="155" t="s">
        <v>247</v>
      </c>
      <c r="AG4666" s="155" t="s">
        <v>247</v>
      </c>
    </row>
    <row r="4667" spans="25:33">
      <c r="Y4667" s="47">
        <v>6703</v>
      </c>
      <c r="Z4667" s="52" t="s">
        <v>409</v>
      </c>
      <c r="AA4667" s="52" t="s">
        <v>247</v>
      </c>
      <c r="AB4667" s="52" t="s">
        <v>247</v>
      </c>
      <c r="AC4667" s="52" t="s">
        <v>247</v>
      </c>
      <c r="AD4667" s="52" t="s">
        <v>1</v>
      </c>
      <c r="AE4667" s="52" t="s">
        <v>384</v>
      </c>
      <c r="AF4667" s="155" t="s">
        <v>247</v>
      </c>
      <c r="AG4667" s="155" t="s">
        <v>247</v>
      </c>
    </row>
    <row r="4668" spans="25:33">
      <c r="Y4668" s="47">
        <v>6704</v>
      </c>
      <c r="Z4668" s="52" t="s">
        <v>409</v>
      </c>
      <c r="AA4668" s="52" t="s">
        <v>247</v>
      </c>
      <c r="AB4668" s="52" t="s">
        <v>247</v>
      </c>
      <c r="AC4668" s="52" t="s">
        <v>247</v>
      </c>
      <c r="AD4668" s="52" t="s">
        <v>1</v>
      </c>
      <c r="AE4668" s="52" t="s">
        <v>384</v>
      </c>
      <c r="AF4668" s="155" t="s">
        <v>247</v>
      </c>
      <c r="AG4668" s="155" t="s">
        <v>247</v>
      </c>
    </row>
    <row r="4669" spans="25:33">
      <c r="Y4669" s="47">
        <v>6705</v>
      </c>
      <c r="Z4669" s="52" t="s">
        <v>409</v>
      </c>
      <c r="AA4669" s="52" t="s">
        <v>247</v>
      </c>
      <c r="AB4669" s="52" t="s">
        <v>247</v>
      </c>
      <c r="AC4669" s="52" t="s">
        <v>247</v>
      </c>
      <c r="AD4669" s="52" t="s">
        <v>1</v>
      </c>
      <c r="AE4669" s="52" t="s">
        <v>384</v>
      </c>
      <c r="AF4669" s="155" t="s">
        <v>247</v>
      </c>
      <c r="AG4669" s="155" t="s">
        <v>247</v>
      </c>
    </row>
    <row r="4670" spans="25:33">
      <c r="Y4670" s="47">
        <v>6706</v>
      </c>
      <c r="Z4670" s="52" t="s">
        <v>409</v>
      </c>
      <c r="AA4670" s="52" t="s">
        <v>247</v>
      </c>
      <c r="AB4670" s="52" t="s">
        <v>247</v>
      </c>
      <c r="AC4670" s="52" t="s">
        <v>247</v>
      </c>
      <c r="AD4670" s="52" t="s">
        <v>1</v>
      </c>
      <c r="AE4670" s="52" t="s">
        <v>384</v>
      </c>
      <c r="AF4670" s="155" t="s">
        <v>247</v>
      </c>
      <c r="AG4670" s="155" t="s">
        <v>247</v>
      </c>
    </row>
    <row r="4671" spans="25:33">
      <c r="Y4671" s="47">
        <v>6707</v>
      </c>
      <c r="Z4671" s="52" t="s">
        <v>409</v>
      </c>
      <c r="AA4671" s="52" t="s">
        <v>247</v>
      </c>
      <c r="AB4671" s="52" t="s">
        <v>247</v>
      </c>
      <c r="AC4671" s="52" t="s">
        <v>247</v>
      </c>
      <c r="AD4671" s="52" t="s">
        <v>1</v>
      </c>
      <c r="AE4671" s="52" t="s">
        <v>384</v>
      </c>
      <c r="AF4671" s="155" t="s">
        <v>247</v>
      </c>
      <c r="AG4671" s="155" t="s">
        <v>247</v>
      </c>
    </row>
    <row r="4672" spans="25:33">
      <c r="Y4672" s="47">
        <v>6708</v>
      </c>
      <c r="Z4672" s="52" t="s">
        <v>409</v>
      </c>
      <c r="AA4672" s="52" t="s">
        <v>247</v>
      </c>
      <c r="AB4672" s="52" t="s">
        <v>247</v>
      </c>
      <c r="AC4672" s="52" t="s">
        <v>247</v>
      </c>
      <c r="AD4672" s="52" t="s">
        <v>1</v>
      </c>
      <c r="AE4672" s="52" t="s">
        <v>384</v>
      </c>
      <c r="AF4672" s="155" t="s">
        <v>247</v>
      </c>
      <c r="AG4672" s="155" t="s">
        <v>247</v>
      </c>
    </row>
    <row r="4673" spans="25:33">
      <c r="Y4673" s="47">
        <v>6709</v>
      </c>
      <c r="Z4673" s="52" t="s">
        <v>409</v>
      </c>
      <c r="AA4673" s="52" t="s">
        <v>247</v>
      </c>
      <c r="AB4673" s="52" t="s">
        <v>247</v>
      </c>
      <c r="AC4673" s="52" t="s">
        <v>247</v>
      </c>
      <c r="AD4673" s="52" t="s">
        <v>1</v>
      </c>
      <c r="AE4673" s="52" t="s">
        <v>384</v>
      </c>
      <c r="AF4673" s="155" t="s">
        <v>247</v>
      </c>
      <c r="AG4673" s="155" t="s">
        <v>247</v>
      </c>
    </row>
    <row r="4674" spans="25:33">
      <c r="Y4674" s="47">
        <v>6710</v>
      </c>
      <c r="Z4674" s="52" t="s">
        <v>409</v>
      </c>
      <c r="AA4674" s="52" t="s">
        <v>247</v>
      </c>
      <c r="AB4674" s="52" t="s">
        <v>247</v>
      </c>
      <c r="AC4674" s="52" t="s">
        <v>247</v>
      </c>
      <c r="AD4674" s="52" t="s">
        <v>1</v>
      </c>
      <c r="AE4674" s="52" t="s">
        <v>384</v>
      </c>
      <c r="AF4674" s="155" t="s">
        <v>247</v>
      </c>
      <c r="AG4674" s="155" t="s">
        <v>247</v>
      </c>
    </row>
    <row r="4675" spans="25:33">
      <c r="Y4675" s="47">
        <v>6711</v>
      </c>
      <c r="Z4675" s="52" t="s">
        <v>409</v>
      </c>
      <c r="AA4675" s="52" t="s">
        <v>247</v>
      </c>
      <c r="AB4675" s="52" t="s">
        <v>247</v>
      </c>
      <c r="AC4675" s="52" t="s">
        <v>247</v>
      </c>
      <c r="AD4675" s="52" t="s">
        <v>1</v>
      </c>
      <c r="AE4675" s="52" t="s">
        <v>384</v>
      </c>
      <c r="AF4675" s="155" t="s">
        <v>247</v>
      </c>
      <c r="AG4675" s="155" t="s">
        <v>247</v>
      </c>
    </row>
    <row r="4676" spans="25:33">
      <c r="Y4676" s="47">
        <v>6712</v>
      </c>
      <c r="Z4676" s="52" t="s">
        <v>409</v>
      </c>
      <c r="AA4676" s="52" t="s">
        <v>247</v>
      </c>
      <c r="AB4676" s="52" t="s">
        <v>247</v>
      </c>
      <c r="AC4676" s="52" t="s">
        <v>247</v>
      </c>
      <c r="AD4676" s="52" t="s">
        <v>1</v>
      </c>
      <c r="AE4676" s="52" t="s">
        <v>384</v>
      </c>
      <c r="AF4676" s="155" t="s">
        <v>247</v>
      </c>
      <c r="AG4676" s="155" t="s">
        <v>247</v>
      </c>
    </row>
    <row r="4677" spans="25:33">
      <c r="Y4677" s="47">
        <v>6713</v>
      </c>
      <c r="Z4677" s="52" t="s">
        <v>409</v>
      </c>
      <c r="AA4677" s="52" t="s">
        <v>247</v>
      </c>
      <c r="AB4677" s="52" t="s">
        <v>247</v>
      </c>
      <c r="AC4677" s="52" t="s">
        <v>247</v>
      </c>
      <c r="AD4677" s="52" t="s">
        <v>1</v>
      </c>
      <c r="AE4677" s="52" t="s">
        <v>384</v>
      </c>
      <c r="AF4677" s="155" t="s">
        <v>247</v>
      </c>
      <c r="AG4677" s="155" t="s">
        <v>247</v>
      </c>
    </row>
    <row r="4678" spans="25:33">
      <c r="Y4678" s="47">
        <v>6714</v>
      </c>
      <c r="Z4678" s="52" t="s">
        <v>409</v>
      </c>
      <c r="AA4678" s="52" t="s">
        <v>247</v>
      </c>
      <c r="AB4678" s="52" t="s">
        <v>247</v>
      </c>
      <c r="AC4678" s="52" t="s">
        <v>247</v>
      </c>
      <c r="AD4678" s="52" t="s">
        <v>1</v>
      </c>
      <c r="AE4678" s="52" t="s">
        <v>384</v>
      </c>
      <c r="AF4678" s="155" t="s">
        <v>247</v>
      </c>
      <c r="AG4678" s="155" t="s">
        <v>247</v>
      </c>
    </row>
    <row r="4679" spans="25:33">
      <c r="Y4679" s="47">
        <v>6715</v>
      </c>
      <c r="Z4679" s="52" t="s">
        <v>409</v>
      </c>
      <c r="AA4679" s="52" t="s">
        <v>247</v>
      </c>
      <c r="AB4679" s="52" t="s">
        <v>247</v>
      </c>
      <c r="AC4679" s="52" t="s">
        <v>247</v>
      </c>
      <c r="AD4679" s="52" t="s">
        <v>1</v>
      </c>
      <c r="AE4679" s="52" t="s">
        <v>384</v>
      </c>
      <c r="AF4679" s="155" t="s">
        <v>247</v>
      </c>
      <c r="AG4679" s="155" t="s">
        <v>247</v>
      </c>
    </row>
    <row r="4680" spans="25:33">
      <c r="Y4680" s="47">
        <v>6716</v>
      </c>
      <c r="Z4680" s="52" t="s">
        <v>409</v>
      </c>
      <c r="AA4680" s="52" t="s">
        <v>247</v>
      </c>
      <c r="AB4680" s="52" t="s">
        <v>247</v>
      </c>
      <c r="AC4680" s="52" t="s">
        <v>247</v>
      </c>
      <c r="AD4680" s="52" t="s">
        <v>1</v>
      </c>
      <c r="AE4680" s="52" t="s">
        <v>384</v>
      </c>
      <c r="AF4680" s="155" t="s">
        <v>247</v>
      </c>
      <c r="AG4680" s="155" t="s">
        <v>247</v>
      </c>
    </row>
    <row r="4681" spans="25:33">
      <c r="Y4681" s="47">
        <v>6717</v>
      </c>
      <c r="Z4681" s="52" t="s">
        <v>409</v>
      </c>
      <c r="AA4681" s="52" t="s">
        <v>247</v>
      </c>
      <c r="AB4681" s="52" t="s">
        <v>247</v>
      </c>
      <c r="AC4681" s="52" t="s">
        <v>247</v>
      </c>
      <c r="AD4681" s="52" t="s">
        <v>1</v>
      </c>
      <c r="AE4681" s="52" t="s">
        <v>384</v>
      </c>
      <c r="AF4681" s="155" t="s">
        <v>247</v>
      </c>
      <c r="AG4681" s="155" t="s">
        <v>247</v>
      </c>
    </row>
    <row r="4682" spans="25:33">
      <c r="Y4682" s="47">
        <v>6718</v>
      </c>
      <c r="Z4682" s="52" t="s">
        <v>409</v>
      </c>
      <c r="AA4682" s="52" t="s">
        <v>247</v>
      </c>
      <c r="AB4682" s="52" t="s">
        <v>247</v>
      </c>
      <c r="AC4682" s="52" t="s">
        <v>247</v>
      </c>
      <c r="AD4682" s="52" t="s">
        <v>1</v>
      </c>
      <c r="AE4682" s="52" t="s">
        <v>384</v>
      </c>
      <c r="AF4682" s="155" t="s">
        <v>247</v>
      </c>
      <c r="AG4682" s="155" t="s">
        <v>247</v>
      </c>
    </row>
    <row r="4683" spans="25:33">
      <c r="Y4683" s="47">
        <v>6719</v>
      </c>
      <c r="Z4683" s="52" t="s">
        <v>409</v>
      </c>
      <c r="AA4683" s="52" t="s">
        <v>247</v>
      </c>
      <c r="AB4683" s="52" t="s">
        <v>247</v>
      </c>
      <c r="AC4683" s="52" t="s">
        <v>247</v>
      </c>
      <c r="AD4683" s="52" t="s">
        <v>1</v>
      </c>
      <c r="AE4683" s="52" t="s">
        <v>384</v>
      </c>
      <c r="AF4683" s="155" t="s">
        <v>247</v>
      </c>
      <c r="AG4683" s="155" t="s">
        <v>247</v>
      </c>
    </row>
    <row r="4684" spans="25:33">
      <c r="Y4684" s="47">
        <v>6720</v>
      </c>
      <c r="Z4684" s="52" t="s">
        <v>409</v>
      </c>
      <c r="AA4684" s="52" t="s">
        <v>247</v>
      </c>
      <c r="AB4684" s="52" t="s">
        <v>247</v>
      </c>
      <c r="AC4684" s="52" t="s">
        <v>247</v>
      </c>
      <c r="AD4684" s="52" t="s">
        <v>1</v>
      </c>
      <c r="AE4684" s="52" t="s">
        <v>384</v>
      </c>
      <c r="AF4684" s="155" t="s">
        <v>247</v>
      </c>
      <c r="AG4684" s="155" t="s">
        <v>247</v>
      </c>
    </row>
    <row r="4685" spans="25:33">
      <c r="Y4685" s="47">
        <v>6721</v>
      </c>
      <c r="Z4685" s="52" t="s">
        <v>409</v>
      </c>
      <c r="AA4685" s="52" t="s">
        <v>247</v>
      </c>
      <c r="AB4685" s="52" t="s">
        <v>247</v>
      </c>
      <c r="AC4685" s="52" t="s">
        <v>247</v>
      </c>
      <c r="AD4685" s="52" t="s">
        <v>1</v>
      </c>
      <c r="AE4685" s="52" t="s">
        <v>384</v>
      </c>
      <c r="AF4685" s="155" t="s">
        <v>247</v>
      </c>
      <c r="AG4685" s="155" t="s">
        <v>247</v>
      </c>
    </row>
    <row r="4686" spans="25:33">
      <c r="Y4686" s="47">
        <v>6722</v>
      </c>
      <c r="Z4686" s="52" t="s">
        <v>409</v>
      </c>
      <c r="AA4686" s="52" t="s">
        <v>247</v>
      </c>
      <c r="AB4686" s="52" t="s">
        <v>247</v>
      </c>
      <c r="AC4686" s="52" t="s">
        <v>247</v>
      </c>
      <c r="AD4686" s="52" t="s">
        <v>1</v>
      </c>
      <c r="AE4686" s="52" t="s">
        <v>384</v>
      </c>
      <c r="AF4686" s="155" t="s">
        <v>247</v>
      </c>
      <c r="AG4686" s="155" t="s">
        <v>247</v>
      </c>
    </row>
    <row r="4687" spans="25:33">
      <c r="Y4687" s="47">
        <v>6723</v>
      </c>
      <c r="Z4687" s="52" t="s">
        <v>409</v>
      </c>
      <c r="AA4687" s="52" t="s">
        <v>247</v>
      </c>
      <c r="AB4687" s="52" t="s">
        <v>247</v>
      </c>
      <c r="AC4687" s="52" t="s">
        <v>247</v>
      </c>
      <c r="AD4687" s="52" t="s">
        <v>1</v>
      </c>
      <c r="AE4687" s="52" t="s">
        <v>384</v>
      </c>
      <c r="AF4687" s="155" t="s">
        <v>247</v>
      </c>
      <c r="AG4687" s="155" t="s">
        <v>247</v>
      </c>
    </row>
    <row r="4688" spans="25:33">
      <c r="Y4688" s="47">
        <v>6724</v>
      </c>
      <c r="Z4688" s="52" t="s">
        <v>409</v>
      </c>
      <c r="AA4688" s="52" t="s">
        <v>247</v>
      </c>
      <c r="AB4688" s="52" t="s">
        <v>247</v>
      </c>
      <c r="AC4688" s="52" t="s">
        <v>247</v>
      </c>
      <c r="AD4688" s="52" t="s">
        <v>1</v>
      </c>
      <c r="AE4688" s="52" t="s">
        <v>384</v>
      </c>
      <c r="AF4688" s="155" t="s">
        <v>247</v>
      </c>
      <c r="AG4688" s="155" t="s">
        <v>247</v>
      </c>
    </row>
    <row r="4689" spans="25:33">
      <c r="Y4689" s="47">
        <v>6725</v>
      </c>
      <c r="Z4689" s="52" t="s">
        <v>409</v>
      </c>
      <c r="AA4689" s="52" t="s">
        <v>247</v>
      </c>
      <c r="AB4689" s="52" t="s">
        <v>247</v>
      </c>
      <c r="AC4689" s="52" t="s">
        <v>247</v>
      </c>
      <c r="AD4689" s="52" t="s">
        <v>1</v>
      </c>
      <c r="AE4689" s="52" t="s">
        <v>384</v>
      </c>
      <c r="AF4689" s="155" t="s">
        <v>247</v>
      </c>
      <c r="AG4689" s="155" t="s">
        <v>247</v>
      </c>
    </row>
    <row r="4690" spans="25:33">
      <c r="Y4690" s="47">
        <v>6726</v>
      </c>
      <c r="Z4690" s="52" t="s">
        <v>408</v>
      </c>
      <c r="AA4690" s="52" t="s">
        <v>247</v>
      </c>
      <c r="AB4690" s="52" t="s">
        <v>247</v>
      </c>
      <c r="AC4690" s="52" t="s">
        <v>247</v>
      </c>
      <c r="AD4690" s="52" t="s">
        <v>1</v>
      </c>
      <c r="AE4690" s="52" t="s">
        <v>384</v>
      </c>
      <c r="AF4690" s="155" t="s">
        <v>247</v>
      </c>
      <c r="AG4690" s="155" t="s">
        <v>247</v>
      </c>
    </row>
    <row r="4691" spans="25:33">
      <c r="Y4691" s="47">
        <v>6727</v>
      </c>
      <c r="Z4691" s="52" t="s">
        <v>408</v>
      </c>
      <c r="AA4691" s="52" t="s">
        <v>247</v>
      </c>
      <c r="AB4691" s="52" t="s">
        <v>247</v>
      </c>
      <c r="AC4691" s="52" t="s">
        <v>247</v>
      </c>
      <c r="AD4691" s="52" t="s">
        <v>1</v>
      </c>
      <c r="AE4691" s="52" t="s">
        <v>384</v>
      </c>
      <c r="AF4691" s="155" t="s">
        <v>247</v>
      </c>
      <c r="AG4691" s="155" t="s">
        <v>247</v>
      </c>
    </row>
    <row r="4692" spans="25:33">
      <c r="Y4692" s="47">
        <v>6728</v>
      </c>
      <c r="Z4692" s="52" t="s">
        <v>408</v>
      </c>
      <c r="AA4692" s="52" t="s">
        <v>247</v>
      </c>
      <c r="AB4692" s="52" t="s">
        <v>247</v>
      </c>
      <c r="AC4692" s="52" t="s">
        <v>247</v>
      </c>
      <c r="AD4692" s="52" t="s">
        <v>1</v>
      </c>
      <c r="AE4692" s="52" t="s">
        <v>384</v>
      </c>
      <c r="AF4692" s="155" t="s">
        <v>247</v>
      </c>
      <c r="AG4692" s="155" t="s">
        <v>247</v>
      </c>
    </row>
    <row r="4693" spans="25:33">
      <c r="Y4693" s="47">
        <v>6729</v>
      </c>
      <c r="Z4693" s="52" t="s">
        <v>408</v>
      </c>
      <c r="AA4693" s="52" t="s">
        <v>247</v>
      </c>
      <c r="AB4693" s="52" t="s">
        <v>247</v>
      </c>
      <c r="AC4693" s="52" t="s">
        <v>247</v>
      </c>
      <c r="AD4693" s="52" t="s">
        <v>1</v>
      </c>
      <c r="AE4693" s="52" t="s">
        <v>384</v>
      </c>
      <c r="AF4693" s="155" t="s">
        <v>247</v>
      </c>
      <c r="AG4693" s="155" t="s">
        <v>247</v>
      </c>
    </row>
    <row r="4694" spans="25:33">
      <c r="Y4694" s="47">
        <v>6730</v>
      </c>
      <c r="Z4694" s="52" t="s">
        <v>408</v>
      </c>
      <c r="AA4694" s="52" t="s">
        <v>247</v>
      </c>
      <c r="AB4694" s="52" t="s">
        <v>247</v>
      </c>
      <c r="AC4694" s="52" t="s">
        <v>247</v>
      </c>
      <c r="AD4694" s="52" t="s">
        <v>1</v>
      </c>
      <c r="AE4694" s="52" t="s">
        <v>384</v>
      </c>
      <c r="AF4694" s="155" t="s">
        <v>247</v>
      </c>
      <c r="AG4694" s="155" t="s">
        <v>247</v>
      </c>
    </row>
    <row r="4695" spans="25:33">
      <c r="Y4695" s="47">
        <v>6731</v>
      </c>
      <c r="Z4695" s="52" t="s">
        <v>408</v>
      </c>
      <c r="AA4695" s="52" t="s">
        <v>247</v>
      </c>
      <c r="AB4695" s="52" t="s">
        <v>247</v>
      </c>
      <c r="AC4695" s="52" t="s">
        <v>247</v>
      </c>
      <c r="AD4695" s="52" t="s">
        <v>1</v>
      </c>
      <c r="AE4695" s="52" t="s">
        <v>384</v>
      </c>
      <c r="AF4695" s="155" t="s">
        <v>247</v>
      </c>
      <c r="AG4695" s="155" t="s">
        <v>247</v>
      </c>
    </row>
    <row r="4696" spans="25:33">
      <c r="Y4696" s="47">
        <v>6732</v>
      </c>
      <c r="Z4696" s="52" t="s">
        <v>408</v>
      </c>
      <c r="AA4696" s="52" t="s">
        <v>247</v>
      </c>
      <c r="AB4696" s="52" t="s">
        <v>247</v>
      </c>
      <c r="AC4696" s="52" t="s">
        <v>247</v>
      </c>
      <c r="AD4696" s="52" t="s">
        <v>1</v>
      </c>
      <c r="AE4696" s="52" t="s">
        <v>384</v>
      </c>
      <c r="AF4696" s="155" t="s">
        <v>247</v>
      </c>
      <c r="AG4696" s="155" t="s">
        <v>247</v>
      </c>
    </row>
    <row r="4697" spans="25:33">
      <c r="Y4697" s="47">
        <v>6733</v>
      </c>
      <c r="Z4697" s="52" t="s">
        <v>408</v>
      </c>
      <c r="AA4697" s="52" t="s">
        <v>247</v>
      </c>
      <c r="AB4697" s="52" t="s">
        <v>247</v>
      </c>
      <c r="AC4697" s="52" t="s">
        <v>247</v>
      </c>
      <c r="AD4697" s="52" t="s">
        <v>1</v>
      </c>
      <c r="AE4697" s="52" t="s">
        <v>384</v>
      </c>
      <c r="AF4697" s="155" t="s">
        <v>247</v>
      </c>
      <c r="AG4697" s="155" t="s">
        <v>247</v>
      </c>
    </row>
    <row r="4698" spans="25:33">
      <c r="Y4698" s="47">
        <v>6734</v>
      </c>
      <c r="Z4698" s="52" t="s">
        <v>408</v>
      </c>
      <c r="AA4698" s="52" t="s">
        <v>247</v>
      </c>
      <c r="AB4698" s="52" t="s">
        <v>247</v>
      </c>
      <c r="AC4698" s="52" t="s">
        <v>247</v>
      </c>
      <c r="AD4698" s="52" t="s">
        <v>1</v>
      </c>
      <c r="AE4698" s="52" t="s">
        <v>384</v>
      </c>
      <c r="AF4698" s="155" t="s">
        <v>247</v>
      </c>
      <c r="AG4698" s="155" t="s">
        <v>247</v>
      </c>
    </row>
    <row r="4699" spans="25:33">
      <c r="Y4699" s="47">
        <v>6735</v>
      </c>
      <c r="Z4699" s="52" t="s">
        <v>408</v>
      </c>
      <c r="AA4699" s="52" t="s">
        <v>247</v>
      </c>
      <c r="AB4699" s="52" t="s">
        <v>247</v>
      </c>
      <c r="AC4699" s="52" t="s">
        <v>247</v>
      </c>
      <c r="AD4699" s="52" t="s">
        <v>1</v>
      </c>
      <c r="AE4699" s="52" t="s">
        <v>384</v>
      </c>
      <c r="AF4699" s="155" t="s">
        <v>247</v>
      </c>
      <c r="AG4699" s="155" t="s">
        <v>247</v>
      </c>
    </row>
    <row r="4700" spans="25:33">
      <c r="Y4700" s="47">
        <v>6736</v>
      </c>
      <c r="Z4700" s="52" t="s">
        <v>408</v>
      </c>
      <c r="AA4700" s="52" t="s">
        <v>247</v>
      </c>
      <c r="AB4700" s="52" t="s">
        <v>247</v>
      </c>
      <c r="AC4700" s="52" t="s">
        <v>247</v>
      </c>
      <c r="AD4700" s="52" t="s">
        <v>1</v>
      </c>
      <c r="AE4700" s="52" t="s">
        <v>384</v>
      </c>
      <c r="AF4700" s="155" t="s">
        <v>247</v>
      </c>
      <c r="AG4700" s="155" t="s">
        <v>247</v>
      </c>
    </row>
    <row r="4701" spans="25:33">
      <c r="Y4701" s="47">
        <v>6737</v>
      </c>
      <c r="Z4701" s="52" t="s">
        <v>408</v>
      </c>
      <c r="AA4701" s="52" t="s">
        <v>247</v>
      </c>
      <c r="AB4701" s="52" t="s">
        <v>247</v>
      </c>
      <c r="AC4701" s="52" t="s">
        <v>247</v>
      </c>
      <c r="AD4701" s="52" t="s">
        <v>1</v>
      </c>
      <c r="AE4701" s="52" t="s">
        <v>384</v>
      </c>
      <c r="AF4701" s="155" t="s">
        <v>247</v>
      </c>
      <c r="AG4701" s="155" t="s">
        <v>247</v>
      </c>
    </row>
    <row r="4702" spans="25:33">
      <c r="Y4702" s="47">
        <v>6738</v>
      </c>
      <c r="Z4702" s="52" t="s">
        <v>408</v>
      </c>
      <c r="AA4702" s="52" t="s">
        <v>247</v>
      </c>
      <c r="AB4702" s="52" t="s">
        <v>247</v>
      </c>
      <c r="AC4702" s="52" t="s">
        <v>247</v>
      </c>
      <c r="AD4702" s="52" t="s">
        <v>1</v>
      </c>
      <c r="AE4702" s="52" t="s">
        <v>384</v>
      </c>
      <c r="AF4702" s="155" t="s">
        <v>247</v>
      </c>
      <c r="AG4702" s="155" t="s">
        <v>247</v>
      </c>
    </row>
    <row r="4703" spans="25:33">
      <c r="Y4703" s="47">
        <v>6739</v>
      </c>
      <c r="Z4703" s="52" t="s">
        <v>408</v>
      </c>
      <c r="AA4703" s="52" t="s">
        <v>247</v>
      </c>
      <c r="AB4703" s="52" t="s">
        <v>247</v>
      </c>
      <c r="AC4703" s="52" t="s">
        <v>247</v>
      </c>
      <c r="AD4703" s="52" t="s">
        <v>1</v>
      </c>
      <c r="AE4703" s="52" t="s">
        <v>384</v>
      </c>
      <c r="AF4703" s="155" t="s">
        <v>247</v>
      </c>
      <c r="AG4703" s="155" t="s">
        <v>247</v>
      </c>
    </row>
    <row r="4704" spans="25:33">
      <c r="Y4704" s="47">
        <v>6740</v>
      </c>
      <c r="Z4704" s="52" t="s">
        <v>408</v>
      </c>
      <c r="AA4704" s="52" t="s">
        <v>247</v>
      </c>
      <c r="AB4704" s="52" t="s">
        <v>247</v>
      </c>
      <c r="AC4704" s="52" t="s">
        <v>247</v>
      </c>
      <c r="AD4704" s="52" t="s">
        <v>1</v>
      </c>
      <c r="AE4704" s="52" t="s">
        <v>384</v>
      </c>
      <c r="AF4704" s="155" t="s">
        <v>247</v>
      </c>
      <c r="AG4704" s="155" t="s">
        <v>247</v>
      </c>
    </row>
    <row r="4705" spans="25:33">
      <c r="Y4705" s="47">
        <v>6741</v>
      </c>
      <c r="Z4705" s="52" t="s">
        <v>408</v>
      </c>
      <c r="AA4705" s="52" t="s">
        <v>247</v>
      </c>
      <c r="AB4705" s="52" t="s">
        <v>247</v>
      </c>
      <c r="AC4705" s="52" t="s">
        <v>247</v>
      </c>
      <c r="AD4705" s="52" t="s">
        <v>1</v>
      </c>
      <c r="AE4705" s="52" t="s">
        <v>384</v>
      </c>
      <c r="AF4705" s="155" t="s">
        <v>247</v>
      </c>
      <c r="AG4705" s="155" t="s">
        <v>247</v>
      </c>
    </row>
    <row r="4706" spans="25:33">
      <c r="Y4706" s="47">
        <v>6742</v>
      </c>
      <c r="Z4706" s="52" t="s">
        <v>408</v>
      </c>
      <c r="AA4706" s="52" t="s">
        <v>247</v>
      </c>
      <c r="AB4706" s="52" t="s">
        <v>247</v>
      </c>
      <c r="AC4706" s="52" t="s">
        <v>247</v>
      </c>
      <c r="AD4706" s="52" t="s">
        <v>1</v>
      </c>
      <c r="AE4706" s="52" t="s">
        <v>384</v>
      </c>
      <c r="AF4706" s="155" t="s">
        <v>247</v>
      </c>
      <c r="AG4706" s="155" t="s">
        <v>247</v>
      </c>
    </row>
    <row r="4707" spans="25:33">
      <c r="Y4707" s="47">
        <v>6743</v>
      </c>
      <c r="Z4707" s="52" t="s">
        <v>408</v>
      </c>
      <c r="AA4707" s="52" t="s">
        <v>247</v>
      </c>
      <c r="AB4707" s="52" t="s">
        <v>247</v>
      </c>
      <c r="AC4707" s="52" t="s">
        <v>247</v>
      </c>
      <c r="AD4707" s="52" t="s">
        <v>1</v>
      </c>
      <c r="AE4707" s="52" t="s">
        <v>384</v>
      </c>
      <c r="AF4707" s="155" t="s">
        <v>247</v>
      </c>
      <c r="AG4707" s="155" t="s">
        <v>247</v>
      </c>
    </row>
    <row r="4708" spans="25:33">
      <c r="Y4708" s="47">
        <v>6751</v>
      </c>
      <c r="Z4708" s="52" t="s">
        <v>409</v>
      </c>
      <c r="AA4708" s="52" t="s">
        <v>247</v>
      </c>
      <c r="AB4708" s="52" t="s">
        <v>247</v>
      </c>
      <c r="AC4708" s="52" t="s">
        <v>247</v>
      </c>
      <c r="AD4708" s="52" t="s">
        <v>1</v>
      </c>
      <c r="AE4708" s="52" t="s">
        <v>384</v>
      </c>
      <c r="AF4708" s="155" t="s">
        <v>247</v>
      </c>
      <c r="AG4708" s="155" t="s">
        <v>247</v>
      </c>
    </row>
    <row r="4709" spans="25:33">
      <c r="Y4709" s="47">
        <v>6752</v>
      </c>
      <c r="Z4709" s="52" t="s">
        <v>409</v>
      </c>
      <c r="AA4709" s="52" t="s">
        <v>247</v>
      </c>
      <c r="AB4709" s="52" t="s">
        <v>247</v>
      </c>
      <c r="AC4709" s="52" t="s">
        <v>247</v>
      </c>
      <c r="AD4709" s="52" t="s">
        <v>1</v>
      </c>
      <c r="AE4709" s="52" t="s">
        <v>384</v>
      </c>
      <c r="AF4709" s="155" t="s">
        <v>247</v>
      </c>
      <c r="AG4709" s="155" t="s">
        <v>247</v>
      </c>
    </row>
    <row r="4710" spans="25:33">
      <c r="Y4710" s="47">
        <v>6753</v>
      </c>
      <c r="Z4710" s="52" t="s">
        <v>409</v>
      </c>
      <c r="AA4710" s="52" t="s">
        <v>247</v>
      </c>
      <c r="AB4710" s="52" t="s">
        <v>247</v>
      </c>
      <c r="AC4710" s="52" t="s">
        <v>247</v>
      </c>
      <c r="AD4710" s="52" t="s">
        <v>1</v>
      </c>
      <c r="AE4710" s="52" t="s">
        <v>384</v>
      </c>
      <c r="AF4710" s="155" t="s">
        <v>247</v>
      </c>
      <c r="AG4710" s="155" t="s">
        <v>247</v>
      </c>
    </row>
    <row r="4711" spans="25:33">
      <c r="Y4711" s="47">
        <v>6754</v>
      </c>
      <c r="Z4711" s="52" t="s">
        <v>409</v>
      </c>
      <c r="AA4711" s="52" t="s">
        <v>247</v>
      </c>
      <c r="AB4711" s="52" t="s">
        <v>247</v>
      </c>
      <c r="AC4711" s="52" t="s">
        <v>247</v>
      </c>
      <c r="AD4711" s="52" t="s">
        <v>1</v>
      </c>
      <c r="AE4711" s="52" t="s">
        <v>384</v>
      </c>
      <c r="AF4711" s="155" t="s">
        <v>247</v>
      </c>
      <c r="AG4711" s="155" t="s">
        <v>247</v>
      </c>
    </row>
    <row r="4712" spans="25:33">
      <c r="Y4712" s="47">
        <v>6755</v>
      </c>
      <c r="Z4712" s="52" t="s">
        <v>409</v>
      </c>
      <c r="AA4712" s="52" t="s">
        <v>247</v>
      </c>
      <c r="AB4712" s="52" t="s">
        <v>247</v>
      </c>
      <c r="AC4712" s="52" t="s">
        <v>247</v>
      </c>
      <c r="AD4712" s="52" t="s">
        <v>1</v>
      </c>
      <c r="AE4712" s="52" t="s">
        <v>384</v>
      </c>
      <c r="AF4712" s="155" t="s">
        <v>247</v>
      </c>
      <c r="AG4712" s="155" t="s">
        <v>247</v>
      </c>
    </row>
    <row r="4713" spans="25:33">
      <c r="Y4713" s="47">
        <v>6756</v>
      </c>
      <c r="Z4713" s="52" t="s">
        <v>409</v>
      </c>
      <c r="AA4713" s="52" t="s">
        <v>247</v>
      </c>
      <c r="AB4713" s="52" t="s">
        <v>247</v>
      </c>
      <c r="AC4713" s="52" t="s">
        <v>247</v>
      </c>
      <c r="AD4713" s="52" t="s">
        <v>1</v>
      </c>
      <c r="AE4713" s="52" t="s">
        <v>384</v>
      </c>
      <c r="AF4713" s="155" t="s">
        <v>247</v>
      </c>
      <c r="AG4713" s="155" t="s">
        <v>247</v>
      </c>
    </row>
    <row r="4714" spans="25:33">
      <c r="Y4714" s="47">
        <v>6757</v>
      </c>
      <c r="Z4714" s="52" t="s">
        <v>409</v>
      </c>
      <c r="AA4714" s="52" t="s">
        <v>247</v>
      </c>
      <c r="AB4714" s="52" t="s">
        <v>247</v>
      </c>
      <c r="AC4714" s="52" t="s">
        <v>247</v>
      </c>
      <c r="AD4714" s="52" t="s">
        <v>1</v>
      </c>
      <c r="AE4714" s="52" t="s">
        <v>384</v>
      </c>
      <c r="AF4714" s="155" t="s">
        <v>247</v>
      </c>
      <c r="AG4714" s="155" t="s">
        <v>247</v>
      </c>
    </row>
    <row r="4715" spans="25:33">
      <c r="Y4715" s="47">
        <v>6758</v>
      </c>
      <c r="Z4715" s="52" t="s">
        <v>409</v>
      </c>
      <c r="AA4715" s="52" t="s">
        <v>247</v>
      </c>
      <c r="AB4715" s="52" t="s">
        <v>247</v>
      </c>
      <c r="AC4715" s="52" t="s">
        <v>247</v>
      </c>
      <c r="AD4715" s="52" t="s">
        <v>1</v>
      </c>
      <c r="AE4715" s="52" t="s">
        <v>384</v>
      </c>
      <c r="AF4715" s="155" t="s">
        <v>247</v>
      </c>
      <c r="AG4715" s="155" t="s">
        <v>247</v>
      </c>
    </row>
    <row r="4716" spans="25:33">
      <c r="Y4716" s="47">
        <v>6759</v>
      </c>
      <c r="Z4716" s="52" t="s">
        <v>409</v>
      </c>
      <c r="AA4716" s="52" t="s">
        <v>247</v>
      </c>
      <c r="AB4716" s="52" t="s">
        <v>247</v>
      </c>
      <c r="AC4716" s="52" t="s">
        <v>247</v>
      </c>
      <c r="AD4716" s="52" t="s">
        <v>1</v>
      </c>
      <c r="AE4716" s="52" t="s">
        <v>384</v>
      </c>
      <c r="AF4716" s="155" t="s">
        <v>247</v>
      </c>
      <c r="AG4716" s="155" t="s">
        <v>247</v>
      </c>
    </row>
    <row r="4717" spans="25:33">
      <c r="Y4717" s="47">
        <v>6760</v>
      </c>
      <c r="Z4717" s="52" t="s">
        <v>409</v>
      </c>
      <c r="AA4717" s="52" t="s">
        <v>247</v>
      </c>
      <c r="AB4717" s="52" t="s">
        <v>247</v>
      </c>
      <c r="AC4717" s="52" t="s">
        <v>247</v>
      </c>
      <c r="AD4717" s="52" t="s">
        <v>1</v>
      </c>
      <c r="AE4717" s="52" t="s">
        <v>384</v>
      </c>
      <c r="AF4717" s="155" t="s">
        <v>247</v>
      </c>
      <c r="AG4717" s="155" t="s">
        <v>247</v>
      </c>
    </row>
    <row r="4718" spans="25:33">
      <c r="Y4718" s="47">
        <v>6761</v>
      </c>
      <c r="Z4718" s="52" t="s">
        <v>409</v>
      </c>
      <c r="AA4718" s="52" t="s">
        <v>247</v>
      </c>
      <c r="AB4718" s="52" t="s">
        <v>247</v>
      </c>
      <c r="AC4718" s="52" t="s">
        <v>247</v>
      </c>
      <c r="AD4718" s="52" t="s">
        <v>1</v>
      </c>
      <c r="AE4718" s="52" t="s">
        <v>384</v>
      </c>
      <c r="AF4718" s="155" t="s">
        <v>247</v>
      </c>
      <c r="AG4718" s="155" t="s">
        <v>247</v>
      </c>
    </row>
    <row r="4719" spans="25:33">
      <c r="Y4719" s="47">
        <v>6762</v>
      </c>
      <c r="Z4719" s="52" t="s">
        <v>409</v>
      </c>
      <c r="AA4719" s="52" t="s">
        <v>247</v>
      </c>
      <c r="AB4719" s="52" t="s">
        <v>247</v>
      </c>
      <c r="AC4719" s="52" t="s">
        <v>247</v>
      </c>
      <c r="AD4719" s="52" t="s">
        <v>1</v>
      </c>
      <c r="AE4719" s="52" t="s">
        <v>384</v>
      </c>
      <c r="AF4719" s="155" t="s">
        <v>247</v>
      </c>
      <c r="AG4719" s="155" t="s">
        <v>247</v>
      </c>
    </row>
    <row r="4720" spans="25:33">
      <c r="Y4720" s="47">
        <v>6763</v>
      </c>
      <c r="Z4720" s="52" t="s">
        <v>409</v>
      </c>
      <c r="AA4720" s="52" t="s">
        <v>247</v>
      </c>
      <c r="AB4720" s="52" t="s">
        <v>247</v>
      </c>
      <c r="AC4720" s="52" t="s">
        <v>247</v>
      </c>
      <c r="AD4720" s="52" t="s">
        <v>1</v>
      </c>
      <c r="AE4720" s="52" t="s">
        <v>384</v>
      </c>
      <c r="AF4720" s="155" t="s">
        <v>247</v>
      </c>
      <c r="AG4720" s="155" t="s">
        <v>247</v>
      </c>
    </row>
    <row r="4721" spans="25:33">
      <c r="Y4721" s="47">
        <v>6764</v>
      </c>
      <c r="Z4721" s="52" t="s">
        <v>409</v>
      </c>
      <c r="AA4721" s="52" t="s">
        <v>247</v>
      </c>
      <c r="AB4721" s="52" t="s">
        <v>247</v>
      </c>
      <c r="AC4721" s="52" t="s">
        <v>247</v>
      </c>
      <c r="AD4721" s="52" t="s">
        <v>1</v>
      </c>
      <c r="AE4721" s="52" t="s">
        <v>384</v>
      </c>
      <c r="AF4721" s="155" t="s">
        <v>247</v>
      </c>
      <c r="AG4721" s="155" t="s">
        <v>247</v>
      </c>
    </row>
    <row r="4722" spans="25:33">
      <c r="Y4722" s="47">
        <v>6765</v>
      </c>
      <c r="Z4722" s="52" t="s">
        <v>409</v>
      </c>
      <c r="AA4722" s="52" t="s">
        <v>247</v>
      </c>
      <c r="AB4722" s="52" t="s">
        <v>247</v>
      </c>
      <c r="AC4722" s="52" t="s">
        <v>247</v>
      </c>
      <c r="AD4722" s="52" t="s">
        <v>1</v>
      </c>
      <c r="AE4722" s="52" t="s">
        <v>384</v>
      </c>
      <c r="AF4722" s="155" t="s">
        <v>247</v>
      </c>
      <c r="AG4722" s="155" t="s">
        <v>247</v>
      </c>
    </row>
    <row r="4723" spans="25:33">
      <c r="Y4723" s="47">
        <v>6766</v>
      </c>
      <c r="Z4723" s="52" t="s">
        <v>409</v>
      </c>
      <c r="AA4723" s="52" t="s">
        <v>247</v>
      </c>
      <c r="AB4723" s="52" t="s">
        <v>247</v>
      </c>
      <c r="AC4723" s="52" t="s">
        <v>247</v>
      </c>
      <c r="AD4723" s="52" t="s">
        <v>1</v>
      </c>
      <c r="AE4723" s="52" t="s">
        <v>384</v>
      </c>
      <c r="AF4723" s="155" t="s">
        <v>247</v>
      </c>
      <c r="AG4723" s="155" t="s">
        <v>247</v>
      </c>
    </row>
    <row r="4724" spans="25:33">
      <c r="Y4724" s="47">
        <v>6767</v>
      </c>
      <c r="Z4724" s="52" t="s">
        <v>409</v>
      </c>
      <c r="AA4724" s="52" t="s">
        <v>247</v>
      </c>
      <c r="AB4724" s="52" t="s">
        <v>247</v>
      </c>
      <c r="AC4724" s="52" t="s">
        <v>247</v>
      </c>
      <c r="AD4724" s="52" t="s">
        <v>1</v>
      </c>
      <c r="AE4724" s="52" t="s">
        <v>384</v>
      </c>
      <c r="AF4724" s="155" t="s">
        <v>247</v>
      </c>
      <c r="AG4724" s="155" t="s">
        <v>247</v>
      </c>
    </row>
    <row r="4725" spans="25:33">
      <c r="Y4725" s="47">
        <v>6768</v>
      </c>
      <c r="Z4725" s="52" t="s">
        <v>409</v>
      </c>
      <c r="AA4725" s="52" t="s">
        <v>247</v>
      </c>
      <c r="AB4725" s="52" t="s">
        <v>247</v>
      </c>
      <c r="AC4725" s="52" t="s">
        <v>247</v>
      </c>
      <c r="AD4725" s="52" t="s">
        <v>1</v>
      </c>
      <c r="AE4725" s="52" t="s">
        <v>384</v>
      </c>
      <c r="AF4725" s="155" t="s">
        <v>247</v>
      </c>
      <c r="AG4725" s="155" t="s">
        <v>247</v>
      </c>
    </row>
    <row r="4726" spans="25:33">
      <c r="Y4726" s="47">
        <v>6769</v>
      </c>
      <c r="Z4726" s="52" t="s">
        <v>409</v>
      </c>
      <c r="AA4726" s="52" t="s">
        <v>247</v>
      </c>
      <c r="AB4726" s="52" t="s">
        <v>247</v>
      </c>
      <c r="AC4726" s="52" t="s">
        <v>247</v>
      </c>
      <c r="AD4726" s="52" t="s">
        <v>1</v>
      </c>
      <c r="AE4726" s="52" t="s">
        <v>384</v>
      </c>
      <c r="AF4726" s="155" t="s">
        <v>247</v>
      </c>
      <c r="AG4726" s="155" t="s">
        <v>247</v>
      </c>
    </row>
    <row r="4727" spans="25:33">
      <c r="Y4727" s="47">
        <v>6770</v>
      </c>
      <c r="Z4727" s="52" t="s">
        <v>409</v>
      </c>
      <c r="AA4727" s="52" t="s">
        <v>247</v>
      </c>
      <c r="AB4727" s="52" t="s">
        <v>247</v>
      </c>
      <c r="AC4727" s="52" t="s">
        <v>247</v>
      </c>
      <c r="AD4727" s="52" t="s">
        <v>1</v>
      </c>
      <c r="AE4727" s="52" t="s">
        <v>384</v>
      </c>
      <c r="AF4727" s="155" t="s">
        <v>247</v>
      </c>
      <c r="AG4727" s="155" t="s">
        <v>247</v>
      </c>
    </row>
    <row r="4728" spans="25:33">
      <c r="Y4728" s="47">
        <v>6771</v>
      </c>
      <c r="Z4728" s="52" t="s">
        <v>409</v>
      </c>
      <c r="AA4728" s="52" t="s">
        <v>247</v>
      </c>
      <c r="AB4728" s="52" t="s">
        <v>247</v>
      </c>
      <c r="AC4728" s="52" t="s">
        <v>247</v>
      </c>
      <c r="AD4728" s="52" t="s">
        <v>1</v>
      </c>
      <c r="AE4728" s="52" t="s">
        <v>384</v>
      </c>
      <c r="AF4728" s="155" t="s">
        <v>247</v>
      </c>
      <c r="AG4728" s="155" t="s">
        <v>247</v>
      </c>
    </row>
    <row r="4729" spans="25:33">
      <c r="Y4729" s="47">
        <v>6772</v>
      </c>
      <c r="Z4729" s="52" t="s">
        <v>409</v>
      </c>
      <c r="AA4729" s="52" t="s">
        <v>247</v>
      </c>
      <c r="AB4729" s="52" t="s">
        <v>247</v>
      </c>
      <c r="AC4729" s="52" t="s">
        <v>247</v>
      </c>
      <c r="AD4729" s="52" t="s">
        <v>1</v>
      </c>
      <c r="AE4729" s="52" t="s">
        <v>384</v>
      </c>
      <c r="AF4729" s="155" t="s">
        <v>247</v>
      </c>
      <c r="AG4729" s="155" t="s">
        <v>247</v>
      </c>
    </row>
    <row r="4730" spans="25:33">
      <c r="Y4730" s="47">
        <v>6773</v>
      </c>
      <c r="Z4730" s="52" t="s">
        <v>409</v>
      </c>
      <c r="AA4730" s="52" t="s">
        <v>247</v>
      </c>
      <c r="AB4730" s="52" t="s">
        <v>247</v>
      </c>
      <c r="AC4730" s="52" t="s">
        <v>247</v>
      </c>
      <c r="AD4730" s="52" t="s">
        <v>1</v>
      </c>
      <c r="AE4730" s="52" t="s">
        <v>384</v>
      </c>
      <c r="AF4730" s="155" t="s">
        <v>247</v>
      </c>
      <c r="AG4730" s="155" t="s">
        <v>247</v>
      </c>
    </row>
    <row r="4731" spans="25:33">
      <c r="Y4731" s="47">
        <v>6774</v>
      </c>
      <c r="Z4731" s="52" t="s">
        <v>409</v>
      </c>
      <c r="AA4731" s="52" t="s">
        <v>247</v>
      </c>
      <c r="AB4731" s="52" t="s">
        <v>247</v>
      </c>
      <c r="AC4731" s="52" t="s">
        <v>247</v>
      </c>
      <c r="AD4731" s="52" t="s">
        <v>1</v>
      </c>
      <c r="AE4731" s="52" t="s">
        <v>384</v>
      </c>
      <c r="AF4731" s="155" t="s">
        <v>247</v>
      </c>
      <c r="AG4731" s="155" t="s">
        <v>247</v>
      </c>
    </row>
    <row r="4732" spans="25:33">
      <c r="Y4732" s="47">
        <v>6775</v>
      </c>
      <c r="Z4732" s="52" t="s">
        <v>409</v>
      </c>
      <c r="AA4732" s="52" t="s">
        <v>247</v>
      </c>
      <c r="AB4732" s="52" t="s">
        <v>247</v>
      </c>
      <c r="AC4732" s="52" t="s">
        <v>247</v>
      </c>
      <c r="AD4732" s="52" t="s">
        <v>1</v>
      </c>
      <c r="AE4732" s="52" t="s">
        <v>384</v>
      </c>
      <c r="AF4732" s="155" t="s">
        <v>247</v>
      </c>
      <c r="AG4732" s="155" t="s">
        <v>247</v>
      </c>
    </row>
    <row r="4733" spans="25:33">
      <c r="Y4733" s="47">
        <v>6776</v>
      </c>
      <c r="Z4733" s="52" t="s">
        <v>409</v>
      </c>
      <c r="AA4733" s="52" t="s">
        <v>247</v>
      </c>
      <c r="AB4733" s="52" t="s">
        <v>247</v>
      </c>
      <c r="AC4733" s="52" t="s">
        <v>247</v>
      </c>
      <c r="AD4733" s="52" t="s">
        <v>1</v>
      </c>
      <c r="AE4733" s="52" t="s">
        <v>384</v>
      </c>
      <c r="AF4733" s="155" t="s">
        <v>247</v>
      </c>
      <c r="AG4733" s="155" t="s">
        <v>247</v>
      </c>
    </row>
    <row r="4734" spans="25:33">
      <c r="Y4734" s="47">
        <v>6777</v>
      </c>
      <c r="Z4734" s="52" t="s">
        <v>409</v>
      </c>
      <c r="AA4734" s="52" t="s">
        <v>247</v>
      </c>
      <c r="AB4734" s="52" t="s">
        <v>247</v>
      </c>
      <c r="AC4734" s="52" t="s">
        <v>247</v>
      </c>
      <c r="AD4734" s="52" t="s">
        <v>1</v>
      </c>
      <c r="AE4734" s="52" t="s">
        <v>384</v>
      </c>
      <c r="AF4734" s="155" t="s">
        <v>247</v>
      </c>
      <c r="AG4734" s="155" t="s">
        <v>247</v>
      </c>
    </row>
    <row r="4735" spans="25:33">
      <c r="Y4735" s="47">
        <v>6778</v>
      </c>
      <c r="Z4735" s="52" t="s">
        <v>409</v>
      </c>
      <c r="AA4735" s="52" t="s">
        <v>247</v>
      </c>
      <c r="AB4735" s="52" t="s">
        <v>247</v>
      </c>
      <c r="AC4735" s="52" t="s">
        <v>247</v>
      </c>
      <c r="AD4735" s="52" t="s">
        <v>1</v>
      </c>
      <c r="AE4735" s="52" t="s">
        <v>384</v>
      </c>
      <c r="AF4735" s="155" t="s">
        <v>247</v>
      </c>
      <c r="AG4735" s="155" t="s">
        <v>247</v>
      </c>
    </row>
    <row r="4736" spans="25:33">
      <c r="Y4736" s="47">
        <v>6779</v>
      </c>
      <c r="Z4736" s="52" t="s">
        <v>409</v>
      </c>
      <c r="AA4736" s="52" t="s">
        <v>247</v>
      </c>
      <c r="AB4736" s="52" t="s">
        <v>247</v>
      </c>
      <c r="AC4736" s="52" t="s">
        <v>247</v>
      </c>
      <c r="AD4736" s="52" t="s">
        <v>1</v>
      </c>
      <c r="AE4736" s="52" t="s">
        <v>384</v>
      </c>
      <c r="AF4736" s="155" t="s">
        <v>247</v>
      </c>
      <c r="AG4736" s="155" t="s">
        <v>247</v>
      </c>
    </row>
    <row r="4737" spans="25:33">
      <c r="Y4737" s="47">
        <v>6780</v>
      </c>
      <c r="Z4737" s="52" t="s">
        <v>409</v>
      </c>
      <c r="AA4737" s="52" t="s">
        <v>247</v>
      </c>
      <c r="AB4737" s="52" t="s">
        <v>247</v>
      </c>
      <c r="AC4737" s="52" t="s">
        <v>247</v>
      </c>
      <c r="AD4737" s="52" t="s">
        <v>1</v>
      </c>
      <c r="AE4737" s="52" t="s">
        <v>384</v>
      </c>
      <c r="AF4737" s="155" t="s">
        <v>247</v>
      </c>
      <c r="AG4737" s="155" t="s">
        <v>247</v>
      </c>
    </row>
    <row r="4738" spans="25:33">
      <c r="Y4738" s="47">
        <v>6781</v>
      </c>
      <c r="Z4738" s="52" t="s">
        <v>409</v>
      </c>
      <c r="AA4738" s="52" t="s">
        <v>247</v>
      </c>
      <c r="AB4738" s="52" t="s">
        <v>247</v>
      </c>
      <c r="AC4738" s="52" t="s">
        <v>247</v>
      </c>
      <c r="AD4738" s="52" t="s">
        <v>1</v>
      </c>
      <c r="AE4738" s="52" t="s">
        <v>384</v>
      </c>
      <c r="AF4738" s="155" t="s">
        <v>247</v>
      </c>
      <c r="AG4738" s="155" t="s">
        <v>247</v>
      </c>
    </row>
    <row r="4739" spans="25:33">
      <c r="Y4739" s="47">
        <v>6782</v>
      </c>
      <c r="Z4739" s="52" t="s">
        <v>409</v>
      </c>
      <c r="AA4739" s="52" t="s">
        <v>247</v>
      </c>
      <c r="AB4739" s="52" t="s">
        <v>247</v>
      </c>
      <c r="AC4739" s="52" t="s">
        <v>247</v>
      </c>
      <c r="AD4739" s="52" t="s">
        <v>1</v>
      </c>
      <c r="AE4739" s="52" t="s">
        <v>384</v>
      </c>
      <c r="AF4739" s="155" t="s">
        <v>247</v>
      </c>
      <c r="AG4739" s="155" t="s">
        <v>247</v>
      </c>
    </row>
    <row r="4740" spans="25:33">
      <c r="Y4740" s="47">
        <v>6783</v>
      </c>
      <c r="Z4740" s="52" t="s">
        <v>409</v>
      </c>
      <c r="AA4740" s="52" t="s">
        <v>247</v>
      </c>
      <c r="AB4740" s="52" t="s">
        <v>247</v>
      </c>
      <c r="AC4740" s="52" t="s">
        <v>247</v>
      </c>
      <c r="AD4740" s="52" t="s">
        <v>1</v>
      </c>
      <c r="AE4740" s="52" t="s">
        <v>384</v>
      </c>
      <c r="AF4740" s="155" t="s">
        <v>247</v>
      </c>
      <c r="AG4740" s="155" t="s">
        <v>247</v>
      </c>
    </row>
    <row r="4741" spans="25:33">
      <c r="Y4741" s="47">
        <v>6784</v>
      </c>
      <c r="Z4741" s="52" t="s">
        <v>409</v>
      </c>
      <c r="AA4741" s="52" t="s">
        <v>247</v>
      </c>
      <c r="AB4741" s="52" t="s">
        <v>247</v>
      </c>
      <c r="AC4741" s="52" t="s">
        <v>247</v>
      </c>
      <c r="AD4741" s="52" t="s">
        <v>1</v>
      </c>
      <c r="AE4741" s="52" t="s">
        <v>384</v>
      </c>
      <c r="AF4741" s="155" t="s">
        <v>247</v>
      </c>
      <c r="AG4741" s="155" t="s">
        <v>247</v>
      </c>
    </row>
    <row r="4742" spans="25:33">
      <c r="Y4742" s="47">
        <v>6785</v>
      </c>
      <c r="Z4742" s="52" t="s">
        <v>409</v>
      </c>
      <c r="AA4742" s="52" t="s">
        <v>247</v>
      </c>
      <c r="AB4742" s="52" t="s">
        <v>247</v>
      </c>
      <c r="AC4742" s="52" t="s">
        <v>247</v>
      </c>
      <c r="AD4742" s="52" t="s">
        <v>1</v>
      </c>
      <c r="AE4742" s="52" t="s">
        <v>384</v>
      </c>
      <c r="AF4742" s="155" t="s">
        <v>247</v>
      </c>
      <c r="AG4742" s="155" t="s">
        <v>247</v>
      </c>
    </row>
    <row r="4743" spans="25:33">
      <c r="Y4743" s="47">
        <v>6786</v>
      </c>
      <c r="Z4743" s="52" t="s">
        <v>409</v>
      </c>
      <c r="AA4743" s="52" t="s">
        <v>247</v>
      </c>
      <c r="AB4743" s="52" t="s">
        <v>247</v>
      </c>
      <c r="AC4743" s="52" t="s">
        <v>247</v>
      </c>
      <c r="AD4743" s="52" t="s">
        <v>1</v>
      </c>
      <c r="AE4743" s="52" t="s">
        <v>384</v>
      </c>
      <c r="AF4743" s="155" t="s">
        <v>247</v>
      </c>
      <c r="AG4743" s="155" t="s">
        <v>247</v>
      </c>
    </row>
    <row r="4744" spans="25:33">
      <c r="Y4744" s="47">
        <v>6787</v>
      </c>
      <c r="Z4744" s="52" t="s">
        <v>409</v>
      </c>
      <c r="AA4744" s="52" t="s">
        <v>247</v>
      </c>
      <c r="AB4744" s="52" t="s">
        <v>247</v>
      </c>
      <c r="AC4744" s="52" t="s">
        <v>247</v>
      </c>
      <c r="AD4744" s="52" t="s">
        <v>1</v>
      </c>
      <c r="AE4744" s="52" t="s">
        <v>384</v>
      </c>
      <c r="AF4744" s="155" t="s">
        <v>247</v>
      </c>
      <c r="AG4744" s="155" t="s">
        <v>247</v>
      </c>
    </row>
    <row r="4745" spans="25:33">
      <c r="Y4745" s="47">
        <v>6788</v>
      </c>
      <c r="Z4745" s="52" t="s">
        <v>409</v>
      </c>
      <c r="AA4745" s="52" t="s">
        <v>247</v>
      </c>
      <c r="AB4745" s="52" t="s">
        <v>247</v>
      </c>
      <c r="AC4745" s="52" t="s">
        <v>247</v>
      </c>
      <c r="AD4745" s="52" t="s">
        <v>1</v>
      </c>
      <c r="AE4745" s="52" t="s">
        <v>384</v>
      </c>
      <c r="AF4745" s="155" t="s">
        <v>247</v>
      </c>
      <c r="AG4745" s="155" t="s">
        <v>247</v>
      </c>
    </row>
    <row r="4746" spans="25:33">
      <c r="Y4746" s="47">
        <v>6789</v>
      </c>
      <c r="Z4746" s="52" t="s">
        <v>409</v>
      </c>
      <c r="AA4746" s="52" t="s">
        <v>247</v>
      </c>
      <c r="AB4746" s="52" t="s">
        <v>247</v>
      </c>
      <c r="AC4746" s="52" t="s">
        <v>247</v>
      </c>
      <c r="AD4746" s="52" t="s">
        <v>1</v>
      </c>
      <c r="AE4746" s="52" t="s">
        <v>384</v>
      </c>
      <c r="AF4746" s="155" t="s">
        <v>247</v>
      </c>
      <c r="AG4746" s="155" t="s">
        <v>247</v>
      </c>
    </row>
    <row r="4747" spans="25:33">
      <c r="Y4747" s="47">
        <v>6790</v>
      </c>
      <c r="Z4747" s="52" t="s">
        <v>409</v>
      </c>
      <c r="AA4747" s="52" t="s">
        <v>247</v>
      </c>
      <c r="AB4747" s="52" t="s">
        <v>247</v>
      </c>
      <c r="AC4747" s="52" t="s">
        <v>247</v>
      </c>
      <c r="AD4747" s="52" t="s">
        <v>1</v>
      </c>
      <c r="AE4747" s="52" t="s">
        <v>384</v>
      </c>
      <c r="AF4747" s="155" t="s">
        <v>247</v>
      </c>
      <c r="AG4747" s="155" t="s">
        <v>247</v>
      </c>
    </row>
    <row r="4748" spans="25:33">
      <c r="Y4748" s="47">
        <v>6791</v>
      </c>
      <c r="Z4748" s="52" t="s">
        <v>409</v>
      </c>
      <c r="AA4748" s="52" t="s">
        <v>247</v>
      </c>
      <c r="AB4748" s="52" t="s">
        <v>247</v>
      </c>
      <c r="AC4748" s="52" t="s">
        <v>247</v>
      </c>
      <c r="AD4748" s="52" t="s">
        <v>1</v>
      </c>
      <c r="AE4748" s="52" t="s">
        <v>384</v>
      </c>
      <c r="AF4748" s="155" t="s">
        <v>247</v>
      </c>
      <c r="AG4748" s="155" t="s">
        <v>247</v>
      </c>
    </row>
    <row r="4749" spans="25:33">
      <c r="Y4749" s="47">
        <v>6792</v>
      </c>
      <c r="Z4749" s="52" t="s">
        <v>409</v>
      </c>
      <c r="AA4749" s="52" t="s">
        <v>247</v>
      </c>
      <c r="AB4749" s="52" t="s">
        <v>247</v>
      </c>
      <c r="AC4749" s="52" t="s">
        <v>247</v>
      </c>
      <c r="AD4749" s="52" t="s">
        <v>1</v>
      </c>
      <c r="AE4749" s="52" t="s">
        <v>384</v>
      </c>
      <c r="AF4749" s="155" t="s">
        <v>247</v>
      </c>
      <c r="AG4749" s="155" t="s">
        <v>247</v>
      </c>
    </row>
    <row r="4750" spans="25:33">
      <c r="Y4750" s="47">
        <v>6793</v>
      </c>
      <c r="Z4750" s="52" t="s">
        <v>409</v>
      </c>
      <c r="AA4750" s="52" t="s">
        <v>247</v>
      </c>
      <c r="AB4750" s="52" t="s">
        <v>247</v>
      </c>
      <c r="AC4750" s="52" t="s">
        <v>247</v>
      </c>
      <c r="AD4750" s="52" t="s">
        <v>1</v>
      </c>
      <c r="AE4750" s="52" t="s">
        <v>384</v>
      </c>
      <c r="AF4750" s="155" t="s">
        <v>247</v>
      </c>
      <c r="AG4750" s="155" t="s">
        <v>247</v>
      </c>
    </row>
    <row r="4751" spans="25:33">
      <c r="Y4751" s="47">
        <v>6794</v>
      </c>
      <c r="Z4751" s="52" t="s">
        <v>409</v>
      </c>
      <c r="AA4751" s="52" t="s">
        <v>247</v>
      </c>
      <c r="AB4751" s="52" t="s">
        <v>247</v>
      </c>
      <c r="AC4751" s="52" t="s">
        <v>247</v>
      </c>
      <c r="AD4751" s="52" t="s">
        <v>1</v>
      </c>
      <c r="AE4751" s="52" t="s">
        <v>384</v>
      </c>
      <c r="AF4751" s="155" t="s">
        <v>247</v>
      </c>
      <c r="AG4751" s="155" t="s">
        <v>247</v>
      </c>
    </row>
    <row r="4752" spans="25:33">
      <c r="Y4752" s="47">
        <v>6795</v>
      </c>
      <c r="Z4752" s="52" t="s">
        <v>409</v>
      </c>
      <c r="AA4752" s="52" t="s">
        <v>247</v>
      </c>
      <c r="AB4752" s="52" t="s">
        <v>247</v>
      </c>
      <c r="AC4752" s="52" t="s">
        <v>247</v>
      </c>
      <c r="AD4752" s="52" t="s">
        <v>1</v>
      </c>
      <c r="AE4752" s="52" t="s">
        <v>384</v>
      </c>
      <c r="AF4752" s="155" t="s">
        <v>247</v>
      </c>
      <c r="AG4752" s="155" t="s">
        <v>247</v>
      </c>
    </row>
    <row r="4753" spans="25:33">
      <c r="Y4753" s="47">
        <v>6796</v>
      </c>
      <c r="Z4753" s="52" t="s">
        <v>409</v>
      </c>
      <c r="AA4753" s="52" t="s">
        <v>247</v>
      </c>
      <c r="AB4753" s="52" t="s">
        <v>247</v>
      </c>
      <c r="AC4753" s="52" t="s">
        <v>247</v>
      </c>
      <c r="AD4753" s="52" t="s">
        <v>1</v>
      </c>
      <c r="AE4753" s="52" t="s">
        <v>384</v>
      </c>
      <c r="AF4753" s="155" t="s">
        <v>247</v>
      </c>
      <c r="AG4753" s="155" t="s">
        <v>247</v>
      </c>
    </row>
    <row r="4754" spans="25:33">
      <c r="Y4754" s="47">
        <v>6797</v>
      </c>
      <c r="Z4754" s="52" t="s">
        <v>409</v>
      </c>
      <c r="AA4754" s="52" t="s">
        <v>247</v>
      </c>
      <c r="AB4754" s="52" t="s">
        <v>247</v>
      </c>
      <c r="AC4754" s="52" t="s">
        <v>247</v>
      </c>
      <c r="AD4754" s="52" t="s">
        <v>1</v>
      </c>
      <c r="AE4754" s="52" t="s">
        <v>384</v>
      </c>
      <c r="AF4754" s="155" t="s">
        <v>247</v>
      </c>
      <c r="AG4754" s="155" t="s">
        <v>247</v>
      </c>
    </row>
    <row r="4755" spans="25:33">
      <c r="Y4755" s="47">
        <v>6798</v>
      </c>
      <c r="Z4755" s="52" t="s">
        <v>409</v>
      </c>
      <c r="AA4755" s="52" t="s">
        <v>247</v>
      </c>
      <c r="AB4755" s="52" t="s">
        <v>247</v>
      </c>
      <c r="AC4755" s="52" t="s">
        <v>247</v>
      </c>
      <c r="AD4755" s="52" t="s">
        <v>1</v>
      </c>
      <c r="AE4755" s="52" t="s">
        <v>384</v>
      </c>
      <c r="AF4755" s="155" t="s">
        <v>247</v>
      </c>
      <c r="AG4755" s="155" t="s">
        <v>247</v>
      </c>
    </row>
    <row r="4756" spans="25:33">
      <c r="Y4756" s="47">
        <v>6799</v>
      </c>
      <c r="Z4756" s="52" t="s">
        <v>409</v>
      </c>
      <c r="AA4756" s="52" t="s">
        <v>247</v>
      </c>
      <c r="AB4756" s="52" t="s">
        <v>247</v>
      </c>
      <c r="AC4756" s="52" t="s">
        <v>247</v>
      </c>
      <c r="AD4756" s="52" t="s">
        <v>1</v>
      </c>
      <c r="AE4756" s="52" t="s">
        <v>384</v>
      </c>
      <c r="AF4756" s="155" t="s">
        <v>247</v>
      </c>
      <c r="AG4756" s="155" t="s">
        <v>247</v>
      </c>
    </row>
  </sheetData>
  <autoFilter ref="Y2:AE4756" xr:uid="{8ABC5B82-9584-4F72-8C62-D30CE96E6470}">
    <sortState xmlns:xlrd2="http://schemas.microsoft.com/office/spreadsheetml/2017/richdata2" ref="Y3:AE4756">
      <sortCondition ref="AE3:AE4756"/>
    </sortState>
  </autoFilter>
  <sortState xmlns:xlrd2="http://schemas.microsoft.com/office/spreadsheetml/2017/richdata2" ref="Y3:AE1688">
    <sortCondition ref="AB3:AB1688"/>
  </sortState>
  <mergeCells count="1">
    <mergeCell ref="AI22:AK22"/>
  </mergeCells>
  <phoneticPr fontId="14" type="noConversion"/>
  <pageMargins left="0.7" right="0.7" top="0.75" bottom="0.75" header="0.3" footer="0.3"/>
  <pageSetup orientation="portrait" r:id="rId1"/>
  <legacyDrawing r:id="rId2"/>
  <tableParts count="10">
    <tablePart r:id="rId3"/>
    <tablePart r:id="rId4"/>
    <tablePart r:id="rId5"/>
    <tablePart r:id="rId6"/>
    <tablePart r:id="rId7"/>
    <tablePart r:id="rId8"/>
    <tablePart r:id="rId9"/>
    <tablePart r:id="rId10"/>
    <tablePart r:id="rId11"/>
    <tablePart r:id="rId1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5EC20E99F398E94F89B09E974A2332E1" ma:contentTypeVersion="20" ma:contentTypeDescription="Create a new document." ma:contentTypeScope="" ma:versionID="6f96c2bb5740641077bebcab46644975">
  <xsd:schema xmlns:xsd="http://www.w3.org/2001/XMLSchema" xmlns:xs="http://www.w3.org/2001/XMLSchema" xmlns:p="http://schemas.microsoft.com/office/2006/metadata/properties" xmlns:ns2="f162e1d0-7235-447a-b132-66c1d70e1ce1" xmlns:ns3="eece7ace-b9ff-4d29-8f6d-ee38bf0405ea" targetNamespace="http://schemas.microsoft.com/office/2006/metadata/properties" ma:root="true" ma:fieldsID="aeb7f1fe49f76c1d0669899819b82b4d" ns2:_="" ns3:_="">
    <xsd:import namespace="f162e1d0-7235-447a-b132-66c1d70e1ce1"/>
    <xsd:import namespace="eece7ace-b9ff-4d29-8f6d-ee38bf0405ea"/>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AutoKeyPoints" minOccurs="0"/>
                <xsd:element ref="ns3:MediaServiceKeyPoints" minOccurs="0"/>
                <xsd:element ref="ns3:MediaServiceLocation" minOccurs="0"/>
                <xsd:element ref="ns3:MediaLengthInSeconds" minOccurs="0"/>
                <xsd:element ref="ns3:lcf76f155ced4ddcb4097134ff3c332f" minOccurs="0"/>
                <xsd:element ref="ns2:TaxCatchAll" minOccurs="0"/>
                <xsd:element ref="ns3:MediaServiceObjectDetectorVersions" minOccurs="0"/>
                <xsd:element ref="ns3:MediaServiceSearchProperties" minOccurs="0"/>
                <xsd:element ref="ns3:Statu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162e1d0-7235-447a-b132-66c1d70e1ce1"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TaxCatchAll" ma:index="23" nillable="true" ma:displayName="Taxonomy Catch All Column" ma:hidden="true" ma:list="{535d2294-4f61-4d39-bdab-bea9a5e0ef17}" ma:internalName="TaxCatchAll" ma:showField="CatchAllData" ma:web="f162e1d0-7235-447a-b132-66c1d70e1ce1">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ece7ace-b9ff-4d29-8f6d-ee38bf0405ea"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MediaServiceLocation" ma:index="19" nillable="true" ma:displayName="Location" ma:internalName="MediaServiceLocation"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fc6d3e97-9f6a-431f-a807-f3ea2c813c04"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element name="Status" ma:index="26" nillable="true" ma:displayName="Approval Status" ma:default="Pending" ma:description="Document Status&#10;" ma:format="Dropdown" ma:internalName="Status">
      <xsd:simpleType>
        <xsd:restriction base="dms:Choice">
          <xsd:enumeration value="Pending"/>
          <xsd:enumeration value="Error"/>
          <xsd:enumeration value="Approved"/>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TaxCatchAll xmlns="f162e1d0-7235-447a-b132-66c1d70e1ce1" xsi:nil="true"/>
    <SharedWithUsers xmlns="f162e1d0-7235-447a-b132-66c1d70e1ce1">
      <UserInfo>
        <DisplayName>Alastair McDowell</DisplayName>
        <AccountId>51</AccountId>
        <AccountType/>
      </UserInfo>
      <UserInfo>
        <DisplayName>Stephen Gillespie</DisplayName>
        <AccountId>1062</AccountId>
        <AccountType/>
      </UserInfo>
      <UserInfo>
        <DisplayName>Daniel Panjaitan</DisplayName>
        <AccountId>1017</AccountId>
        <AccountType/>
      </UserInfo>
      <UserInfo>
        <DisplayName>Hannah Murphy</DisplayName>
        <AccountId>987</AccountId>
        <AccountType/>
      </UserInfo>
    </SharedWithUsers>
    <lcf76f155ced4ddcb4097134ff3c332f xmlns="eece7ace-b9ff-4d29-8f6d-ee38bf0405ea">
      <Terms xmlns="http://schemas.microsoft.com/office/infopath/2007/PartnerControls"/>
    </lcf76f155ced4ddcb4097134ff3c332f>
    <Status xmlns="eece7ace-b9ff-4d29-8f6d-ee38bf0405ea">Pending</Status>
  </documentManagement>
</p:properties>
</file>

<file path=customXml/itemProps1.xml><?xml version="1.0" encoding="utf-8"?>
<ds:datastoreItem xmlns:ds="http://schemas.openxmlformats.org/officeDocument/2006/customXml" ds:itemID="{24269667-9D2D-4DFB-AA7B-F8A24E553408}">
  <ds:schemaRefs>
    <ds:schemaRef ds:uri="http://schemas.microsoft.com/DataMashup"/>
  </ds:schemaRefs>
</ds:datastoreItem>
</file>

<file path=customXml/itemProps2.xml><?xml version="1.0" encoding="utf-8"?>
<ds:datastoreItem xmlns:ds="http://schemas.openxmlformats.org/officeDocument/2006/customXml" ds:itemID="{20747ED3-32F5-4E77-9696-CC753D6DB750}">
  <ds:schemaRefs>
    <ds:schemaRef ds:uri="http://schemas.microsoft.com/sharepoint/v3/contenttype/forms"/>
  </ds:schemaRefs>
</ds:datastoreItem>
</file>

<file path=customXml/itemProps3.xml><?xml version="1.0" encoding="utf-8"?>
<ds:datastoreItem xmlns:ds="http://schemas.openxmlformats.org/officeDocument/2006/customXml" ds:itemID="{E59E86D5-90A1-4A5E-85F7-3C6E85B620A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162e1d0-7235-447a-b132-66c1d70e1ce1"/>
    <ds:schemaRef ds:uri="eece7ace-b9ff-4d29-8f6d-ee38bf0405e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3A8BDBD3-FFCA-468F-8A7D-57DE3CF8C750}">
  <ds:schemaRefs>
    <ds:schemaRef ds:uri="http://schemas.microsoft.com/office/2006/metadata/properties"/>
    <ds:schemaRef ds:uri="http://purl.org/dc/elements/1.1/"/>
    <ds:schemaRef ds:uri="http://purl.org/dc/terms/"/>
    <ds:schemaRef ds:uri="http://www.w3.org/XML/1998/namespace"/>
    <ds:schemaRef ds:uri="http://schemas.microsoft.com/office/infopath/2007/PartnerControls"/>
    <ds:schemaRef ds:uri="http://schemas.microsoft.com/office/2006/documentManagement/types"/>
    <ds:schemaRef ds:uri="f162e1d0-7235-447a-b132-66c1d70e1ce1"/>
    <ds:schemaRef ds:uri="http://schemas.openxmlformats.org/package/2006/metadata/core-properties"/>
    <ds:schemaRef ds:uri="eece7ace-b9ff-4d29-8f6d-ee38bf0405ea"/>
    <ds:schemaRef ds:uri="http://purl.org/dc/dcmitype/"/>
    <ds:schemaRef ds:uri="dca0c186-8ece-4a09-a8db-9fd6ae2b00e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133</vt:i4>
      </vt:variant>
    </vt:vector>
  </HeadingPairs>
  <TitlesOfParts>
    <vt:vector size="152" baseType="lpstr">
      <vt:lpstr>About</vt:lpstr>
      <vt:lpstr>HP Residential Calculator</vt:lpstr>
      <vt:lpstr>HP Commercial Calculator</vt:lpstr>
      <vt:lpstr>Lighting</vt:lpstr>
      <vt:lpstr>Lighting Product Summary</vt:lpstr>
      <vt:lpstr>AC Calculator</vt:lpstr>
      <vt:lpstr>Commercial</vt:lpstr>
      <vt:lpstr>VEU-1D</vt:lpstr>
      <vt:lpstr>VEU-3C</vt:lpstr>
      <vt:lpstr>ESS NEW</vt:lpstr>
      <vt:lpstr>ESS OLD</vt:lpstr>
      <vt:lpstr>SRES</vt:lpstr>
      <vt:lpstr>E1</vt:lpstr>
      <vt:lpstr>E3</vt:lpstr>
      <vt:lpstr>E5</vt:lpstr>
      <vt:lpstr>E11</vt:lpstr>
      <vt:lpstr>VEU-6</vt:lpstr>
      <vt:lpstr>Resources</vt:lpstr>
      <vt:lpstr>Factors</vt:lpstr>
      <vt:lpstr>a_D17</vt:lpstr>
      <vt:lpstr>a_D19</vt:lpstr>
      <vt:lpstr>AC_Scenario</vt:lpstr>
      <vt:lpstr>ACCompressorModels</vt:lpstr>
      <vt:lpstr>ACInstallationDate</vt:lpstr>
      <vt:lpstr>b_D17</vt:lpstr>
      <vt:lpstr>BPAF</vt:lpstr>
      <vt:lpstr>BTLcool_Business_Metro_Cold</vt:lpstr>
      <vt:lpstr>BTLCool_Business_Metro_Mild</vt:lpstr>
      <vt:lpstr>BTLcool_Business_Regional_Cold</vt:lpstr>
      <vt:lpstr>BTLcool_Business_Regional_Hot</vt:lpstr>
      <vt:lpstr>BTLcool_Business_Regional_Mild</vt:lpstr>
      <vt:lpstr>BTLcool_Metro_Cold</vt:lpstr>
      <vt:lpstr>BTLcool_Metro_Mild</vt:lpstr>
      <vt:lpstr>BTLcool_Regional_Cold</vt:lpstr>
      <vt:lpstr>BTLcool_Regional_Hot</vt:lpstr>
      <vt:lpstr>BTLcool_Regional_Mild</vt:lpstr>
      <vt:lpstr>BTLHeat_Business_Metro_Cold</vt:lpstr>
      <vt:lpstr>BTLHeat_Business_Metro_Mild</vt:lpstr>
      <vt:lpstr>BTLHeat_Business_Regional_Cold</vt:lpstr>
      <vt:lpstr>BTLHeat_Business_Regional_Hot</vt:lpstr>
      <vt:lpstr>BTLHeat_Business_Regional_Mild</vt:lpstr>
      <vt:lpstr>BTLHeat_Residential_Metro_Cold</vt:lpstr>
      <vt:lpstr>BTLHeat_Residential_Metro_Mild</vt:lpstr>
      <vt:lpstr>BTLHeat_Residential_Regional_Cold</vt:lpstr>
      <vt:lpstr>BTLHeat_Residential_Regional_Hot</vt:lpstr>
      <vt:lpstr>BTLHeat_Residential_Regional_Mild</vt:lpstr>
      <vt:lpstr>'HP Commercial Calculator'!Climate_Zone</vt:lpstr>
      <vt:lpstr>Lighting!Climate_Zone</vt:lpstr>
      <vt:lpstr>Commercial_certificates</vt:lpstr>
      <vt:lpstr>Commercial_HPs</vt:lpstr>
      <vt:lpstr>'HP Commercial Calculator'!Commercial_Product</vt:lpstr>
      <vt:lpstr>Commercial_STCs</vt:lpstr>
      <vt:lpstr>'HP Commercial Calculator'!Commercial_Year</vt:lpstr>
      <vt:lpstr>CommercialHP_Installation_Date</vt:lpstr>
      <vt:lpstr>CommercialProductTankVolume</vt:lpstr>
      <vt:lpstr>Compressor_Cooling_Capacity</vt:lpstr>
      <vt:lpstr>CompressorHeatingCapacity</vt:lpstr>
      <vt:lpstr>'HP Residential Calculator'!Decommissioned_Product_Residential</vt:lpstr>
      <vt:lpstr>'HP Residential Calculator'!Decommissioned_Residential_Product</vt:lpstr>
      <vt:lpstr>Decommissioned_Residential_Product</vt:lpstr>
      <vt:lpstr>E1_Certificates</vt:lpstr>
      <vt:lpstr>E1_models</vt:lpstr>
      <vt:lpstr>E11_Certificates</vt:lpstr>
      <vt:lpstr>E11_models</vt:lpstr>
      <vt:lpstr>E3_certificates</vt:lpstr>
      <vt:lpstr>E3_models</vt:lpstr>
      <vt:lpstr>E5_Certificates</vt:lpstr>
      <vt:lpstr>E5_models</vt:lpstr>
      <vt:lpstr>ECCF</vt:lpstr>
      <vt:lpstr>EEF</vt:lpstr>
      <vt:lpstr>EEF_AC</vt:lpstr>
      <vt:lpstr>EEF_commercial</vt:lpstr>
      <vt:lpstr>EEF_Lighting</vt:lpstr>
      <vt:lpstr>EEF_Year</vt:lpstr>
      <vt:lpstr>EEFm</vt:lpstr>
      <vt:lpstr>EEFm_AC</vt:lpstr>
      <vt:lpstr>EEFm_Commercial</vt:lpstr>
      <vt:lpstr>EFelec</vt:lpstr>
      <vt:lpstr>EFgas</vt:lpstr>
      <vt:lpstr>ESCprice</vt:lpstr>
      <vt:lpstr>'HP Residential Calculator'!ESS_Climate_Zone_Residential</vt:lpstr>
      <vt:lpstr>'HP Commercial Calculator'!Existing_Capacity</vt:lpstr>
      <vt:lpstr>Lighting!Existing_Lamp_Parameter</vt:lpstr>
      <vt:lpstr>'VEU-1D'!familyRng</vt:lpstr>
      <vt:lpstr>'VEU-3C'!familyRng</vt:lpstr>
      <vt:lpstr>FF</vt:lpstr>
      <vt:lpstr>GCCF</vt:lpstr>
      <vt:lpstr>GEF</vt:lpstr>
      <vt:lpstr>GEMS_2019_Climate_Zone_hspf</vt:lpstr>
      <vt:lpstr>GEMS_2019_Climate_Zone_TCSPF</vt:lpstr>
      <vt:lpstr>HP_residential_installation_date</vt:lpstr>
      <vt:lpstr>IndoorACUnit</vt:lpstr>
      <vt:lpstr>IndoorUnitModels</vt:lpstr>
      <vt:lpstr>LF</vt:lpstr>
      <vt:lpstr>Life_ESS</vt:lpstr>
      <vt:lpstr>Life_PRC</vt:lpstr>
      <vt:lpstr>Lifetime_COM</vt:lpstr>
      <vt:lpstr>Lifetime_D17</vt:lpstr>
      <vt:lpstr>Lighting!Lighting_Activity</vt:lpstr>
      <vt:lpstr>Lighting_Activity</vt:lpstr>
      <vt:lpstr>Lighting_Region</vt:lpstr>
      <vt:lpstr>Max_LCP_E3</vt:lpstr>
      <vt:lpstr>Max_LCP_E5</vt:lpstr>
      <vt:lpstr>max_NLCP</vt:lpstr>
      <vt:lpstr>MetroESS</vt:lpstr>
      <vt:lpstr>MetroVEU</vt:lpstr>
      <vt:lpstr>Min_E3_LCP</vt:lpstr>
      <vt:lpstr>Min_LCP_E5</vt:lpstr>
      <vt:lpstr>minimum_NLCP</vt:lpstr>
      <vt:lpstr>Model</vt:lpstr>
      <vt:lpstr>SRES!Model_List</vt:lpstr>
      <vt:lpstr>'AC Calculator'!Models</vt:lpstr>
      <vt:lpstr>Models</vt:lpstr>
      <vt:lpstr>NewEff</vt:lpstr>
      <vt:lpstr>NSW_Postcode</vt:lpstr>
      <vt:lpstr>Number_of_Existing_Lamps</vt:lpstr>
      <vt:lpstr>Number_of_Replacement_Lamps</vt:lpstr>
      <vt:lpstr>NumberofIndoorACUnits</vt:lpstr>
      <vt:lpstr>PAF</vt:lpstr>
      <vt:lpstr>Postcode_Headings</vt:lpstr>
      <vt:lpstr>Postcodes</vt:lpstr>
      <vt:lpstr>PRCprice</vt:lpstr>
      <vt:lpstr>'HP Commercial Calculator'!Region</vt:lpstr>
      <vt:lpstr>'HP Residential Calculator'!Region</vt:lpstr>
      <vt:lpstr>Lighting!Region</vt:lpstr>
      <vt:lpstr>RegionalESS</vt:lpstr>
      <vt:lpstr>RegionalPostCodes</vt:lpstr>
      <vt:lpstr>RegionalVEU</vt:lpstr>
      <vt:lpstr>RepEff</vt:lpstr>
      <vt:lpstr>Replacement_Lamp_Equipment_Class</vt:lpstr>
      <vt:lpstr>Lighting!Replacement_Lamp_Model</vt:lpstr>
      <vt:lpstr>Residential_HPs</vt:lpstr>
      <vt:lpstr>'HP Residential Calculator'!Residential_Product</vt:lpstr>
      <vt:lpstr>Residential_STCs</vt:lpstr>
      <vt:lpstr>RFE</vt:lpstr>
      <vt:lpstr>'VEU-1D'!rootPath</vt:lpstr>
      <vt:lpstr>'VEU-3C'!rootPath</vt:lpstr>
      <vt:lpstr>Scenario</vt:lpstr>
      <vt:lpstr>SEFgas</vt:lpstr>
      <vt:lpstr>SPDRD</vt:lpstr>
      <vt:lpstr>SRES!SRES_10yr</vt:lpstr>
      <vt:lpstr>SRESyears</vt:lpstr>
      <vt:lpstr>STCprice</vt:lpstr>
      <vt:lpstr>Tank_replacement</vt:lpstr>
      <vt:lpstr>Commercial!topcolumn</vt:lpstr>
      <vt:lpstr>'ESS NEW'!topcolumn</vt:lpstr>
      <vt:lpstr>topcolumn</vt:lpstr>
      <vt:lpstr>VEECprice</vt:lpstr>
      <vt:lpstr>VEU_1D_Data</vt:lpstr>
      <vt:lpstr>VEU_3C_Data</vt:lpstr>
      <vt:lpstr>VEU_residential_products</vt:lpstr>
      <vt:lpstr>VIC_Postcodes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Jeremy Osborne</dc:creator>
  <cp:keywords/>
  <dc:description/>
  <cp:lastModifiedBy>Hannah Murphy</cp:lastModifiedBy>
  <cp:revision/>
  <cp:lastPrinted>2022-11-28T20:25:32Z</cp:lastPrinted>
  <dcterms:created xsi:type="dcterms:W3CDTF">2010-11-07T22:04:55Z</dcterms:created>
  <dcterms:modified xsi:type="dcterms:W3CDTF">2025-03-11T22:24:11Z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0x0101005EC20E99F398E94F89B09E974A2332E1</vt:lpwstr>
  </property>
  <property fmtid="{D5CDD505-2E9C-101B-9397-08002B2CF9AE}" pid="3" name="TaxKeyword">
    <vt:lpwstr/>
  </property>
  <property fmtid="{D5CDD505-2E9C-101B-9397-08002B2CF9AE}" pid="4" name="MediaServiceImageTags">
    <vt:lpwstr/>
  </property>
</Properties>
</file>