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9920" windowHeight="7890" activeTab="1"/>
  </bookViews>
  <sheets>
    <sheet name="Sheet1" sheetId="1" r:id="rId1"/>
    <sheet name="India" sheetId="2" r:id="rId2"/>
    <sheet name="Sheet3" sheetId="3" r:id="rId3"/>
    <sheet name="D%$&amp;01_DevSheet" sheetId="4" state="veryHidden" r:id="rId4"/>
  </sheets>
  <definedNames>
    <definedName name="_xlnm._FilterDatabase" localSheetId="1" hidden="1">India!$A$1:$AR$1</definedName>
  </definedNames>
  <calcPr calcId="145621"/>
</workbook>
</file>

<file path=xl/calcChain.xml><?xml version="1.0" encoding="utf-8"?>
<calcChain xmlns="http://schemas.openxmlformats.org/spreadsheetml/2006/main">
  <c r="F6" i="4" l="1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F2" i="4" l="1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P1" i="4"/>
  <c r="HQ1" i="4"/>
  <c r="HR1" i="4"/>
  <c r="HS1" i="4"/>
  <c r="HT1" i="4"/>
  <c r="HU1" i="4"/>
  <c r="HV1" i="4"/>
  <c r="HW1" i="4"/>
  <c r="HX1" i="4"/>
  <c r="HY1" i="4"/>
  <c r="HZ1" i="4"/>
  <c r="IA1" i="4"/>
  <c r="IB1" i="4"/>
  <c r="IC1" i="4"/>
  <c r="ID1" i="4"/>
  <c r="IE1" i="4"/>
  <c r="IF1" i="4"/>
  <c r="IG1" i="4"/>
  <c r="IH1" i="4"/>
  <c r="II1" i="4"/>
  <c r="IJ1" i="4"/>
  <c r="IK1" i="4"/>
  <c r="IL1" i="4"/>
  <c r="IM1" i="4"/>
  <c r="IN1" i="4"/>
  <c r="IO1" i="4"/>
  <c r="IP1" i="4"/>
  <c r="IQ1" i="4"/>
  <c r="IR1" i="4"/>
  <c r="IS1" i="4"/>
  <c r="IT1" i="4"/>
  <c r="IU1" i="4"/>
  <c r="IV1" i="4"/>
</calcChain>
</file>

<file path=xl/sharedStrings.xml><?xml version="1.0" encoding="utf-8"?>
<sst xmlns="http://schemas.openxmlformats.org/spreadsheetml/2006/main" count="559" uniqueCount="146">
  <si>
    <t>Subject/Topic</t>
  </si>
  <si>
    <t>Duration</t>
  </si>
  <si>
    <t>Priority</t>
  </si>
  <si>
    <t>Owner</t>
  </si>
  <si>
    <t>Ansible</t>
  </si>
  <si>
    <t>Type</t>
  </si>
  <si>
    <t>Managed Application</t>
  </si>
  <si>
    <t>FE</t>
  </si>
  <si>
    <t>Incident Management</t>
  </si>
  <si>
    <t>Event Management</t>
  </si>
  <si>
    <t>Automation - DevOps</t>
  </si>
  <si>
    <t>2IM</t>
  </si>
  <si>
    <t>Asset Management</t>
  </si>
  <si>
    <t>DNT</t>
  </si>
  <si>
    <t>SIC Role + SIC Actions</t>
  </si>
  <si>
    <t>TIO Role + TIO Actions</t>
  </si>
  <si>
    <t>Build</t>
  </si>
  <si>
    <t>Terraform</t>
  </si>
  <si>
    <t>IPAM</t>
  </si>
  <si>
    <t>NetBackup</t>
  </si>
  <si>
    <t>Backup</t>
  </si>
  <si>
    <t>Flexible Engine Offers and SLAs</t>
  </si>
  <si>
    <t>Digital SRF</t>
  </si>
  <si>
    <t>Guidelines and Process</t>
  </si>
  <si>
    <t>OC + Monitoring Reports</t>
  </si>
  <si>
    <t>Flexible Engine Technical Console</t>
  </si>
  <si>
    <t>Flexible Engine Infrastructure</t>
  </si>
  <si>
    <t>Mohamed El Khayat + Mirna Ossama</t>
  </si>
  <si>
    <t>Alaa Desoky + Hesham Ebrahim</t>
  </si>
  <si>
    <t>Progress</t>
  </si>
  <si>
    <t>Farida Sherif + Mirna Ossama</t>
  </si>
  <si>
    <t>OCB Tools</t>
  </si>
  <si>
    <t>Introduction to Managed Application</t>
  </si>
  <si>
    <t>Alaa Desoky + Mina Nader</t>
  </si>
  <si>
    <t>Link</t>
  </si>
  <si>
    <t>Document</t>
  </si>
  <si>
    <t>90 minutes</t>
  </si>
  <si>
    <t>Daily Service Desk Tasks + Guidelines</t>
  </si>
  <si>
    <t>Flexible Engine: how can I get the best of using it</t>
  </si>
  <si>
    <t>60 minutes</t>
  </si>
  <si>
    <t>120 minutes</t>
  </si>
  <si>
    <t>Thibault Linte</t>
  </si>
  <si>
    <t>Introduction to Orange Business Services</t>
  </si>
  <si>
    <t>Orange Business Services</t>
  </si>
  <si>
    <t>Manager</t>
  </si>
  <si>
    <t>Orange Cloud for Business</t>
  </si>
  <si>
    <t>OCB</t>
  </si>
  <si>
    <t>Orange GATE</t>
  </si>
  <si>
    <t>4 days</t>
  </si>
  <si>
    <t>Admin/HR Orientation</t>
  </si>
  <si>
    <t>Controlling Conflict, Stress, and Time in a Customer Service Environment</t>
  </si>
  <si>
    <t>ITIL® Service Operation Concepts</t>
  </si>
  <si>
    <t xml:space="preserve"> ITIL® 2011 Edition OSA: Introduction to the Service Desk</t>
  </si>
  <si>
    <t>Polishing Your Skills for Excellent Customer Service</t>
  </si>
  <si>
    <t>Cloud Computing Fundamentals: Virtualization and Data Centers</t>
  </si>
  <si>
    <t>Technologies</t>
  </si>
  <si>
    <t>Orange Learning</t>
  </si>
  <si>
    <t>Self-Placed</t>
  </si>
  <si>
    <t>83 minutes</t>
  </si>
  <si>
    <t>Cloud Computing Fundamentals: Overview</t>
  </si>
  <si>
    <t>110 minutes</t>
  </si>
  <si>
    <t>Microsoft Virtual Academy</t>
  </si>
  <si>
    <t>Introduction to Microsoft Azure</t>
  </si>
  <si>
    <t>Cloud Computing Fundamentals: Migrating to the Cloud</t>
  </si>
  <si>
    <t>LINK</t>
  </si>
  <si>
    <t>66 minutes</t>
  </si>
  <si>
    <t>Cloud Computing for the Business User: Concepts and Moving to the Cloud</t>
  </si>
  <si>
    <t>111 minutes</t>
  </si>
  <si>
    <t>Getting Started with Amazon Web Services</t>
  </si>
  <si>
    <t>138 minutes</t>
  </si>
  <si>
    <t>VMware Cloud Fundamentals</t>
  </si>
  <si>
    <t>180 minutes</t>
  </si>
  <si>
    <t>Vmware Academy</t>
  </si>
  <si>
    <t>Orange</t>
  </si>
  <si>
    <t>Mirna Ossama + Sanaa Afify</t>
  </si>
  <si>
    <t>In-Progress</t>
  </si>
  <si>
    <t>Escalation Process + Escalation Matrix + NIA</t>
  </si>
  <si>
    <t>Hassan Yusry + Mina Nader</t>
  </si>
  <si>
    <t>CyberArk + CASA Services</t>
  </si>
  <si>
    <t>BEM + Flow of Monitoring Tools</t>
  </si>
  <si>
    <t>Hesham Ebrahim + Mahitab El Mashad</t>
  </si>
  <si>
    <t>Providing Telephone Customer Service</t>
  </si>
  <si>
    <t>Customer Service</t>
  </si>
  <si>
    <t>Attendees</t>
  </si>
  <si>
    <t>L1-L2</t>
  </si>
  <si>
    <t>L1</t>
  </si>
  <si>
    <t>L2</t>
  </si>
  <si>
    <t>L2 Guidelines + Lotus Notes + IAI Templates</t>
  </si>
  <si>
    <t>ALL</t>
  </si>
  <si>
    <t>ALL "CAI"</t>
  </si>
  <si>
    <t>PIMS Web-based training for staff – overview and navigation</t>
  </si>
  <si>
    <t>HR System</t>
  </si>
  <si>
    <t>17 minutes</t>
  </si>
  <si>
    <t>Recorded Session</t>
  </si>
  <si>
    <t>OCEANE - Incident management for Orange - Internal Orange</t>
  </si>
  <si>
    <t>150 minutes</t>
  </si>
  <si>
    <t>Oceane tool fundamentals v2 - Web Based Training</t>
  </si>
  <si>
    <t>SWAN Internal Users Training</t>
  </si>
  <si>
    <t>Change Management</t>
  </si>
  <si>
    <t>D%$&amp;01_72bfd588110f47229f370b1992c87d82</t>
  </si>
  <si>
    <t>"$wK!1123"</t>
  </si>
  <si>
    <t>Linda Wagdy + Sanaa Afify</t>
  </si>
  <si>
    <t>Farida Sherif + Alaa Desoky</t>
  </si>
  <si>
    <t>SALADIN Mohamed OBS/OCB_7192_ORANGE FT Group_Windows (32-bit) NT 6.02_EQ-EQ6282535_VJRK0178$$$19022018</t>
  </si>
  <si>
    <t>Hemant Training Completed Date</t>
  </si>
  <si>
    <t>Hemant Assessement Completed Date</t>
  </si>
  <si>
    <t>Nitin  Training Completed Date</t>
  </si>
  <si>
    <t>Nitin Assessement Completed Date</t>
  </si>
  <si>
    <t>Ravindra Training Completed Date</t>
  </si>
  <si>
    <t>Ravindra Assessement Completed Date</t>
  </si>
  <si>
    <t>Aman  Training Completed Date</t>
  </si>
  <si>
    <t>Aman Assessement Completed Date</t>
  </si>
  <si>
    <t>Devender  Training Completed Date</t>
  </si>
  <si>
    <t>Devender Assessement Completed Date</t>
  </si>
  <si>
    <t>Ashutosh  Training Completed Date</t>
  </si>
  <si>
    <t>Ashutosh Assessement Completed Date</t>
  </si>
  <si>
    <t>Anisha  Training Completed Date</t>
  </si>
  <si>
    <t>Anisha Assessement Completed Date</t>
  </si>
  <si>
    <t>Niharika  Training Completed Date</t>
  </si>
  <si>
    <t>Niharika Assessement Completed Date</t>
  </si>
  <si>
    <t>Manya  Training Completed Date</t>
  </si>
  <si>
    <t>Manya Assessement Completed Date</t>
  </si>
  <si>
    <t>Gourav  Training Completed Date</t>
  </si>
  <si>
    <t>Gourav Assessement Completed Date</t>
  </si>
  <si>
    <t>Amit  Training Completed Date</t>
  </si>
  <si>
    <t>Amit Assessement Completed Date</t>
  </si>
  <si>
    <t>Manvendra  Training Completed Date</t>
  </si>
  <si>
    <t>Manvendra Assessement Completed Date</t>
  </si>
  <si>
    <t>Aridamanjeet  Training Completed Date</t>
  </si>
  <si>
    <t>Aridamanjeet Assessement Completed Date</t>
  </si>
  <si>
    <t>Vivek  Training Completed Date</t>
  </si>
  <si>
    <t>Vivek Assessement Completed Date</t>
  </si>
  <si>
    <t>Narender  Training Completed Date</t>
  </si>
  <si>
    <t>Narender Assessement Completed Date</t>
  </si>
  <si>
    <t>Akriti  Training Completed Date</t>
  </si>
  <si>
    <t>Akriti Assessement Completed Date</t>
  </si>
  <si>
    <t>Shantnu  Training Completed Date</t>
  </si>
  <si>
    <t>Shantnu Assessement Completed Date</t>
  </si>
  <si>
    <t>KATHURIA Vikas OBS/OCB_7192_ORANGE FT Group_Windows (32-bit) NT 6.01_EQ-EQ6280657_PMLZ5776$$$19022018</t>
  </si>
  <si>
    <t>"$K%t!865"</t>
  </si>
  <si>
    <t>Shashikant Training Completed Date</t>
  </si>
  <si>
    <t>Shashikant  Assessement Completed Date</t>
  </si>
  <si>
    <t xml:space="preserve">Mirna Ossama+ Farida Sherif </t>
  </si>
  <si>
    <t>N/A</t>
  </si>
  <si>
    <t>Introduction to Managed Applicationdfdsfsdasdf</t>
  </si>
  <si>
    <t>Orange Cloud for Business New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</si>
</sst>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/mmm/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Border="1"/>
    <xf numFmtId="0" fontId="1" fillId="0" borderId="1" xfId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164" fontId="0" fillId="0" borderId="0" xfId="0" applyNumberFormat="1"/>
    <xf numFmtId="0" fontId="0" fillId="0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15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range.csod.com/LMS/LoDetails/DetailsLo.aspx?loid=1fb27cef-d511-45e1-b9a9-af098b103ff2&amp;query=%3Fs%3D1%26q%3DCloud%252520Computing%252520Fundamentals&amp;back=%2FGlobalSearch%2FSearch.aspx%3Fs%3D1%26q%3DCloud%252520Computing%252520Fundamentals" TargetMode="External"/><Relationship Id="rId13" Type="http://schemas.openxmlformats.org/officeDocument/2006/relationships/hyperlink" Target="https://mylearn.vmware.com/portals/www/search/results.cfm?ui=www_edu&amp;menu=search-results&amp;searchtype=simple&amp;category=schedule&amp;id_subject=47865" TargetMode="External"/><Relationship Id="rId18" Type="http://schemas.openxmlformats.org/officeDocument/2006/relationships/hyperlink" Target="https://orange.csod.com/LMS/LoDetails/DetailsLo.aspx?loid=29c70047-1b38-4cdf-970f-2d00aa39c23c&amp;query=%3Fs%3D1%26q%3D%2525C2%2525A0ITIL%2525C2%2525AE%2525202011%252520Edition%252520OSA%25253A%252520Introduction%252520to%252520the%252520Service%252520Desk&amp;b" TargetMode="External"/><Relationship Id="rId26" Type="http://schemas.openxmlformats.org/officeDocument/2006/relationships/hyperlink" Target="https://plazza.orange.com/docs/DOC-693237" TargetMode="External"/><Relationship Id="rId3" Type="http://schemas.openxmlformats.org/officeDocument/2006/relationships/hyperlink" Target="https://plazza.orange.com/docs/DOC-673539" TargetMode="External"/><Relationship Id="rId21" Type="http://schemas.openxmlformats.org/officeDocument/2006/relationships/hyperlink" Target="https://plazza.orange.com/docs/DOC-689447?sr=strea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orange.csod.com/LMS/LoDetails/DetailsLo.aspx?loid=29e698ef-5fc4-4bcf-9f9d-8010ed029817&amp;query=%3Fs%3D1%26q%3DCloud%252520Computing%252520Fundamentals&amp;back=%2FGlobalSearch%2FSearch.aspx%3Fs%3D1%26q%3DCloud%252520Computing%252520Fundamentals" TargetMode="External"/><Relationship Id="rId12" Type="http://schemas.openxmlformats.org/officeDocument/2006/relationships/hyperlink" Target="https://orange.csod.com/GlobalSearch/search.aspx?s=1&amp;q=Getting%2520Started%2520with%2520Amazon%2520Web%2520Services%2520" TargetMode="External"/><Relationship Id="rId17" Type="http://schemas.openxmlformats.org/officeDocument/2006/relationships/hyperlink" Target="https://orange.csod.com/LMS/LoDetails/DetailsLo.aspx?loid=d10e9be7-88ef-4917-8258-17d25d473b75&amp;query=%3fq%3dITIL%c2%ae+Service+Operation+Concepts" TargetMode="External"/><Relationship Id="rId25" Type="http://schemas.openxmlformats.org/officeDocument/2006/relationships/hyperlink" Target="https://orange.csod.com/LMS/LoDetails/DetailsLo.aspx?loid=585f16c3-8dd6-4e59-9a34-ef37956c9923&amp;query=%3Fs%3D1%26q%3DSWAN&amp;back=%2FGlobalSearch%2FSearch.aspx%3Fs%3D1%26q%3DSWAN" TargetMode="External"/><Relationship Id="rId33" Type="http://schemas.openxmlformats.org/officeDocument/2006/relationships/hyperlink" Target="https://plazza.orange.com/docs/DOC-700891" TargetMode="External"/><Relationship Id="rId2" Type="http://schemas.openxmlformats.org/officeDocument/2006/relationships/hyperlink" Target="https://plazza.orange.com/docs/DOC-671278" TargetMode="External"/><Relationship Id="rId16" Type="http://schemas.openxmlformats.org/officeDocument/2006/relationships/hyperlink" Target="https://orange.csod.com/LMS/LoDetails/DetailsLo.aspx?loid=bb67d4e0-19b4-48fe-a888-235d9a7093a3&amp;query=%3fq%3dControlling+Conflict%2c+Stress%2c+and+Time+in+a+Customer+Service+Environment" TargetMode="External"/><Relationship Id="rId20" Type="http://schemas.openxmlformats.org/officeDocument/2006/relationships/hyperlink" Target="https://plazza.orange.com/docs/DOC-689819?sr=stream" TargetMode="External"/><Relationship Id="rId29" Type="http://schemas.openxmlformats.org/officeDocument/2006/relationships/hyperlink" Target="https://plazza.orange.com/docs/DOC-697876" TargetMode="External"/><Relationship Id="rId1" Type="http://schemas.openxmlformats.org/officeDocument/2006/relationships/hyperlink" Target="https://plazza.orange.com/docs/DOC-671277" TargetMode="External"/><Relationship Id="rId6" Type="http://schemas.openxmlformats.org/officeDocument/2006/relationships/hyperlink" Target="https://plazza.orange.com/docs/DOC-683403" TargetMode="External"/><Relationship Id="rId11" Type="http://schemas.openxmlformats.org/officeDocument/2006/relationships/hyperlink" Target="https://orange.csod.com/LMS/LoDetails/DetailsLo.aspx?loid=134adb8e-2fcb-4f53-92d6-3cbfe80e96b9&amp;query=%3fq%3dCloud+Computing+for+the+Business+User%3a+Concepts+and+Moving+to+the+Cloud" TargetMode="External"/><Relationship Id="rId24" Type="http://schemas.openxmlformats.org/officeDocument/2006/relationships/hyperlink" Target="https://orange.csod.com/LMS/LoDetails/DetailsLo.aspx?loId=371077e0-3b36-411e-a21a-d1be1a950565&amp;back=%2fLMS%2fBrowseTraining%2fBrowseTraining.aspx" TargetMode="External"/><Relationship Id="rId32" Type="http://schemas.openxmlformats.org/officeDocument/2006/relationships/hyperlink" Target="https://plazza.orange.com/docs/DOC-700891" TargetMode="External"/><Relationship Id="rId5" Type="http://schemas.openxmlformats.org/officeDocument/2006/relationships/hyperlink" Target="https://plazza.orange.com/thread/254752" TargetMode="External"/><Relationship Id="rId15" Type="http://schemas.openxmlformats.org/officeDocument/2006/relationships/hyperlink" Target="https://orange.csod.com/LMS/LoDetails/DetailsLo.aspx?loid=97b8629f-7f17-40bb-b1c4-4c8aaa4a076f&amp;query=%3Fs%3D1%26q%3DBasic%252520Customer%252520Service&amp;back=%2FGlobalSearch%2FSearch.aspx%3Fs%3D1%26q%3DBasic%252520Customer%252520Service" TargetMode="External"/><Relationship Id="rId23" Type="http://schemas.openxmlformats.org/officeDocument/2006/relationships/hyperlink" Target="https://orange.csod.com/LMS/UserTranscript/OnlineClassView.aspx?qs=%5e%5e%5eI3yIIOsD1fTEgzoy47xJ8PBdG6OCdOIXijTVahs3L%2fbupEy8Sr%2fsv6WuOyOLsJNukq6UQ9VlB6yO4wFf8PduS5MqwNmau6qv5HBhw2c0uJcOMC7obQROgbR5yeF0LJ%2fY" TargetMode="External"/><Relationship Id="rId28" Type="http://schemas.openxmlformats.org/officeDocument/2006/relationships/hyperlink" Target="https://orange.csod.com/LMS/LoDetails/DetailsLo.aspx?loid=17623f21-7b10-4508-8bad-db819e15361c&amp;query=%3Fs%3D1%26q%3DOrange%252520gate&amp;back=%2FGlobalSearch%2FSearch.aspx%3Fs%3D1%26q%3DOrange%252520gate" TargetMode="External"/><Relationship Id="rId10" Type="http://schemas.openxmlformats.org/officeDocument/2006/relationships/hyperlink" Target="https://orange.csod.com/LMS/LoDetails/DetailsLo.aspx?loid=a9b096b8-43c9-4a59-8cbd-8b0c13b106d2&amp;query=%3Fs%3D1%26q%3DCloud%252520Computing%252520Fundamentals&amp;back=%2FGlobalSearch%2FSearch.aspx%3Fs%3D1%26q%3DCloud%252520Computing%252520Fundamentals" TargetMode="External"/><Relationship Id="rId19" Type="http://schemas.openxmlformats.org/officeDocument/2006/relationships/hyperlink" Target="https://orange.csod.com/GlobalSearch/search.aspx?s=1&amp;q=Polishing%2520Your%2520Skills%2520for%2520Excellent%2520Customer%2520Service" TargetMode="External"/><Relationship Id="rId31" Type="http://schemas.openxmlformats.org/officeDocument/2006/relationships/hyperlink" Target="https://plazza.orange.com/docs/DOC-700846" TargetMode="External"/><Relationship Id="rId4" Type="http://schemas.openxmlformats.org/officeDocument/2006/relationships/hyperlink" Target="https://plazza.orange.com/thread/254752" TargetMode="External"/><Relationship Id="rId9" Type="http://schemas.openxmlformats.org/officeDocument/2006/relationships/hyperlink" Target="https://mva.microsoft.com/en-US/training-courses/microsoft-azure-for-it-pros-content-series-introduction-to-microsoft-azure-16744" TargetMode="External"/><Relationship Id="rId14" Type="http://schemas.openxmlformats.org/officeDocument/2006/relationships/hyperlink" Target="https://plazza.orange.com/docs/DOC-686713" TargetMode="External"/><Relationship Id="rId22" Type="http://schemas.openxmlformats.org/officeDocument/2006/relationships/hyperlink" Target="https://orange.csod.com/LMS/LoDetails/DetailsLo.aspx?loid=ee6c796e-b33d-4f02-afa6-271b4b3ef51a&amp;query=%3Fs%3D1%26q%3DPIMS&amp;back=%2FGlobalSearch%2FSearch.aspx%3Fs%3D1%26q%3DPIMS" TargetMode="External"/><Relationship Id="rId27" Type="http://schemas.openxmlformats.org/officeDocument/2006/relationships/hyperlink" Target="https://orange.csod.com/LMS/LoDetails/DetailsLo.aspx?loid=66fadba3-c183-4c49-9e11-b68fa8770924&amp;query=%3Fs%3D1%26q%3DIntroduction%252520to%252520Orange%23q%3DIntroduction%252520to%252520Orange%26s%3D1%26f%3D0%26f%3D7%26a%3D&amp;back=%2FGlobalSearch%2FSearch.as" TargetMode="External"/><Relationship Id="rId30" Type="http://schemas.openxmlformats.org/officeDocument/2006/relationships/hyperlink" Target="https://plazza.orange.com/docs/DOC-700846" TargetMode="External"/><Relationship Id="rId35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range.csod.com/LMS/LoDetails/DetailsLo.aspx?loid=1fb27cef-d511-45e1-b9a9-af098b103ff2&amp;query=%3Fs%3D1%26q%3DCloud%252520Computing%252520Fundamentals&amp;back=%2FGlobalSearch%2FSearch.aspx%3Fs%3D1%26q%3DCloud%252520Computing%252520Fundamentals" TargetMode="External"/><Relationship Id="rId13" Type="http://schemas.openxmlformats.org/officeDocument/2006/relationships/hyperlink" Target="https://mylearn.vmware.com/portals/www/search/results.cfm?ui=www_edu&amp;menu=search-results&amp;searchtype=simple&amp;category=schedule&amp;id_subject=47865" TargetMode="External"/><Relationship Id="rId18" Type="http://schemas.openxmlformats.org/officeDocument/2006/relationships/hyperlink" Target="https://orange.csod.com/LMS/LoDetails/DetailsLo.aspx?loid=29c70047-1b38-4cdf-970f-2d00aa39c23c&amp;query=%3Fs%3D1%26q%3D%2525C2%2525A0ITIL%2525C2%2525AE%2525202011%252520Edition%252520OSA%25253A%252520Introduction%252520to%252520the%252520Service%252520Desk&amp;b" TargetMode="External"/><Relationship Id="rId26" Type="http://schemas.openxmlformats.org/officeDocument/2006/relationships/hyperlink" Target="https://plazza.orange.com/docs/DOC-693237" TargetMode="External"/><Relationship Id="rId3" Type="http://schemas.openxmlformats.org/officeDocument/2006/relationships/hyperlink" Target="https://plazza.orange.com/docs/DOC-673539" TargetMode="External"/><Relationship Id="rId21" Type="http://schemas.openxmlformats.org/officeDocument/2006/relationships/hyperlink" Target="https://plazza.orange.com/docs/DOC-689447?sr=stream" TargetMode="External"/><Relationship Id="rId7" Type="http://schemas.openxmlformats.org/officeDocument/2006/relationships/hyperlink" Target="https://orange.csod.com/LMS/LoDetails/DetailsLo.aspx?loid=29e698ef-5fc4-4bcf-9f9d-8010ed029817&amp;query=%3Fs%3D1%26q%3DCloud%252520Computing%252520Fundamentals&amp;back=%2FGlobalSearch%2FSearch.aspx%3Fs%3D1%26q%3DCloud%252520Computing%252520Fundamentals" TargetMode="External"/><Relationship Id="rId12" Type="http://schemas.openxmlformats.org/officeDocument/2006/relationships/hyperlink" Target="https://orange.csod.com/GlobalSearch/search.aspx?s=1&amp;q=Getting%2520Started%2520with%2520Amazon%2520Web%2520Services%2520" TargetMode="External"/><Relationship Id="rId17" Type="http://schemas.openxmlformats.org/officeDocument/2006/relationships/hyperlink" Target="https://orange.csod.com/LMS/LoDetails/DetailsLo.aspx?loid=d10e9be7-88ef-4917-8258-17d25d473b75&amp;query=%3fq%3dITIL%c2%ae+Service+Operation+Concepts" TargetMode="External"/><Relationship Id="rId25" Type="http://schemas.openxmlformats.org/officeDocument/2006/relationships/hyperlink" Target="https://orange.csod.com/LMS/LoDetails/DetailsLo.aspx?loid=585f16c3-8dd6-4e59-9a34-ef37956c9923&amp;query=%3Fs%3D1%26q%3DSWAN&amp;back=%2FGlobalSearch%2FSearch.aspx%3Fs%3D1%26q%3DSWAN" TargetMode="External"/><Relationship Id="rId2" Type="http://schemas.openxmlformats.org/officeDocument/2006/relationships/hyperlink" Target="https://plazza.orange.com/docs/DOC-671278" TargetMode="External"/><Relationship Id="rId16" Type="http://schemas.openxmlformats.org/officeDocument/2006/relationships/hyperlink" Target="https://orange.csod.com/LMS/LoDetails/DetailsLo.aspx?loid=bb67d4e0-19b4-48fe-a888-235d9a7093a3&amp;query=%3fq%3dControlling+Conflict%2c+Stress%2c+and+Time+in+a+Customer+Service+Environment" TargetMode="External"/><Relationship Id="rId20" Type="http://schemas.openxmlformats.org/officeDocument/2006/relationships/hyperlink" Target="https://plazza.orange.com/docs/DOC-689819?sr=stream" TargetMode="External"/><Relationship Id="rId29" Type="http://schemas.openxmlformats.org/officeDocument/2006/relationships/hyperlink" Target="https://plazza.orange.com/docs/DOC-697876" TargetMode="External"/><Relationship Id="rId1" Type="http://schemas.openxmlformats.org/officeDocument/2006/relationships/hyperlink" Target="https://plazza.orange.com/docs/DOC-671277" TargetMode="External"/><Relationship Id="rId6" Type="http://schemas.openxmlformats.org/officeDocument/2006/relationships/hyperlink" Target="https://plazza.orange.com/docs/DOC-683403" TargetMode="External"/><Relationship Id="rId11" Type="http://schemas.openxmlformats.org/officeDocument/2006/relationships/hyperlink" Target="https://orange.csod.com/LMS/LoDetails/DetailsLo.aspx?loid=134adb8e-2fcb-4f53-92d6-3cbfe80e96b9&amp;query=%3fq%3dCloud+Computing+for+the+Business+User%3a+Concepts+and+Moving+to+the+Cloud" TargetMode="External"/><Relationship Id="rId24" Type="http://schemas.openxmlformats.org/officeDocument/2006/relationships/hyperlink" Target="https://orange.csod.com/LMS/LoDetails/DetailsLo.aspx?loId=371077e0-3b36-411e-a21a-d1be1a950565&amp;back=%2fLMS%2fBrowseTraining%2fBrowseTraining.aspx" TargetMode="External"/><Relationship Id="rId5" Type="http://schemas.openxmlformats.org/officeDocument/2006/relationships/hyperlink" Target="https://plazza.orange.com/thread/254752" TargetMode="External"/><Relationship Id="rId15" Type="http://schemas.openxmlformats.org/officeDocument/2006/relationships/hyperlink" Target="https://orange.csod.com/LMS/LoDetails/DetailsLo.aspx?loid=97b8629f-7f17-40bb-b1c4-4c8aaa4a076f&amp;query=%3Fs%3D1%26q%3DBasic%252520Customer%252520Service&amp;back=%2FGlobalSearch%2FSearch.aspx%3Fs%3D1%26q%3DBasic%252520Customer%252520Service" TargetMode="External"/><Relationship Id="rId23" Type="http://schemas.openxmlformats.org/officeDocument/2006/relationships/hyperlink" Target="https://orange.csod.com/LMS/UserTranscript/OnlineClassView.aspx?qs=%5e%5e%5eI3yIIOsD1fTEgzoy47xJ8PBdG6OCdOIXijTVahs3L%2fbupEy8Sr%2fsv6WuOyOLsJNukq6UQ9VlB6yO4wFf8PduS5MqwNmau6qv5HBhw2c0uJcOMC7obQROgbR5yeF0LJ%2fY" TargetMode="External"/><Relationship Id="rId28" Type="http://schemas.openxmlformats.org/officeDocument/2006/relationships/hyperlink" Target="https://orange.csod.com/LMS/LoDetails/DetailsLo.aspx?loid=17623f21-7b10-4508-8bad-db819e15361c&amp;query=%3Fs%3D1%26q%3DOrange%252520gate&amp;back=%2FGlobalSearch%2FSearch.aspx%3Fs%3D1%26q%3DOrange%252520gate" TargetMode="External"/><Relationship Id="rId10" Type="http://schemas.openxmlformats.org/officeDocument/2006/relationships/hyperlink" Target="https://orange.csod.com/LMS/LoDetails/DetailsLo.aspx?loid=a9b096b8-43c9-4a59-8cbd-8b0c13b106d2&amp;query=%3Fs%3D1%26q%3DCloud%252520Computing%252520Fundamentals&amp;back=%2FGlobalSearch%2FSearch.aspx%3Fs%3D1%26q%3DCloud%252520Computing%252520Fundamentals" TargetMode="External"/><Relationship Id="rId19" Type="http://schemas.openxmlformats.org/officeDocument/2006/relationships/hyperlink" Target="https://orange.csod.com/GlobalSearch/search.aspx?s=1&amp;q=Polishing%2520Your%2520Skills%2520for%2520Excellent%2520Customer%2520Service" TargetMode="External"/><Relationship Id="rId31" Type="http://schemas.openxmlformats.org/officeDocument/2006/relationships/customProperty" Target="../customProperty2.bin"/><Relationship Id="rId4" Type="http://schemas.openxmlformats.org/officeDocument/2006/relationships/hyperlink" Target="https://plazza.orange.com/thread/254752" TargetMode="External"/><Relationship Id="rId9" Type="http://schemas.openxmlformats.org/officeDocument/2006/relationships/hyperlink" Target="https://mva.microsoft.com/en-US/training-courses/microsoft-azure-for-it-pros-content-series-introduction-to-microsoft-azure-16744" TargetMode="External"/><Relationship Id="rId14" Type="http://schemas.openxmlformats.org/officeDocument/2006/relationships/hyperlink" Target="https://plazza.orange.com/docs/DOC-686713" TargetMode="External"/><Relationship Id="rId22" Type="http://schemas.openxmlformats.org/officeDocument/2006/relationships/hyperlink" Target="https://orange.csod.com/LMS/LoDetails/DetailsLo.aspx?loid=ee6c796e-b33d-4f02-afa6-271b4b3ef51a&amp;query=%3Fs%3D1%26q%3DPIMS&amp;back=%2FGlobalSearch%2FSearch.aspx%3Fs%3D1%26q%3DPIMS" TargetMode="External"/><Relationship Id="rId27" Type="http://schemas.openxmlformats.org/officeDocument/2006/relationships/hyperlink" Target="https://orange.csod.com/LMS/LoDetails/DetailsLo.aspx?loid=66fadba3-c183-4c49-9e11-b68fa8770924&amp;query=%3Fs%3D1%26q%3DIntroduction%252520to%252520Orange%23q%3DIntroduction%252520to%252520Orange%26s%3D1%26f%3D0%26f%3D7%26a%3D&amp;back=%2FGlobalSearch%2FSearch.as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10" sqref="A10"/>
    </sheetView>
  </sheetViews>
  <sheetFormatPr defaultRowHeight="15" x14ac:dyDescent="0.25"/>
  <cols>
    <col min="1" max="1" width="66.7109375" bestFit="1" customWidth="1"/>
    <col min="2" max="2" width="13.85546875" customWidth="1"/>
    <col min="3" max="3" width="42.28515625" customWidth="1"/>
    <col min="4" max="4" width="16.140625" customWidth="1"/>
    <col min="5" max="5" width="11.7109375" bestFit="1" customWidth="1"/>
    <col min="6" max="6" width="11.7109375" customWidth="1"/>
    <col min="7" max="7" width="35.140625" bestFit="1" customWidth="1"/>
    <col min="8" max="8" width="10.140625" bestFit="1" customWidth="1"/>
  </cols>
  <sheetData>
    <row r="1" spans="1:8" x14ac:dyDescent="0.25">
      <c r="A1" s="7" t="s">
        <v>0</v>
      </c>
      <c r="B1" s="7" t="s">
        <v>2</v>
      </c>
      <c r="C1" s="7" t="s">
        <v>5</v>
      </c>
      <c r="D1" s="7" t="s">
        <v>29</v>
      </c>
      <c r="E1" s="7" t="s">
        <v>1</v>
      </c>
      <c r="F1" s="7" t="s">
        <v>83</v>
      </c>
      <c r="G1" s="7" t="s">
        <v>3</v>
      </c>
      <c r="H1" s="7" t="s">
        <v>35</v>
      </c>
    </row>
    <row r="2" spans="1:8" x14ac:dyDescent="0.25">
      <c r="A2" s="8" t="s">
        <v>42</v>
      </c>
      <c r="B2" s="1">
        <v>1</v>
      </c>
      <c r="C2" s="1" t="s">
        <v>43</v>
      </c>
      <c r="D2" s="3" t="s">
        <v>73</v>
      </c>
      <c r="E2" s="1" t="s">
        <v>39</v>
      </c>
      <c r="F2" s="1" t="s">
        <v>88</v>
      </c>
      <c r="G2" s="1" t="s">
        <v>44</v>
      </c>
      <c r="H2" s="4" t="s">
        <v>64</v>
      </c>
    </row>
    <row r="3" spans="1:8" x14ac:dyDescent="0.25">
      <c r="A3" s="8" t="s">
        <v>45</v>
      </c>
      <c r="B3" s="1">
        <v>1</v>
      </c>
      <c r="C3" s="1" t="s">
        <v>46</v>
      </c>
      <c r="D3" s="3" t="s">
        <v>73</v>
      </c>
      <c r="E3" s="1" t="s">
        <v>39</v>
      </c>
      <c r="F3" s="1" t="s">
        <v>88</v>
      </c>
      <c r="G3" s="1" t="s">
        <v>44</v>
      </c>
      <c r="H3" s="4" t="s">
        <v>64</v>
      </c>
    </row>
    <row r="4" spans="1:8" x14ac:dyDescent="0.25">
      <c r="A4" s="8" t="s">
        <v>47</v>
      </c>
      <c r="B4" s="1">
        <v>1</v>
      </c>
      <c r="C4" s="1" t="s">
        <v>43</v>
      </c>
      <c r="D4" s="3" t="s">
        <v>73</v>
      </c>
      <c r="E4" s="1" t="s">
        <v>48</v>
      </c>
      <c r="F4" s="1" t="s">
        <v>89</v>
      </c>
      <c r="G4" s="1" t="s">
        <v>49</v>
      </c>
      <c r="H4" s="4" t="s">
        <v>64</v>
      </c>
    </row>
    <row r="5" spans="1:8" x14ac:dyDescent="0.25">
      <c r="A5" s="8" t="s">
        <v>90</v>
      </c>
      <c r="B5" s="1">
        <v>1</v>
      </c>
      <c r="C5" s="1" t="s">
        <v>91</v>
      </c>
      <c r="D5" s="3" t="s">
        <v>73</v>
      </c>
      <c r="E5" s="1" t="s">
        <v>92</v>
      </c>
      <c r="F5" s="1" t="s">
        <v>88</v>
      </c>
      <c r="G5" s="1" t="s">
        <v>56</v>
      </c>
      <c r="H5" s="4" t="s">
        <v>64</v>
      </c>
    </row>
    <row r="6" spans="1:8" x14ac:dyDescent="0.25">
      <c r="A6" s="8" t="s">
        <v>32</v>
      </c>
      <c r="B6" s="1">
        <v>1</v>
      </c>
      <c r="C6" s="1" t="s">
        <v>6</v>
      </c>
      <c r="D6" s="3" t="s">
        <v>93</v>
      </c>
      <c r="E6" s="1" t="s">
        <v>36</v>
      </c>
      <c r="F6" s="1" t="s">
        <v>88</v>
      </c>
      <c r="G6" s="1" t="s">
        <v>33</v>
      </c>
      <c r="H6" s="4" t="s">
        <v>34</v>
      </c>
    </row>
    <row r="7" spans="1:8" x14ac:dyDescent="0.25">
      <c r="A7" s="8" t="s">
        <v>26</v>
      </c>
      <c r="B7" s="1">
        <v>1</v>
      </c>
      <c r="C7" s="1" t="s">
        <v>7</v>
      </c>
      <c r="D7" s="3" t="s">
        <v>93</v>
      </c>
      <c r="E7" s="1" t="s">
        <v>36</v>
      </c>
      <c r="F7" s="1" t="s">
        <v>88</v>
      </c>
      <c r="G7" s="1" t="s">
        <v>28</v>
      </c>
      <c r="H7" s="6" t="s">
        <v>34</v>
      </c>
    </row>
    <row r="8" spans="1:8" x14ac:dyDescent="0.25">
      <c r="A8" s="8" t="s">
        <v>25</v>
      </c>
      <c r="B8" s="1">
        <v>1</v>
      </c>
      <c r="C8" s="1" t="s">
        <v>7</v>
      </c>
      <c r="D8" s="3" t="s">
        <v>93</v>
      </c>
      <c r="E8" s="1" t="s">
        <v>36</v>
      </c>
      <c r="F8" s="1" t="s">
        <v>88</v>
      </c>
      <c r="G8" s="1" t="s">
        <v>28</v>
      </c>
      <c r="H8" s="6" t="s">
        <v>34</v>
      </c>
    </row>
    <row r="9" spans="1:8" x14ac:dyDescent="0.25">
      <c r="A9" s="8" t="s">
        <v>21</v>
      </c>
      <c r="B9" s="1">
        <v>1</v>
      </c>
      <c r="C9" s="1" t="s">
        <v>7</v>
      </c>
      <c r="D9" s="3" t="s">
        <v>93</v>
      </c>
      <c r="E9" s="1" t="s">
        <v>36</v>
      </c>
      <c r="F9" s="1" t="s">
        <v>88</v>
      </c>
      <c r="G9" s="1" t="s">
        <v>30</v>
      </c>
      <c r="H9" s="6" t="s">
        <v>34</v>
      </c>
    </row>
    <row r="10" spans="1:8" x14ac:dyDescent="0.25">
      <c r="A10" s="8" t="s">
        <v>37</v>
      </c>
      <c r="B10" s="1">
        <v>1</v>
      </c>
      <c r="C10" s="1" t="s">
        <v>23</v>
      </c>
      <c r="D10" s="3" t="s">
        <v>93</v>
      </c>
      <c r="E10" s="1" t="s">
        <v>36</v>
      </c>
      <c r="F10" s="1" t="s">
        <v>85</v>
      </c>
      <c r="G10" s="1" t="s">
        <v>27</v>
      </c>
      <c r="H10" s="6" t="s">
        <v>34</v>
      </c>
    </row>
    <row r="11" spans="1:8" x14ac:dyDescent="0.25">
      <c r="A11" s="8" t="s">
        <v>38</v>
      </c>
      <c r="B11" s="1">
        <v>1</v>
      </c>
      <c r="C11" s="1" t="s">
        <v>7</v>
      </c>
      <c r="D11" s="3" t="s">
        <v>93</v>
      </c>
      <c r="E11" s="1" t="s">
        <v>40</v>
      </c>
      <c r="F11" s="1" t="s">
        <v>88</v>
      </c>
      <c r="G11" s="1" t="s">
        <v>41</v>
      </c>
      <c r="H11" s="6" t="s">
        <v>34</v>
      </c>
    </row>
    <row r="12" spans="1:8" x14ac:dyDescent="0.25">
      <c r="A12" s="8" t="s">
        <v>94</v>
      </c>
      <c r="B12" s="1">
        <v>1</v>
      </c>
      <c r="C12" s="1" t="s">
        <v>8</v>
      </c>
      <c r="D12" s="3" t="s">
        <v>57</v>
      </c>
      <c r="E12" s="1" t="s">
        <v>95</v>
      </c>
      <c r="F12" s="1" t="s">
        <v>88</v>
      </c>
      <c r="G12" s="1" t="s">
        <v>56</v>
      </c>
      <c r="H12" s="6" t="s">
        <v>64</v>
      </c>
    </row>
    <row r="13" spans="1:8" x14ac:dyDescent="0.25">
      <c r="A13" s="8" t="s">
        <v>96</v>
      </c>
      <c r="B13" s="1">
        <v>1</v>
      </c>
      <c r="C13" s="1" t="s">
        <v>8</v>
      </c>
      <c r="D13" s="3" t="s">
        <v>57</v>
      </c>
      <c r="E13" s="1" t="s">
        <v>40</v>
      </c>
      <c r="F13" s="1" t="s">
        <v>84</v>
      </c>
      <c r="G13" s="1" t="s">
        <v>56</v>
      </c>
      <c r="H13" s="6" t="s">
        <v>64</v>
      </c>
    </row>
    <row r="14" spans="1:8" x14ac:dyDescent="0.25">
      <c r="A14" s="8" t="s">
        <v>97</v>
      </c>
      <c r="B14" s="1">
        <v>1</v>
      </c>
      <c r="C14" s="1" t="s">
        <v>98</v>
      </c>
      <c r="D14" s="3" t="s">
        <v>57</v>
      </c>
      <c r="E14" s="1" t="s">
        <v>36</v>
      </c>
      <c r="F14" s="1" t="s">
        <v>84</v>
      </c>
      <c r="G14" s="1" t="s">
        <v>56</v>
      </c>
      <c r="H14" s="6" t="s">
        <v>64</v>
      </c>
    </row>
    <row r="15" spans="1:8" x14ac:dyDescent="0.25">
      <c r="A15" s="8" t="s">
        <v>79</v>
      </c>
      <c r="B15" s="1">
        <v>1</v>
      </c>
      <c r="C15" s="1" t="s">
        <v>9</v>
      </c>
      <c r="D15" s="3" t="s">
        <v>93</v>
      </c>
      <c r="E15" s="1" t="s">
        <v>36</v>
      </c>
      <c r="F15" s="1" t="s">
        <v>84</v>
      </c>
      <c r="G15" s="1" t="s">
        <v>80</v>
      </c>
      <c r="H15" s="6" t="s">
        <v>64</v>
      </c>
    </row>
    <row r="16" spans="1:8" x14ac:dyDescent="0.25">
      <c r="A16" s="8" t="s">
        <v>24</v>
      </c>
      <c r="B16" s="1">
        <v>1</v>
      </c>
      <c r="C16" s="1" t="s">
        <v>9</v>
      </c>
      <c r="D16" s="3" t="s">
        <v>93</v>
      </c>
      <c r="E16" s="1" t="s">
        <v>36</v>
      </c>
      <c r="F16" s="1" t="s">
        <v>85</v>
      </c>
      <c r="G16" s="1" t="s">
        <v>101</v>
      </c>
      <c r="H16" s="6" t="s">
        <v>64</v>
      </c>
    </row>
    <row r="17" spans="1:8" x14ac:dyDescent="0.25">
      <c r="A17" s="8" t="s">
        <v>76</v>
      </c>
      <c r="B17" s="1">
        <v>1</v>
      </c>
      <c r="C17" s="1" t="s">
        <v>23</v>
      </c>
      <c r="D17" s="3" t="s">
        <v>93</v>
      </c>
      <c r="E17" s="1" t="s">
        <v>36</v>
      </c>
      <c r="F17" s="1" t="s">
        <v>85</v>
      </c>
      <c r="G17" s="1" t="s">
        <v>74</v>
      </c>
      <c r="H17" s="6" t="s">
        <v>34</v>
      </c>
    </row>
    <row r="18" spans="1:8" x14ac:dyDescent="0.25">
      <c r="A18" s="8" t="s">
        <v>4</v>
      </c>
      <c r="B18" s="1">
        <v>2</v>
      </c>
      <c r="C18" s="1" t="s">
        <v>10</v>
      </c>
      <c r="D18" s="3" t="s">
        <v>93</v>
      </c>
      <c r="E18" s="1" t="s">
        <v>39</v>
      </c>
      <c r="F18" s="1" t="s">
        <v>86</v>
      </c>
      <c r="G18" s="1" t="s">
        <v>77</v>
      </c>
      <c r="H18" s="6" t="s">
        <v>64</v>
      </c>
    </row>
    <row r="19" spans="1:8" x14ac:dyDescent="0.25">
      <c r="A19" s="8" t="s">
        <v>17</v>
      </c>
      <c r="B19" s="1">
        <v>2</v>
      </c>
      <c r="C19" s="1" t="s">
        <v>10</v>
      </c>
      <c r="D19" s="3" t="s">
        <v>93</v>
      </c>
      <c r="E19" s="1" t="s">
        <v>39</v>
      </c>
      <c r="F19" s="1" t="s">
        <v>86</v>
      </c>
      <c r="G19" s="1" t="s">
        <v>77</v>
      </c>
      <c r="H19" s="6" t="s">
        <v>64</v>
      </c>
    </row>
    <row r="20" spans="1:8" x14ac:dyDescent="0.25">
      <c r="A20" s="8" t="s">
        <v>81</v>
      </c>
      <c r="B20" s="1">
        <v>2</v>
      </c>
      <c r="C20" s="1" t="s">
        <v>82</v>
      </c>
      <c r="D20" s="3" t="s">
        <v>57</v>
      </c>
      <c r="E20" s="1" t="s">
        <v>40</v>
      </c>
      <c r="F20" s="1" t="s">
        <v>85</v>
      </c>
      <c r="G20" s="1" t="s">
        <v>56</v>
      </c>
      <c r="H20" s="6" t="s">
        <v>64</v>
      </c>
    </row>
    <row r="21" spans="1:8" x14ac:dyDescent="0.25">
      <c r="A21" s="8" t="s">
        <v>50</v>
      </c>
      <c r="B21" s="1">
        <v>2</v>
      </c>
      <c r="C21" s="1" t="s">
        <v>82</v>
      </c>
      <c r="D21" s="3" t="s">
        <v>57</v>
      </c>
      <c r="E21" s="1" t="s">
        <v>40</v>
      </c>
      <c r="F21" s="1" t="s">
        <v>85</v>
      </c>
      <c r="G21" s="1" t="s">
        <v>56</v>
      </c>
      <c r="H21" s="6" t="s">
        <v>64</v>
      </c>
    </row>
    <row r="22" spans="1:8" x14ac:dyDescent="0.25">
      <c r="A22" s="8" t="s">
        <v>51</v>
      </c>
      <c r="B22" s="1">
        <v>2</v>
      </c>
      <c r="C22" s="1" t="s">
        <v>82</v>
      </c>
      <c r="D22" s="3" t="s">
        <v>57</v>
      </c>
      <c r="E22" s="1" t="s">
        <v>40</v>
      </c>
      <c r="F22" s="1" t="s">
        <v>85</v>
      </c>
      <c r="G22" s="1" t="s">
        <v>56</v>
      </c>
      <c r="H22" s="6" t="s">
        <v>64</v>
      </c>
    </row>
    <row r="23" spans="1:8" x14ac:dyDescent="0.25">
      <c r="A23" s="8" t="s">
        <v>52</v>
      </c>
      <c r="B23" s="1">
        <v>2</v>
      </c>
      <c r="C23" s="1" t="s">
        <v>82</v>
      </c>
      <c r="D23" s="3" t="s">
        <v>57</v>
      </c>
      <c r="E23" s="1" t="s">
        <v>40</v>
      </c>
      <c r="F23" s="1" t="s">
        <v>85</v>
      </c>
      <c r="G23" s="1" t="s">
        <v>56</v>
      </c>
      <c r="H23" s="6" t="s">
        <v>64</v>
      </c>
    </row>
    <row r="24" spans="1:8" x14ac:dyDescent="0.25">
      <c r="A24" s="8" t="s">
        <v>53</v>
      </c>
      <c r="B24" s="1">
        <v>2</v>
      </c>
      <c r="C24" s="1" t="s">
        <v>82</v>
      </c>
      <c r="D24" s="3" t="s">
        <v>57</v>
      </c>
      <c r="E24" s="1" t="s">
        <v>40</v>
      </c>
      <c r="F24" s="1" t="s">
        <v>85</v>
      </c>
      <c r="G24" s="1" t="s">
        <v>56</v>
      </c>
      <c r="H24" s="6" t="s">
        <v>64</v>
      </c>
    </row>
    <row r="25" spans="1:8" x14ac:dyDescent="0.25">
      <c r="A25" s="8" t="s">
        <v>59</v>
      </c>
      <c r="B25" s="1">
        <v>2</v>
      </c>
      <c r="C25" s="1" t="s">
        <v>55</v>
      </c>
      <c r="D25" s="3" t="s">
        <v>57</v>
      </c>
      <c r="E25" s="1" t="s">
        <v>60</v>
      </c>
      <c r="F25" s="1" t="s">
        <v>84</v>
      </c>
      <c r="G25" s="1" t="s">
        <v>56</v>
      </c>
      <c r="H25" s="6" t="s">
        <v>34</v>
      </c>
    </row>
    <row r="26" spans="1:8" x14ac:dyDescent="0.25">
      <c r="A26" s="8" t="s">
        <v>63</v>
      </c>
      <c r="B26" s="1">
        <v>2</v>
      </c>
      <c r="C26" s="1" t="s">
        <v>55</v>
      </c>
      <c r="D26" s="3" t="s">
        <v>57</v>
      </c>
      <c r="E26" s="1" t="s">
        <v>65</v>
      </c>
      <c r="F26" s="1" t="s">
        <v>84</v>
      </c>
      <c r="G26" s="1" t="s">
        <v>56</v>
      </c>
      <c r="H26" s="6" t="s">
        <v>64</v>
      </c>
    </row>
    <row r="27" spans="1:8" x14ac:dyDescent="0.25">
      <c r="A27" s="8" t="s">
        <v>66</v>
      </c>
      <c r="B27" s="1">
        <v>2</v>
      </c>
      <c r="C27" s="1" t="s">
        <v>55</v>
      </c>
      <c r="D27" s="3" t="s">
        <v>57</v>
      </c>
      <c r="E27" s="1" t="s">
        <v>67</v>
      </c>
      <c r="F27" s="1" t="s">
        <v>84</v>
      </c>
      <c r="G27" s="1" t="s">
        <v>56</v>
      </c>
      <c r="H27" s="6" t="s">
        <v>64</v>
      </c>
    </row>
    <row r="28" spans="1:8" x14ac:dyDescent="0.25">
      <c r="A28" s="8" t="s">
        <v>54</v>
      </c>
      <c r="B28" s="1">
        <v>2</v>
      </c>
      <c r="C28" s="1" t="s">
        <v>55</v>
      </c>
      <c r="D28" s="3" t="s">
        <v>57</v>
      </c>
      <c r="E28" s="1" t="s">
        <v>58</v>
      </c>
      <c r="F28" s="1" t="s">
        <v>84</v>
      </c>
      <c r="G28" s="1" t="s">
        <v>56</v>
      </c>
      <c r="H28" s="6" t="s">
        <v>34</v>
      </c>
    </row>
    <row r="29" spans="1:8" x14ac:dyDescent="0.25">
      <c r="A29" s="8" t="s">
        <v>62</v>
      </c>
      <c r="B29" s="1">
        <v>2</v>
      </c>
      <c r="C29" s="1" t="s">
        <v>55</v>
      </c>
      <c r="D29" s="3" t="s">
        <v>57</v>
      </c>
      <c r="E29" s="1" t="s">
        <v>39</v>
      </c>
      <c r="F29" s="1" t="s">
        <v>84</v>
      </c>
      <c r="G29" s="1" t="s">
        <v>61</v>
      </c>
      <c r="H29" s="6" t="s">
        <v>34</v>
      </c>
    </row>
    <row r="30" spans="1:8" x14ac:dyDescent="0.25">
      <c r="A30" s="8" t="s">
        <v>70</v>
      </c>
      <c r="B30" s="1">
        <v>2</v>
      </c>
      <c r="C30" s="1" t="s">
        <v>55</v>
      </c>
      <c r="D30" s="3" t="s">
        <v>57</v>
      </c>
      <c r="E30" s="1" t="s">
        <v>71</v>
      </c>
      <c r="F30" s="1" t="s">
        <v>84</v>
      </c>
      <c r="G30" s="1" t="s">
        <v>72</v>
      </c>
      <c r="H30" s="6" t="s">
        <v>64</v>
      </c>
    </row>
    <row r="31" spans="1:8" x14ac:dyDescent="0.25">
      <c r="A31" s="8" t="s">
        <v>68</v>
      </c>
      <c r="B31" s="1">
        <v>2</v>
      </c>
      <c r="C31" s="1" t="s">
        <v>55</v>
      </c>
      <c r="D31" s="3" t="s">
        <v>57</v>
      </c>
      <c r="E31" s="1" t="s">
        <v>69</v>
      </c>
      <c r="F31" s="1" t="s">
        <v>84</v>
      </c>
      <c r="G31" s="1" t="s">
        <v>56</v>
      </c>
      <c r="H31" s="6" t="s">
        <v>64</v>
      </c>
    </row>
    <row r="32" spans="1:8" x14ac:dyDescent="0.25">
      <c r="A32" s="8" t="s">
        <v>78</v>
      </c>
      <c r="B32" s="1">
        <v>2</v>
      </c>
      <c r="C32" s="1" t="s">
        <v>31</v>
      </c>
      <c r="D32" s="3" t="s">
        <v>93</v>
      </c>
      <c r="E32" s="1" t="s">
        <v>36</v>
      </c>
      <c r="F32" s="1" t="s">
        <v>84</v>
      </c>
      <c r="G32" s="1" t="s">
        <v>80</v>
      </c>
      <c r="H32" s="6" t="s">
        <v>64</v>
      </c>
    </row>
    <row r="33" spans="1:8" x14ac:dyDescent="0.25">
      <c r="A33" s="8" t="s">
        <v>11</v>
      </c>
      <c r="B33" s="1">
        <v>2</v>
      </c>
      <c r="C33" s="1" t="s">
        <v>12</v>
      </c>
      <c r="D33" s="2" t="s">
        <v>75</v>
      </c>
      <c r="E33" s="1"/>
      <c r="F33" s="1"/>
      <c r="G33" s="1"/>
      <c r="H33" s="5"/>
    </row>
    <row r="34" spans="1:8" x14ac:dyDescent="0.25">
      <c r="A34" s="8" t="s">
        <v>13</v>
      </c>
      <c r="B34" s="1">
        <v>2</v>
      </c>
      <c r="C34" s="1"/>
      <c r="D34" s="2" t="s">
        <v>75</v>
      </c>
      <c r="E34" s="1"/>
      <c r="F34" s="1"/>
      <c r="G34" s="1"/>
      <c r="H34" s="5"/>
    </row>
    <row r="35" spans="1:8" x14ac:dyDescent="0.25">
      <c r="A35" s="8" t="s">
        <v>14</v>
      </c>
      <c r="B35" s="1">
        <v>3</v>
      </c>
      <c r="C35" s="1" t="s">
        <v>16</v>
      </c>
      <c r="D35" s="3" t="s">
        <v>93</v>
      </c>
      <c r="E35" s="1" t="s">
        <v>36</v>
      </c>
      <c r="F35" s="1" t="s">
        <v>86</v>
      </c>
      <c r="G35" s="1" t="s">
        <v>102</v>
      </c>
      <c r="H35" s="6" t="s">
        <v>64</v>
      </c>
    </row>
    <row r="36" spans="1:8" x14ac:dyDescent="0.25">
      <c r="A36" s="8" t="s">
        <v>15</v>
      </c>
      <c r="B36" s="1">
        <v>3</v>
      </c>
      <c r="C36" s="1" t="s">
        <v>16</v>
      </c>
      <c r="D36" s="3" t="s">
        <v>93</v>
      </c>
      <c r="E36" s="1" t="s">
        <v>36</v>
      </c>
      <c r="F36" s="1" t="s">
        <v>86</v>
      </c>
      <c r="G36" s="1" t="s">
        <v>102</v>
      </c>
      <c r="H36" s="6" t="s">
        <v>64</v>
      </c>
    </row>
    <row r="37" spans="1:8" x14ac:dyDescent="0.25">
      <c r="A37" s="8" t="s">
        <v>18</v>
      </c>
      <c r="B37" s="1">
        <v>3</v>
      </c>
      <c r="C37" s="1"/>
      <c r="D37" s="2" t="s">
        <v>75</v>
      </c>
      <c r="E37" s="1"/>
      <c r="F37" s="1"/>
      <c r="G37" s="1"/>
      <c r="H37" s="5"/>
    </row>
    <row r="38" spans="1:8" x14ac:dyDescent="0.25">
      <c r="A38" s="8" t="s">
        <v>19</v>
      </c>
      <c r="B38" s="1">
        <v>3</v>
      </c>
      <c r="C38" s="1" t="s">
        <v>20</v>
      </c>
      <c r="D38" s="2" t="s">
        <v>75</v>
      </c>
      <c r="E38" s="1"/>
      <c r="F38" s="1"/>
      <c r="G38" s="1"/>
      <c r="H38" s="5"/>
    </row>
    <row r="39" spans="1:8" x14ac:dyDescent="0.25">
      <c r="A39" s="8" t="s">
        <v>87</v>
      </c>
      <c r="B39" s="1">
        <v>1</v>
      </c>
      <c r="C39" s="1" t="s">
        <v>6</v>
      </c>
      <c r="D39" s="3" t="s">
        <v>93</v>
      </c>
      <c r="E39" s="1"/>
      <c r="F39" s="1" t="s">
        <v>84</v>
      </c>
      <c r="G39" s="1" t="s">
        <v>74</v>
      </c>
      <c r="H39" s="5"/>
    </row>
    <row r="40" spans="1:8" x14ac:dyDescent="0.25">
      <c r="A40" s="8" t="s">
        <v>22</v>
      </c>
      <c r="B40" s="1">
        <v>3</v>
      </c>
      <c r="C40" s="1" t="s">
        <v>16</v>
      </c>
      <c r="D40" s="2" t="s">
        <v>75</v>
      </c>
      <c r="E40" s="1"/>
      <c r="F40" s="1"/>
      <c r="G40" s="1"/>
      <c r="H40" s="5"/>
    </row>
  </sheetData>
  <hyperlinks>
    <hyperlink ref="H6" r:id="rId1"/>
    <hyperlink ref="H9" r:id="rId2"/>
    <hyperlink ref="H10" r:id="rId3"/>
    <hyperlink ref="H7" r:id="rId4"/>
    <hyperlink ref="H8" r:id="rId5"/>
    <hyperlink ref="H11" r:id="rId6"/>
    <hyperlink ref="H28" r:id="rId7" location="t=1"/>
    <hyperlink ref="H25" r:id="rId8" location="t=1"/>
    <hyperlink ref="H29" r:id="rId9"/>
    <hyperlink ref="H26" r:id="rId10" location="t=1"/>
    <hyperlink ref="H27" r:id="rId11" location="t=1"/>
    <hyperlink ref="H31" r:id="rId12"/>
    <hyperlink ref="H30" r:id="rId13"/>
    <hyperlink ref="H17" r:id="rId14"/>
    <hyperlink ref="H20" r:id="rId15" location="t=1"/>
    <hyperlink ref="H21" r:id="rId16" location="t=1"/>
    <hyperlink ref="H22" r:id="rId17" location="t=1"/>
    <hyperlink ref="H23" r:id="rId18"/>
    <hyperlink ref="H24" r:id="rId19"/>
    <hyperlink ref="H15" r:id="rId20"/>
    <hyperlink ref="H32" r:id="rId21"/>
    <hyperlink ref="H5" r:id="rId22" location="t=1"/>
    <hyperlink ref="H12" r:id="rId23"/>
    <hyperlink ref="H13" r:id="rId24" location="t=1"/>
    <hyperlink ref="H14" r:id="rId25" location="t=1"/>
    <hyperlink ref="H3" r:id="rId26"/>
    <hyperlink ref="H2" r:id="rId27"/>
    <hyperlink ref="H4" r:id="rId28" location="t=1"/>
    <hyperlink ref="H16" r:id="rId29"/>
    <hyperlink ref="H35" r:id="rId30"/>
    <hyperlink ref="H36" r:id="rId31"/>
    <hyperlink ref="H18" r:id="rId32"/>
    <hyperlink ref="H19" r:id="rId33"/>
  </hyperlinks>
  <pageMargins left="0.7" right="0.7" top="0.75" bottom="0.75" header="0.3" footer="0.3"/>
  <pageSetup orientation="portrait" r:id="rId34"/>
  <customProperties>
    <customPr name="Guid" r:id="rId35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abSelected="1" zoomScaleNormal="100" workbookViewId="0">
      <pane xSplit="3" ySplit="7" topLeftCell="AJ26" activePane="bottomRight" state="frozen"/>
      <selection pane="topRight" activeCell="D1" sqref="D1"/>
      <selection pane="bottomLeft" activeCell="A8" sqref="A8"/>
      <selection pane="bottomRight" activeCell="A3" sqref="A3"/>
    </sheetView>
  </sheetViews>
  <sheetFormatPr defaultRowHeight="15" x14ac:dyDescent="0.25"/>
  <cols>
    <col min="1" max="1" width="68.42578125" bestFit="1" customWidth="1"/>
    <col min="3" max="3" width="44.85546875" customWidth="1"/>
    <col min="4" max="4" width="16.7109375" bestFit="1" customWidth="1"/>
    <col min="5" max="5" width="11.7109375" bestFit="1" customWidth="1"/>
    <col min="7" max="7" width="35.140625" bestFit="1" customWidth="1"/>
    <col min="9" max="9" width="15.7109375" customWidth="1"/>
    <col min="10" max="10" width="15.85546875" customWidth="1"/>
    <col min="11" max="11" width="11.140625" customWidth="1"/>
    <col min="12" max="12" width="13" customWidth="1"/>
    <col min="13" max="13" width="11.5703125" customWidth="1"/>
    <col min="14" max="14" width="12.42578125" customWidth="1"/>
    <col min="15" max="15" width="10.7109375" customWidth="1"/>
    <col min="16" max="16" width="12.7109375" customWidth="1"/>
    <col min="17" max="17" width="9.7109375" customWidth="1"/>
    <col min="18" max="18" width="13.28515625" customWidth="1"/>
    <col min="19" max="19" width="15.5703125" bestFit="1" customWidth="1"/>
    <col min="20" max="20" width="13.28515625" customWidth="1"/>
    <col min="21" max="21" width="12.140625" customWidth="1"/>
    <col min="22" max="22" width="12.7109375" customWidth="1"/>
    <col min="23" max="23" width="10.7109375" customWidth="1"/>
    <col min="24" max="24" width="13.7109375" customWidth="1"/>
    <col min="25" max="25" width="10.5703125" customWidth="1"/>
    <col min="26" max="26" width="14.140625" customWidth="1"/>
    <col min="27" max="27" width="11.7109375" customWidth="1"/>
    <col min="28" max="28" width="13" customWidth="1"/>
    <col min="29" max="29" width="10.85546875" customWidth="1"/>
    <col min="30" max="30" width="10.42578125" customWidth="1"/>
    <col min="31" max="31" width="11.85546875" customWidth="1"/>
    <col min="32" max="32" width="13" customWidth="1"/>
    <col min="33" max="33" width="10.140625" customWidth="1"/>
    <col min="34" max="34" width="10.28515625" customWidth="1"/>
    <col min="35" max="35" width="10.5703125" customWidth="1"/>
    <col min="36" max="36" width="12.140625" customWidth="1"/>
    <col min="37" max="37" width="9.85546875" customWidth="1"/>
    <col min="38" max="38" width="13.140625" customWidth="1"/>
    <col min="39" max="39" width="10.28515625" customWidth="1"/>
    <col min="40" max="40" width="13.140625" customWidth="1"/>
    <col min="41" max="41" width="10.42578125" customWidth="1"/>
    <col min="42" max="42" width="10" customWidth="1"/>
    <col min="43" max="44" width="9.85546875" bestFit="1" customWidth="1"/>
  </cols>
  <sheetData>
    <row r="1" spans="1:44" s="14" customFormat="1" ht="45" customHeight="1" x14ac:dyDescent="0.25">
      <c r="A1" s="12" t="s">
        <v>0</v>
      </c>
      <c r="B1" s="12" t="s">
        <v>2</v>
      </c>
      <c r="C1" s="12" t="s">
        <v>5</v>
      </c>
      <c r="D1" s="12" t="s">
        <v>29</v>
      </c>
      <c r="E1" s="12" t="s">
        <v>1</v>
      </c>
      <c r="F1" s="12" t="s">
        <v>83</v>
      </c>
      <c r="G1" s="12" t="s">
        <v>3</v>
      </c>
      <c r="H1" s="12" t="s">
        <v>35</v>
      </c>
      <c r="I1" s="13" t="s">
        <v>104</v>
      </c>
      <c r="J1" s="13" t="s">
        <v>105</v>
      </c>
      <c r="K1" s="13" t="s">
        <v>106</v>
      </c>
      <c r="L1" s="13" t="s">
        <v>107</v>
      </c>
      <c r="M1" s="13" t="s">
        <v>108</v>
      </c>
      <c r="N1" s="13" t="s">
        <v>109</v>
      </c>
      <c r="O1" s="13" t="s">
        <v>110</v>
      </c>
      <c r="P1" s="13" t="s">
        <v>111</v>
      </c>
      <c r="Q1" s="13" t="s">
        <v>112</v>
      </c>
      <c r="R1" s="13" t="s">
        <v>113</v>
      </c>
      <c r="S1" s="13" t="s">
        <v>114</v>
      </c>
      <c r="T1" s="13" t="s">
        <v>115</v>
      </c>
      <c r="U1" s="13" t="s">
        <v>116</v>
      </c>
      <c r="V1" s="13" t="s">
        <v>117</v>
      </c>
      <c r="W1" s="13" t="s">
        <v>118</v>
      </c>
      <c r="X1" s="13" t="s">
        <v>119</v>
      </c>
      <c r="Y1" s="13" t="s">
        <v>120</v>
      </c>
      <c r="Z1" s="13" t="s">
        <v>121</v>
      </c>
      <c r="AA1" s="13" t="s">
        <v>122</v>
      </c>
      <c r="AB1" s="13" t="s">
        <v>123</v>
      </c>
      <c r="AC1" s="13" t="s">
        <v>124</v>
      </c>
      <c r="AD1" s="13" t="s">
        <v>125</v>
      </c>
      <c r="AE1" s="13" t="s">
        <v>126</v>
      </c>
      <c r="AF1" s="13" t="s">
        <v>127</v>
      </c>
      <c r="AG1" s="13" t="s">
        <v>128</v>
      </c>
      <c r="AH1" s="13" t="s">
        <v>129</v>
      </c>
      <c r="AI1" s="13" t="s">
        <v>130</v>
      </c>
      <c r="AJ1" s="13" t="s">
        <v>131</v>
      </c>
      <c r="AK1" s="13" t="s">
        <v>132</v>
      </c>
      <c r="AL1" s="13" t="s">
        <v>133</v>
      </c>
      <c r="AM1" s="13" t="s">
        <v>134</v>
      </c>
      <c r="AN1" s="13" t="s">
        <v>135</v>
      </c>
      <c r="AO1" s="13" t="s">
        <v>136</v>
      </c>
      <c r="AP1" s="13" t="s">
        <v>137</v>
      </c>
      <c r="AQ1" s="13" t="s">
        <v>140</v>
      </c>
      <c r="AR1" s="13" t="s">
        <v>141</v>
      </c>
    </row>
    <row r="2" spans="1:44" x14ac:dyDescent="0.25">
      <c r="A2" s="9" t="s">
        <v>42</v>
      </c>
      <c r="B2" s="1">
        <v>1</v>
      </c>
      <c r="C2" s="1" t="s">
        <v>43</v>
      </c>
      <c r="D2" s="3" t="s">
        <v>73</v>
      </c>
      <c r="E2" s="1" t="s">
        <v>39</v>
      </c>
      <c r="F2" s="1" t="s">
        <v>88</v>
      </c>
      <c r="G2" s="1" t="s">
        <v>44</v>
      </c>
      <c r="H2" s="4" t="s">
        <v>64</v>
      </c>
      <c r="I2" s="10">
        <v>43103</v>
      </c>
      <c r="J2" s="10">
        <v>43103</v>
      </c>
      <c r="K2" s="10">
        <v>43103</v>
      </c>
      <c r="L2" s="10">
        <v>43103</v>
      </c>
      <c r="M2" s="10">
        <v>43103</v>
      </c>
      <c r="N2" s="10">
        <v>43103</v>
      </c>
      <c r="O2" s="10">
        <v>43131</v>
      </c>
      <c r="P2" s="10">
        <v>43131</v>
      </c>
      <c r="Q2" s="10">
        <v>43103</v>
      </c>
      <c r="R2" s="10">
        <v>43103</v>
      </c>
      <c r="S2" s="10">
        <v>43103</v>
      </c>
      <c r="T2" s="10">
        <v>43103</v>
      </c>
      <c r="U2" s="10">
        <v>43103</v>
      </c>
      <c r="V2" s="10">
        <v>43103</v>
      </c>
      <c r="W2" s="10">
        <v>43103</v>
      </c>
      <c r="X2" s="10">
        <v>43103</v>
      </c>
      <c r="Y2" s="10">
        <v>43103</v>
      </c>
      <c r="Z2" s="10">
        <v>43103</v>
      </c>
      <c r="AA2" s="10">
        <v>43103</v>
      </c>
      <c r="AB2" s="10">
        <v>43103</v>
      </c>
      <c r="AC2" s="10">
        <v>43103</v>
      </c>
      <c r="AD2" s="10">
        <v>43103</v>
      </c>
      <c r="AE2" s="10">
        <v>43103</v>
      </c>
      <c r="AF2" s="10">
        <v>43103</v>
      </c>
      <c r="AG2" s="10">
        <v>43103</v>
      </c>
      <c r="AH2" s="10">
        <v>43103</v>
      </c>
      <c r="AI2" s="10">
        <v>43103</v>
      </c>
      <c r="AJ2" s="10">
        <v>43103</v>
      </c>
      <c r="AK2" s="10">
        <v>43103</v>
      </c>
      <c r="AL2" s="10">
        <v>43103</v>
      </c>
      <c r="AM2" s="10">
        <v>43131</v>
      </c>
      <c r="AN2" s="10">
        <v>43131</v>
      </c>
      <c r="AO2" s="10">
        <v>43159</v>
      </c>
      <c r="AP2" s="10">
        <v>43159</v>
      </c>
      <c r="AQ2" s="10">
        <v>43160</v>
      </c>
    </row>
    <row r="3" spans="1:44" x14ac:dyDescent="0.25">
      <c r="A3" s="9" t="s">
        <v>145</v>
      </c>
      <c r="B3" s="1">
        <v>1</v>
      </c>
      <c r="C3" s="1" t="s">
        <v>46</v>
      </c>
      <c r="D3" s="3" t="s">
        <v>73</v>
      </c>
      <c r="E3" s="1" t="s">
        <v>39</v>
      </c>
      <c r="F3" s="1" t="s">
        <v>88</v>
      </c>
      <c r="G3" s="1" t="s">
        <v>44</v>
      </c>
      <c r="H3" s="4" t="s">
        <v>64</v>
      </c>
      <c r="I3" s="10">
        <v>43103</v>
      </c>
      <c r="J3" s="10">
        <v>43103</v>
      </c>
      <c r="K3" s="10">
        <v>43103</v>
      </c>
      <c r="L3" s="10">
        <v>43103</v>
      </c>
      <c r="M3" s="10">
        <v>43103</v>
      </c>
      <c r="N3" s="10">
        <v>43103</v>
      </c>
      <c r="O3" s="10">
        <v>43131</v>
      </c>
      <c r="P3" s="10">
        <v>43131</v>
      </c>
      <c r="Q3" s="10">
        <v>43103</v>
      </c>
      <c r="R3" s="10">
        <v>43103</v>
      </c>
      <c r="S3" s="10">
        <v>43103</v>
      </c>
      <c r="T3" s="10">
        <v>43103</v>
      </c>
      <c r="U3" s="10">
        <v>43103</v>
      </c>
      <c r="V3" s="10">
        <v>43103</v>
      </c>
      <c r="W3" s="10">
        <v>43103</v>
      </c>
      <c r="X3" s="10">
        <v>43103</v>
      </c>
      <c r="Y3" s="10">
        <v>43103</v>
      </c>
      <c r="Z3" s="10">
        <v>43103</v>
      </c>
      <c r="AA3" s="10">
        <v>43103</v>
      </c>
      <c r="AB3" s="10">
        <v>43103</v>
      </c>
      <c r="AC3" s="10">
        <v>43103</v>
      </c>
      <c r="AD3" s="10">
        <v>43103</v>
      </c>
      <c r="AE3" s="10">
        <v>43103</v>
      </c>
      <c r="AF3" s="10">
        <v>43103</v>
      </c>
      <c r="AG3" s="10">
        <v>43103</v>
      </c>
      <c r="AH3" s="10">
        <v>43103</v>
      </c>
      <c r="AI3" s="10">
        <v>43103</v>
      </c>
      <c r="AJ3" s="10">
        <v>43103</v>
      </c>
      <c r="AK3" s="10">
        <v>43103</v>
      </c>
      <c r="AL3" s="10">
        <v>43103</v>
      </c>
      <c r="AM3" s="10">
        <v>43131</v>
      </c>
      <c r="AN3" s="10">
        <v>43131</v>
      </c>
    </row>
    <row r="4" spans="1:44" x14ac:dyDescent="0.25">
      <c r="A4" s="9" t="s">
        <v>47</v>
      </c>
      <c r="B4" s="1">
        <v>1</v>
      </c>
      <c r="C4" s="1" t="s">
        <v>43</v>
      </c>
      <c r="D4" s="3" t="s">
        <v>73</v>
      </c>
      <c r="E4" s="1" t="s">
        <v>48</v>
      </c>
      <c r="F4" s="1" t="s">
        <v>89</v>
      </c>
      <c r="G4" s="1" t="s">
        <v>49</v>
      </c>
      <c r="H4" s="4" t="s">
        <v>64</v>
      </c>
      <c r="M4" s="10">
        <v>43158</v>
      </c>
      <c r="N4" s="10">
        <v>43158</v>
      </c>
      <c r="O4" s="10">
        <v>43164</v>
      </c>
      <c r="P4" s="10">
        <v>43164</v>
      </c>
      <c r="S4" s="10">
        <v>43158</v>
      </c>
      <c r="T4" s="10">
        <v>43158</v>
      </c>
      <c r="AM4" s="16"/>
      <c r="AN4" s="16"/>
      <c r="AO4" s="10">
        <v>43160</v>
      </c>
      <c r="AQ4" s="10">
        <v>43164</v>
      </c>
    </row>
    <row r="5" spans="1:44" x14ac:dyDescent="0.25">
      <c r="A5" s="11" t="s">
        <v>90</v>
      </c>
      <c r="B5" s="1">
        <v>1</v>
      </c>
      <c r="C5" s="1" t="s">
        <v>91</v>
      </c>
      <c r="D5" s="3" t="s">
        <v>73</v>
      </c>
      <c r="E5" s="1" t="s">
        <v>92</v>
      </c>
      <c r="F5" s="1" t="s">
        <v>88</v>
      </c>
      <c r="G5" s="1" t="s">
        <v>56</v>
      </c>
      <c r="H5" s="4" t="s">
        <v>64</v>
      </c>
      <c r="I5" s="10">
        <v>43147</v>
      </c>
      <c r="J5" s="10">
        <v>43147</v>
      </c>
      <c r="K5" s="10">
        <v>43147</v>
      </c>
      <c r="L5" s="10">
        <v>43147</v>
      </c>
      <c r="M5" s="10">
        <v>43147</v>
      </c>
      <c r="N5" s="10">
        <v>43147</v>
      </c>
      <c r="O5" s="10"/>
      <c r="Q5" s="10">
        <v>43147</v>
      </c>
      <c r="R5" s="10">
        <v>43147</v>
      </c>
      <c r="S5" s="10">
        <v>43147</v>
      </c>
      <c r="U5" s="10">
        <v>43147</v>
      </c>
      <c r="V5" s="10">
        <v>43147</v>
      </c>
      <c r="W5" s="10">
        <v>43147</v>
      </c>
      <c r="X5" s="10">
        <v>43147</v>
      </c>
      <c r="Y5" s="10">
        <v>43147</v>
      </c>
      <c r="Z5" s="10">
        <v>43147</v>
      </c>
      <c r="AA5" s="10">
        <v>43147</v>
      </c>
      <c r="AB5" s="10">
        <v>43147</v>
      </c>
      <c r="AC5" s="10">
        <v>43147</v>
      </c>
      <c r="AD5" s="10">
        <v>43147</v>
      </c>
      <c r="AE5" s="10">
        <v>43147</v>
      </c>
      <c r="AF5" s="10">
        <v>43147</v>
      </c>
      <c r="AG5" s="10">
        <v>43147</v>
      </c>
      <c r="AH5" s="10">
        <v>43147</v>
      </c>
      <c r="AI5" s="10">
        <v>43147</v>
      </c>
      <c r="AJ5" s="10">
        <v>43147</v>
      </c>
      <c r="AK5" s="10">
        <v>43147</v>
      </c>
      <c r="AL5" s="10">
        <v>43147</v>
      </c>
      <c r="AM5" s="10">
        <v>43147</v>
      </c>
      <c r="AN5" s="10">
        <v>43147</v>
      </c>
      <c r="AO5" s="10">
        <v>43147</v>
      </c>
      <c r="AP5" s="10">
        <v>43147</v>
      </c>
      <c r="AQ5" s="10">
        <v>43164</v>
      </c>
      <c r="AR5" s="10">
        <v>43164</v>
      </c>
    </row>
    <row r="6" spans="1:44" x14ac:dyDescent="0.25">
      <c r="A6" s="9" t="s">
        <v>144</v>
      </c>
      <c r="B6" s="1">
        <v>1</v>
      </c>
      <c r="C6" s="1" t="s">
        <v>6</v>
      </c>
      <c r="D6" s="3" t="s">
        <v>93</v>
      </c>
      <c r="E6" s="1" t="s">
        <v>36</v>
      </c>
      <c r="F6" s="1" t="s">
        <v>88</v>
      </c>
      <c r="G6" s="1" t="s">
        <v>33</v>
      </c>
      <c r="H6" s="4" t="s">
        <v>34</v>
      </c>
      <c r="I6" s="10">
        <v>43119</v>
      </c>
      <c r="K6" s="10">
        <v>43119</v>
      </c>
      <c r="M6" s="10">
        <v>43119</v>
      </c>
      <c r="O6" s="10">
        <v>43119</v>
      </c>
      <c r="Q6" s="10">
        <v>43119</v>
      </c>
      <c r="S6" s="10">
        <v>43119</v>
      </c>
      <c r="U6" s="10">
        <v>43119</v>
      </c>
      <c r="W6" s="10">
        <v>43119</v>
      </c>
      <c r="Y6" s="10">
        <v>43119</v>
      </c>
      <c r="AA6" s="10">
        <v>43119</v>
      </c>
      <c r="AC6" s="10">
        <v>43119</v>
      </c>
      <c r="AE6" s="10">
        <v>43119</v>
      </c>
      <c r="AG6" s="10">
        <v>43119</v>
      </c>
      <c r="AI6" s="10">
        <v>43119</v>
      </c>
      <c r="AK6" s="10">
        <v>43119</v>
      </c>
      <c r="AM6" s="10">
        <v>43119</v>
      </c>
      <c r="AN6" s="10">
        <v>43119</v>
      </c>
      <c r="AO6" s="10">
        <v>43159</v>
      </c>
    </row>
    <row r="7" spans="1:44" x14ac:dyDescent="0.25">
      <c r="A7" s="9" t="s">
        <v>26</v>
      </c>
      <c r="B7" s="1">
        <v>1</v>
      </c>
      <c r="C7" s="1" t="s">
        <v>7</v>
      </c>
      <c r="D7" s="3" t="s">
        <v>93</v>
      </c>
      <c r="E7" s="1" t="s">
        <v>36</v>
      </c>
      <c r="F7" s="1" t="s">
        <v>88</v>
      </c>
      <c r="G7" s="1" t="s">
        <v>28</v>
      </c>
      <c r="H7" s="6" t="s">
        <v>34</v>
      </c>
      <c r="I7" s="10">
        <v>43119</v>
      </c>
      <c r="K7" s="10">
        <v>43119</v>
      </c>
      <c r="M7" s="10">
        <v>43119</v>
      </c>
      <c r="O7" s="10">
        <v>43119</v>
      </c>
      <c r="Q7" s="10">
        <v>43119</v>
      </c>
      <c r="S7" s="10">
        <v>43119</v>
      </c>
      <c r="U7" s="10">
        <v>43119</v>
      </c>
      <c r="W7" s="10">
        <v>43119</v>
      </c>
      <c r="Y7" s="10">
        <v>43119</v>
      </c>
      <c r="AA7" s="10">
        <v>43119</v>
      </c>
      <c r="AC7" s="10">
        <v>43119</v>
      </c>
      <c r="AE7" s="10">
        <v>43119</v>
      </c>
      <c r="AG7" s="10">
        <v>43119</v>
      </c>
      <c r="AI7" s="10">
        <v>43119</v>
      </c>
      <c r="AK7" s="10">
        <v>43119</v>
      </c>
      <c r="AM7" s="10">
        <v>43119</v>
      </c>
      <c r="AN7" s="10">
        <v>43119</v>
      </c>
      <c r="AO7" s="10">
        <v>43159</v>
      </c>
    </row>
    <row r="8" spans="1:44" x14ac:dyDescent="0.25">
      <c r="A8" s="9" t="s">
        <v>25</v>
      </c>
      <c r="B8" s="1">
        <v>1</v>
      </c>
      <c r="C8" s="1" t="s">
        <v>7</v>
      </c>
      <c r="D8" s="3" t="s">
        <v>93</v>
      </c>
      <c r="E8" s="1" t="s">
        <v>36</v>
      </c>
      <c r="F8" s="1" t="s">
        <v>88</v>
      </c>
      <c r="G8" s="1" t="s">
        <v>28</v>
      </c>
      <c r="H8" s="6" t="s">
        <v>34</v>
      </c>
      <c r="I8" s="10">
        <v>43124</v>
      </c>
      <c r="K8" s="10">
        <v>43124</v>
      </c>
      <c r="M8" s="10">
        <v>43124</v>
      </c>
      <c r="O8" s="10">
        <v>43124</v>
      </c>
      <c r="Q8" s="10">
        <v>43124</v>
      </c>
      <c r="S8" s="10">
        <v>43124</v>
      </c>
      <c r="U8" s="10">
        <v>43124</v>
      </c>
      <c r="W8" s="10">
        <v>43124</v>
      </c>
      <c r="Y8" s="10">
        <v>43124</v>
      </c>
      <c r="AA8" s="10">
        <v>43124</v>
      </c>
      <c r="AC8" s="10">
        <v>43124</v>
      </c>
      <c r="AE8" s="10">
        <v>43124</v>
      </c>
      <c r="AG8" s="10">
        <v>43124</v>
      </c>
      <c r="AI8" s="10">
        <v>43124</v>
      </c>
      <c r="AK8" s="10">
        <v>43124</v>
      </c>
      <c r="AM8" s="10">
        <v>43124</v>
      </c>
      <c r="AN8" s="10">
        <v>43124</v>
      </c>
      <c r="AO8" s="10">
        <v>43159</v>
      </c>
    </row>
    <row r="9" spans="1:44" x14ac:dyDescent="0.25">
      <c r="A9" s="9" t="s">
        <v>21</v>
      </c>
      <c r="B9" s="1">
        <v>1</v>
      </c>
      <c r="C9" s="1" t="s">
        <v>7</v>
      </c>
      <c r="D9" s="3" t="s">
        <v>93</v>
      </c>
      <c r="E9" s="1" t="s">
        <v>36</v>
      </c>
      <c r="F9" s="1" t="s">
        <v>88</v>
      </c>
      <c r="G9" s="1" t="s">
        <v>30</v>
      </c>
      <c r="H9" s="6" t="s">
        <v>34</v>
      </c>
      <c r="I9" s="10">
        <v>43119</v>
      </c>
      <c r="K9" s="10">
        <v>43119</v>
      </c>
      <c r="M9" s="10">
        <v>43119</v>
      </c>
      <c r="O9" s="10">
        <v>43119</v>
      </c>
      <c r="Q9" s="10">
        <v>43119</v>
      </c>
      <c r="S9" s="10">
        <v>43119</v>
      </c>
      <c r="U9" s="10">
        <v>43119</v>
      </c>
      <c r="W9" s="10">
        <v>43119</v>
      </c>
      <c r="Y9" s="10">
        <v>43119</v>
      </c>
      <c r="AA9" s="10">
        <v>43119</v>
      </c>
      <c r="AC9" s="10">
        <v>43119</v>
      </c>
      <c r="AE9" s="10">
        <v>43119</v>
      </c>
      <c r="AG9" s="10">
        <v>43119</v>
      </c>
      <c r="AI9" s="10">
        <v>43119</v>
      </c>
      <c r="AK9" s="10">
        <v>43119</v>
      </c>
      <c r="AM9" s="10">
        <v>43119</v>
      </c>
      <c r="AN9" s="10">
        <v>43119</v>
      </c>
      <c r="AO9" s="10">
        <v>43159</v>
      </c>
    </row>
    <row r="10" spans="1:44" x14ac:dyDescent="0.25">
      <c r="A10" s="9" t="s">
        <v>37</v>
      </c>
      <c r="B10" s="1">
        <v>1</v>
      </c>
      <c r="C10" s="1" t="s">
        <v>23</v>
      </c>
      <c r="D10" s="3" t="s">
        <v>93</v>
      </c>
      <c r="E10" s="1" t="s">
        <v>36</v>
      </c>
      <c r="F10" s="1" t="s">
        <v>85</v>
      </c>
      <c r="G10" s="1" t="s">
        <v>27</v>
      </c>
      <c r="H10" s="6" t="s">
        <v>34</v>
      </c>
      <c r="I10" s="10">
        <v>43123</v>
      </c>
      <c r="K10" s="10">
        <v>43123</v>
      </c>
      <c r="M10" s="10">
        <v>43123</v>
      </c>
      <c r="O10" s="10">
        <v>43123</v>
      </c>
      <c r="Q10" s="10">
        <v>43123</v>
      </c>
      <c r="S10" s="10">
        <v>43123</v>
      </c>
      <c r="U10" s="10">
        <v>43123</v>
      </c>
      <c r="W10" s="10">
        <v>43123</v>
      </c>
      <c r="Y10" s="10">
        <v>43123</v>
      </c>
      <c r="AA10" s="10">
        <v>43123</v>
      </c>
      <c r="AC10" s="10">
        <v>43123</v>
      </c>
      <c r="AE10" s="10">
        <v>43123</v>
      </c>
      <c r="AG10" s="10">
        <v>43123</v>
      </c>
      <c r="AI10" s="10">
        <v>43123</v>
      </c>
      <c r="AK10" s="10">
        <v>43123</v>
      </c>
      <c r="AM10" s="10">
        <v>43123</v>
      </c>
      <c r="AN10" s="10">
        <v>43123</v>
      </c>
      <c r="AO10" s="10">
        <v>43159</v>
      </c>
    </row>
    <row r="11" spans="1:44" x14ac:dyDescent="0.25">
      <c r="A11" s="9" t="s">
        <v>38</v>
      </c>
      <c r="B11" s="1">
        <v>1</v>
      </c>
      <c r="C11" s="1" t="s">
        <v>7</v>
      </c>
      <c r="D11" s="3" t="s">
        <v>93</v>
      </c>
      <c r="E11" s="1" t="s">
        <v>40</v>
      </c>
      <c r="F11" s="1" t="s">
        <v>88</v>
      </c>
      <c r="G11" s="1" t="s">
        <v>41</v>
      </c>
      <c r="H11" s="6" t="s">
        <v>34</v>
      </c>
      <c r="I11" s="10">
        <v>43129</v>
      </c>
      <c r="K11" s="10">
        <v>43129</v>
      </c>
      <c r="M11" s="10">
        <v>43129</v>
      </c>
      <c r="O11" s="10">
        <v>43129</v>
      </c>
      <c r="Q11" s="10">
        <v>43129</v>
      </c>
      <c r="S11" s="10"/>
      <c r="U11" s="10">
        <v>43129</v>
      </c>
      <c r="W11" s="10">
        <v>43129</v>
      </c>
      <c r="Y11" s="10">
        <v>43129</v>
      </c>
      <c r="AA11" s="10">
        <v>43129</v>
      </c>
      <c r="AC11" s="10">
        <v>43129</v>
      </c>
      <c r="AE11" s="10">
        <v>43129</v>
      </c>
      <c r="AG11" s="10">
        <v>43129</v>
      </c>
      <c r="AI11" s="10">
        <v>43129</v>
      </c>
      <c r="AK11" s="10">
        <v>43129</v>
      </c>
      <c r="AM11" s="10">
        <v>43129</v>
      </c>
      <c r="AN11" s="10">
        <v>43129</v>
      </c>
      <c r="AO11" s="10">
        <v>43159</v>
      </c>
    </row>
    <row r="12" spans="1:44" x14ac:dyDescent="0.25">
      <c r="A12" s="9" t="s">
        <v>94</v>
      </c>
      <c r="B12" s="1">
        <v>1</v>
      </c>
      <c r="C12" s="1" t="s">
        <v>8</v>
      </c>
      <c r="D12" s="3" t="s">
        <v>57</v>
      </c>
      <c r="E12" s="1" t="s">
        <v>95</v>
      </c>
      <c r="F12" s="1" t="s">
        <v>88</v>
      </c>
      <c r="G12" s="1" t="s">
        <v>56</v>
      </c>
      <c r="H12" s="6" t="s">
        <v>64</v>
      </c>
      <c r="AM12" s="10">
        <v>43158</v>
      </c>
      <c r="AN12" s="10">
        <v>43158</v>
      </c>
      <c r="AO12" s="15">
        <v>43158</v>
      </c>
    </row>
    <row r="13" spans="1:44" x14ac:dyDescent="0.25">
      <c r="A13" s="9" t="s">
        <v>96</v>
      </c>
      <c r="B13" s="1">
        <v>1</v>
      </c>
      <c r="C13" s="1" t="s">
        <v>8</v>
      </c>
      <c r="D13" s="3" t="s">
        <v>57</v>
      </c>
      <c r="E13" s="1" t="s">
        <v>40</v>
      </c>
      <c r="F13" s="1" t="s">
        <v>84</v>
      </c>
      <c r="G13" s="1" t="s">
        <v>56</v>
      </c>
      <c r="H13" s="6" t="s">
        <v>64</v>
      </c>
      <c r="M13" s="10">
        <v>43164</v>
      </c>
      <c r="N13" s="10">
        <v>43164</v>
      </c>
      <c r="O13" s="10">
        <v>43160</v>
      </c>
      <c r="P13" s="10">
        <v>43160</v>
      </c>
      <c r="S13" s="10">
        <v>43164</v>
      </c>
      <c r="T13" s="10">
        <v>43164</v>
      </c>
      <c r="Y13" s="10">
        <v>43164</v>
      </c>
      <c r="Z13" s="10">
        <v>43164</v>
      </c>
      <c r="AM13" s="16"/>
      <c r="AN13" s="16"/>
      <c r="AO13" s="15">
        <v>43158</v>
      </c>
    </row>
    <row r="14" spans="1:44" x14ac:dyDescent="0.25">
      <c r="A14" s="9" t="s">
        <v>97</v>
      </c>
      <c r="B14" s="1">
        <v>1</v>
      </c>
      <c r="C14" s="1" t="s">
        <v>98</v>
      </c>
      <c r="D14" s="3" t="s">
        <v>57</v>
      </c>
      <c r="E14" s="1" t="s">
        <v>36</v>
      </c>
      <c r="F14" s="1" t="s">
        <v>84</v>
      </c>
      <c r="G14" s="1" t="s">
        <v>56</v>
      </c>
      <c r="H14" s="6" t="s">
        <v>64</v>
      </c>
      <c r="M14" s="10">
        <v>43164</v>
      </c>
      <c r="N14" s="10">
        <v>43164</v>
      </c>
      <c r="O14" s="10">
        <v>43160</v>
      </c>
      <c r="P14" s="10">
        <v>43160</v>
      </c>
      <c r="S14" s="10">
        <v>43164</v>
      </c>
      <c r="T14" s="10">
        <v>43164</v>
      </c>
      <c r="Y14" s="10">
        <v>43164</v>
      </c>
      <c r="Z14" s="10">
        <v>43164</v>
      </c>
      <c r="AM14" s="16"/>
      <c r="AN14" s="16"/>
      <c r="AO14" s="15">
        <v>43158</v>
      </c>
      <c r="AQ14" s="10">
        <v>43164</v>
      </c>
      <c r="AR14" s="10"/>
    </row>
    <row r="15" spans="1:44" x14ac:dyDescent="0.25">
      <c r="A15" s="9" t="s">
        <v>79</v>
      </c>
      <c r="B15" s="1">
        <v>1</v>
      </c>
      <c r="C15" s="1" t="s">
        <v>9</v>
      </c>
      <c r="D15" s="3" t="s">
        <v>93</v>
      </c>
      <c r="E15" s="1" t="s">
        <v>36</v>
      </c>
      <c r="F15" s="1" t="s">
        <v>84</v>
      </c>
      <c r="G15" s="1" t="s">
        <v>80</v>
      </c>
      <c r="H15" s="6" t="s">
        <v>64</v>
      </c>
      <c r="I15" s="10">
        <v>43132</v>
      </c>
      <c r="K15" s="10">
        <v>43132</v>
      </c>
      <c r="M15" s="10">
        <v>43132</v>
      </c>
      <c r="O15" s="10">
        <v>43132</v>
      </c>
      <c r="Q15" s="10">
        <v>43132</v>
      </c>
      <c r="S15" s="10"/>
      <c r="U15" s="10">
        <v>43132</v>
      </c>
      <c r="W15" s="10">
        <v>43132</v>
      </c>
      <c r="Y15" s="10">
        <v>43132</v>
      </c>
      <c r="AA15" s="10">
        <v>43132</v>
      </c>
      <c r="AC15" s="10">
        <v>43132</v>
      </c>
      <c r="AE15" s="10">
        <v>43132</v>
      </c>
      <c r="AG15" s="10">
        <v>43132</v>
      </c>
      <c r="AI15" s="10">
        <v>43132</v>
      </c>
      <c r="AK15" s="10">
        <v>43132</v>
      </c>
      <c r="AM15" s="10">
        <v>43132</v>
      </c>
      <c r="AN15" s="10">
        <v>43132</v>
      </c>
      <c r="AO15" s="10">
        <v>43159</v>
      </c>
    </row>
    <row r="16" spans="1:44" x14ac:dyDescent="0.25">
      <c r="A16" s="9" t="s">
        <v>24</v>
      </c>
      <c r="B16" s="1">
        <v>1</v>
      </c>
      <c r="C16" s="1" t="s">
        <v>9</v>
      </c>
      <c r="D16" s="3" t="s">
        <v>93</v>
      </c>
      <c r="E16" s="1" t="s">
        <v>36</v>
      </c>
      <c r="F16" s="1" t="s">
        <v>85</v>
      </c>
      <c r="G16" s="1" t="s">
        <v>101</v>
      </c>
      <c r="H16" s="6" t="s">
        <v>64</v>
      </c>
      <c r="I16" s="10">
        <v>43146</v>
      </c>
      <c r="K16" s="10">
        <v>43146</v>
      </c>
      <c r="M16" s="10">
        <v>43146</v>
      </c>
      <c r="O16" s="10">
        <v>43146</v>
      </c>
      <c r="Q16" s="10">
        <v>43146</v>
      </c>
      <c r="S16" s="10"/>
      <c r="U16" s="10">
        <v>43146</v>
      </c>
      <c r="W16" s="10">
        <v>43146</v>
      </c>
      <c r="Y16" s="10">
        <v>43146</v>
      </c>
      <c r="AA16" s="10">
        <v>43146</v>
      </c>
      <c r="AC16" s="10">
        <v>43146</v>
      </c>
      <c r="AE16" s="10">
        <v>43146</v>
      </c>
      <c r="AG16" s="10">
        <v>43146</v>
      </c>
      <c r="AI16" s="10">
        <v>43146</v>
      </c>
      <c r="AK16" s="10">
        <v>43146</v>
      </c>
      <c r="AM16" s="10">
        <v>43146</v>
      </c>
      <c r="AN16" s="10">
        <v>43146</v>
      </c>
      <c r="AO16" s="10">
        <v>43146</v>
      </c>
    </row>
    <row r="17" spans="1:44" x14ac:dyDescent="0.25">
      <c r="A17" s="9" t="s">
        <v>76</v>
      </c>
      <c r="B17" s="1">
        <v>1</v>
      </c>
      <c r="C17" s="1" t="s">
        <v>23</v>
      </c>
      <c r="D17" s="3" t="s">
        <v>93</v>
      </c>
      <c r="E17" s="1" t="s">
        <v>36</v>
      </c>
      <c r="F17" s="1" t="s">
        <v>85</v>
      </c>
      <c r="G17" s="1" t="s">
        <v>74</v>
      </c>
      <c r="H17" s="6" t="s">
        <v>34</v>
      </c>
      <c r="I17" s="10">
        <v>43136</v>
      </c>
      <c r="K17" s="10">
        <v>43136</v>
      </c>
      <c r="M17" s="10">
        <v>43136</v>
      </c>
      <c r="O17" s="10">
        <v>43136</v>
      </c>
      <c r="Q17" s="10">
        <v>43136</v>
      </c>
      <c r="S17" s="10"/>
      <c r="U17" s="10">
        <v>43136</v>
      </c>
      <c r="W17" s="10">
        <v>43136</v>
      </c>
      <c r="Y17" s="10">
        <v>43136</v>
      </c>
      <c r="AA17" s="10">
        <v>43136</v>
      </c>
      <c r="AC17" s="10">
        <v>43136</v>
      </c>
      <c r="AE17" s="10">
        <v>43136</v>
      </c>
      <c r="AG17" s="10">
        <v>43136</v>
      </c>
      <c r="AI17" s="10">
        <v>43136</v>
      </c>
      <c r="AK17" s="10">
        <v>43136</v>
      </c>
      <c r="AM17" s="10">
        <v>43136</v>
      </c>
      <c r="AN17" s="10">
        <v>43136</v>
      </c>
    </row>
    <row r="18" spans="1:44" x14ac:dyDescent="0.25">
      <c r="A18" s="9" t="s">
        <v>4</v>
      </c>
      <c r="B18" s="1">
        <v>2</v>
      </c>
      <c r="C18" s="1" t="s">
        <v>10</v>
      </c>
      <c r="D18" s="2" t="s">
        <v>75</v>
      </c>
      <c r="E18" s="1" t="s">
        <v>39</v>
      </c>
      <c r="F18" s="1" t="s">
        <v>86</v>
      </c>
      <c r="G18" s="1" t="s">
        <v>77</v>
      </c>
      <c r="H18" s="5"/>
      <c r="I18" s="10">
        <v>43146</v>
      </c>
      <c r="K18" s="10">
        <v>43146</v>
      </c>
      <c r="M18" s="10">
        <v>43146</v>
      </c>
      <c r="O18" s="10">
        <v>43146</v>
      </c>
      <c r="Q18" s="10">
        <v>43146</v>
      </c>
      <c r="S18" s="10"/>
      <c r="U18" s="10">
        <v>43146</v>
      </c>
      <c r="W18" s="10">
        <v>43146</v>
      </c>
      <c r="Y18" s="10">
        <v>43146</v>
      </c>
      <c r="AA18" s="10">
        <v>43146</v>
      </c>
      <c r="AC18" s="10">
        <v>43146</v>
      </c>
      <c r="AE18" s="10">
        <v>43146</v>
      </c>
      <c r="AG18" s="10">
        <v>43146</v>
      </c>
      <c r="AI18" s="10">
        <v>43146</v>
      </c>
      <c r="AK18" s="10">
        <v>43146</v>
      </c>
      <c r="AM18" s="18" t="s">
        <v>143</v>
      </c>
      <c r="AN18" s="18" t="s">
        <v>143</v>
      </c>
      <c r="AO18" s="10">
        <v>43146</v>
      </c>
    </row>
    <row r="19" spans="1:44" x14ac:dyDescent="0.25">
      <c r="A19" s="9" t="s">
        <v>17</v>
      </c>
      <c r="B19" s="1">
        <v>2</v>
      </c>
      <c r="C19" s="1" t="s">
        <v>10</v>
      </c>
      <c r="D19" s="2" t="s">
        <v>75</v>
      </c>
      <c r="E19" s="1" t="s">
        <v>39</v>
      </c>
      <c r="F19" s="1" t="s">
        <v>86</v>
      </c>
      <c r="G19" s="1" t="s">
        <v>77</v>
      </c>
      <c r="H19" s="5"/>
      <c r="I19" s="10">
        <v>43146</v>
      </c>
      <c r="K19" s="10">
        <v>43146</v>
      </c>
      <c r="M19" s="10">
        <v>43146</v>
      </c>
      <c r="O19" s="10">
        <v>43146</v>
      </c>
      <c r="Q19" s="10">
        <v>43146</v>
      </c>
      <c r="S19" s="10"/>
      <c r="U19" s="10">
        <v>43146</v>
      </c>
      <c r="W19" s="10">
        <v>43146</v>
      </c>
      <c r="Y19" s="10">
        <v>43146</v>
      </c>
      <c r="AA19" s="10">
        <v>43146</v>
      </c>
      <c r="AC19" s="10">
        <v>43146</v>
      </c>
      <c r="AE19" s="10">
        <v>43146</v>
      </c>
      <c r="AG19" s="10">
        <v>43146</v>
      </c>
      <c r="AI19" s="10">
        <v>43146</v>
      </c>
      <c r="AK19" s="10">
        <v>43146</v>
      </c>
      <c r="AM19" s="18" t="s">
        <v>143</v>
      </c>
      <c r="AN19" s="18" t="s">
        <v>143</v>
      </c>
      <c r="AO19" s="10">
        <v>43146</v>
      </c>
    </row>
    <row r="20" spans="1:44" x14ac:dyDescent="0.25">
      <c r="A20" s="11" t="s">
        <v>81</v>
      </c>
      <c r="B20" s="1">
        <v>2</v>
      </c>
      <c r="C20" s="1" t="s">
        <v>82</v>
      </c>
      <c r="D20" s="3" t="s">
        <v>57</v>
      </c>
      <c r="E20" s="1" t="s">
        <v>40</v>
      </c>
      <c r="F20" s="1" t="s">
        <v>85</v>
      </c>
      <c r="G20" s="1" t="s">
        <v>56</v>
      </c>
      <c r="H20" s="6" t="s">
        <v>64</v>
      </c>
      <c r="I20" s="10">
        <v>43147</v>
      </c>
      <c r="J20" s="10">
        <v>43147</v>
      </c>
      <c r="K20" s="10">
        <v>43147</v>
      </c>
      <c r="L20" s="10">
        <v>43147</v>
      </c>
      <c r="M20" s="10">
        <v>43147</v>
      </c>
      <c r="N20" s="10">
        <v>43147</v>
      </c>
      <c r="Q20" s="10">
        <v>43147</v>
      </c>
      <c r="R20" s="10">
        <v>43147</v>
      </c>
      <c r="S20" s="10">
        <v>43147</v>
      </c>
      <c r="V20" s="10">
        <v>43147</v>
      </c>
      <c r="W20" s="10">
        <v>43147</v>
      </c>
      <c r="X20" s="10">
        <v>43147</v>
      </c>
      <c r="Y20" s="10">
        <v>43147</v>
      </c>
      <c r="Z20" s="10">
        <v>43147</v>
      </c>
      <c r="AA20" s="10">
        <v>43147</v>
      </c>
      <c r="AB20" s="10">
        <v>43147</v>
      </c>
      <c r="AC20" s="10">
        <v>43147</v>
      </c>
      <c r="AD20" s="10">
        <v>43147</v>
      </c>
      <c r="AE20" s="10">
        <v>43147</v>
      </c>
      <c r="AF20" s="10">
        <v>43147</v>
      </c>
      <c r="AG20" s="10">
        <v>43147</v>
      </c>
      <c r="AH20" s="10">
        <v>43147</v>
      </c>
      <c r="AI20" s="10">
        <v>43147</v>
      </c>
      <c r="AJ20" s="10">
        <v>43147</v>
      </c>
      <c r="AK20" s="10">
        <v>43147</v>
      </c>
      <c r="AL20" s="10">
        <v>43147</v>
      </c>
      <c r="AM20" s="10">
        <v>43147</v>
      </c>
      <c r="AN20" s="10">
        <v>43147</v>
      </c>
      <c r="AO20" s="10">
        <v>43147</v>
      </c>
      <c r="AP20" s="10">
        <v>43147</v>
      </c>
      <c r="AQ20" s="10">
        <v>43164</v>
      </c>
      <c r="AR20" s="10">
        <v>43164</v>
      </c>
    </row>
    <row r="21" spans="1:44" x14ac:dyDescent="0.25">
      <c r="A21" s="11" t="s">
        <v>50</v>
      </c>
      <c r="B21" s="1">
        <v>2</v>
      </c>
      <c r="C21" s="1" t="s">
        <v>82</v>
      </c>
      <c r="D21" s="3" t="s">
        <v>57</v>
      </c>
      <c r="E21" s="1" t="s">
        <v>40</v>
      </c>
      <c r="F21" s="1" t="s">
        <v>85</v>
      </c>
      <c r="G21" s="1" t="s">
        <v>56</v>
      </c>
      <c r="H21" s="6" t="s">
        <v>64</v>
      </c>
      <c r="I21" s="10">
        <v>43147</v>
      </c>
      <c r="J21" s="10">
        <v>43147</v>
      </c>
      <c r="K21" s="10">
        <v>43147</v>
      </c>
      <c r="L21" s="10">
        <v>43147</v>
      </c>
      <c r="M21" s="10">
        <v>43147</v>
      </c>
      <c r="N21" s="10">
        <v>43147</v>
      </c>
      <c r="Q21" s="10">
        <v>43147</v>
      </c>
      <c r="R21" s="10">
        <v>43147</v>
      </c>
      <c r="S21" s="10">
        <v>43147</v>
      </c>
      <c r="V21" s="10">
        <v>43147</v>
      </c>
      <c r="W21" s="10">
        <v>43147</v>
      </c>
      <c r="X21" s="10">
        <v>43147</v>
      </c>
      <c r="Y21" s="10">
        <v>43147</v>
      </c>
      <c r="Z21" s="10">
        <v>43147</v>
      </c>
      <c r="AA21" s="10">
        <v>43147</v>
      </c>
      <c r="AB21" s="10">
        <v>43147</v>
      </c>
      <c r="AC21" s="10">
        <v>43147</v>
      </c>
      <c r="AD21" s="10">
        <v>43147</v>
      </c>
      <c r="AE21" s="10">
        <v>43147</v>
      </c>
      <c r="AF21" s="10">
        <v>43147</v>
      </c>
      <c r="AG21" s="10">
        <v>43147</v>
      </c>
      <c r="AH21" s="10">
        <v>43147</v>
      </c>
      <c r="AI21" s="10">
        <v>43147</v>
      </c>
      <c r="AJ21" s="10">
        <v>43147</v>
      </c>
      <c r="AK21" s="10">
        <v>43147</v>
      </c>
      <c r="AL21" s="10">
        <v>43147</v>
      </c>
      <c r="AM21" s="10">
        <v>43147</v>
      </c>
      <c r="AN21" s="10">
        <v>43147</v>
      </c>
      <c r="AO21" s="10">
        <v>43147</v>
      </c>
      <c r="AP21" s="10">
        <v>43147</v>
      </c>
    </row>
    <row r="22" spans="1:44" x14ac:dyDescent="0.25">
      <c r="A22" s="9" t="s">
        <v>51</v>
      </c>
      <c r="B22" s="1">
        <v>2</v>
      </c>
      <c r="C22" s="1" t="s">
        <v>82</v>
      </c>
      <c r="D22" s="3" t="s">
        <v>57</v>
      </c>
      <c r="E22" s="1" t="s">
        <v>40</v>
      </c>
      <c r="F22" s="1" t="s">
        <v>85</v>
      </c>
      <c r="G22" s="1" t="s">
        <v>56</v>
      </c>
      <c r="H22" s="6" t="s">
        <v>64</v>
      </c>
      <c r="I22" s="10">
        <v>43147</v>
      </c>
      <c r="J22" s="10">
        <v>43147</v>
      </c>
      <c r="K22" s="10">
        <v>43147</v>
      </c>
      <c r="L22" s="10">
        <v>43147</v>
      </c>
      <c r="M22" s="10">
        <v>43147</v>
      </c>
      <c r="N22" s="10">
        <v>43147</v>
      </c>
      <c r="Q22" s="10">
        <v>43147</v>
      </c>
      <c r="R22" s="10">
        <v>43147</v>
      </c>
      <c r="S22" s="10">
        <v>43147</v>
      </c>
      <c r="U22" s="10">
        <v>43147</v>
      </c>
      <c r="V22" s="10">
        <v>43147</v>
      </c>
      <c r="W22" s="10">
        <v>43147</v>
      </c>
      <c r="X22" s="10">
        <v>43147</v>
      </c>
      <c r="Y22" s="10">
        <v>43147</v>
      </c>
      <c r="Z22" s="10">
        <v>43147</v>
      </c>
      <c r="AA22" s="10">
        <v>43147</v>
      </c>
      <c r="AB22" s="10">
        <v>43147</v>
      </c>
      <c r="AC22" s="10">
        <v>43147</v>
      </c>
      <c r="AD22" s="10">
        <v>43147</v>
      </c>
      <c r="AE22" s="10">
        <v>43147</v>
      </c>
      <c r="AF22" s="10">
        <v>43147</v>
      </c>
      <c r="AG22" s="10">
        <v>43147</v>
      </c>
      <c r="AH22" s="10">
        <v>43147</v>
      </c>
      <c r="AI22" s="10">
        <v>43147</v>
      </c>
      <c r="AJ22" s="10">
        <v>43147</v>
      </c>
      <c r="AK22" s="10">
        <v>43147</v>
      </c>
      <c r="AL22" s="10">
        <v>43147</v>
      </c>
      <c r="AM22" s="10">
        <v>43147</v>
      </c>
      <c r="AN22" s="10">
        <v>43147</v>
      </c>
      <c r="AO22" s="10">
        <v>43147</v>
      </c>
      <c r="AP22" s="10">
        <v>43147</v>
      </c>
    </row>
    <row r="23" spans="1:44" x14ac:dyDescent="0.25">
      <c r="A23" s="9" t="s">
        <v>52</v>
      </c>
      <c r="B23" s="1">
        <v>2</v>
      </c>
      <c r="C23" s="1" t="s">
        <v>82</v>
      </c>
      <c r="D23" s="3" t="s">
        <v>57</v>
      </c>
      <c r="E23" s="1" t="s">
        <v>40</v>
      </c>
      <c r="F23" s="1" t="s">
        <v>85</v>
      </c>
      <c r="G23" s="1" t="s">
        <v>56</v>
      </c>
      <c r="H23" s="6" t="s">
        <v>64</v>
      </c>
      <c r="I23" s="10"/>
      <c r="U23" s="10">
        <v>43153</v>
      </c>
      <c r="V23" s="10">
        <v>43153</v>
      </c>
      <c r="W23" s="10">
        <v>43153</v>
      </c>
      <c r="X23" s="10">
        <v>43153</v>
      </c>
      <c r="Y23" s="10">
        <v>43152</v>
      </c>
      <c r="Z23" s="10">
        <v>43152</v>
      </c>
      <c r="AA23" s="10">
        <v>43152</v>
      </c>
      <c r="AB23" s="10">
        <v>43152</v>
      </c>
      <c r="AE23" s="10">
        <v>43153</v>
      </c>
      <c r="AF23" s="10">
        <v>43153</v>
      </c>
      <c r="AG23" s="10">
        <v>43152</v>
      </c>
      <c r="AH23" s="10">
        <v>43152</v>
      </c>
      <c r="AI23" s="10">
        <v>43154</v>
      </c>
      <c r="AM23" s="10">
        <v>43152</v>
      </c>
      <c r="AN23" s="10">
        <v>43152</v>
      </c>
    </row>
    <row r="24" spans="1:44" x14ac:dyDescent="0.25">
      <c r="A24" s="9" t="s">
        <v>53</v>
      </c>
      <c r="B24" s="1">
        <v>2</v>
      </c>
      <c r="C24" s="1" t="s">
        <v>82</v>
      </c>
      <c r="D24" s="3" t="s">
        <v>57</v>
      </c>
      <c r="E24" s="1" t="s">
        <v>40</v>
      </c>
      <c r="F24" s="1" t="s">
        <v>85</v>
      </c>
      <c r="G24" s="1" t="s">
        <v>56</v>
      </c>
      <c r="H24" s="6" t="s">
        <v>64</v>
      </c>
      <c r="I24" s="10"/>
      <c r="AE24" s="10"/>
      <c r="AM24" s="16"/>
      <c r="AN24" s="16"/>
    </row>
    <row r="25" spans="1:44" x14ac:dyDescent="0.25">
      <c r="A25" s="9" t="s">
        <v>59</v>
      </c>
      <c r="B25" s="1">
        <v>2</v>
      </c>
      <c r="C25" s="1" t="s">
        <v>55</v>
      </c>
      <c r="D25" s="3" t="s">
        <v>57</v>
      </c>
      <c r="E25" s="1" t="s">
        <v>60</v>
      </c>
      <c r="F25" s="1" t="s">
        <v>84</v>
      </c>
      <c r="G25" s="1" t="s">
        <v>56</v>
      </c>
      <c r="H25" s="6" t="s">
        <v>34</v>
      </c>
      <c r="M25" s="10">
        <v>43150</v>
      </c>
      <c r="N25" s="10">
        <v>43150</v>
      </c>
      <c r="O25" s="10">
        <v>43152</v>
      </c>
      <c r="P25" s="10">
        <v>43152</v>
      </c>
      <c r="Q25" s="10">
        <v>43154</v>
      </c>
      <c r="R25" s="10">
        <v>43154</v>
      </c>
      <c r="S25" s="10">
        <v>43150</v>
      </c>
      <c r="T25" s="10">
        <v>43149</v>
      </c>
      <c r="U25" s="10">
        <v>43151</v>
      </c>
      <c r="V25" s="10">
        <v>43151</v>
      </c>
      <c r="W25" s="10">
        <v>43150</v>
      </c>
      <c r="X25" s="10">
        <v>43150</v>
      </c>
      <c r="Y25" s="10">
        <v>43150</v>
      </c>
      <c r="Z25" s="10">
        <v>43150</v>
      </c>
      <c r="AA25" s="10">
        <v>43150</v>
      </c>
      <c r="AB25" s="10">
        <v>43150</v>
      </c>
      <c r="AE25" s="10">
        <v>43154</v>
      </c>
      <c r="AF25" s="10">
        <v>43154</v>
      </c>
      <c r="AG25" s="10">
        <v>43150</v>
      </c>
      <c r="AH25" s="10">
        <v>43150</v>
      </c>
      <c r="AI25" s="10">
        <v>43151</v>
      </c>
      <c r="AJ25" s="10">
        <v>43151</v>
      </c>
      <c r="AM25" s="10">
        <v>43151</v>
      </c>
      <c r="AN25" s="10">
        <v>43151</v>
      </c>
      <c r="AO25" s="10">
        <v>43152</v>
      </c>
      <c r="AP25" s="10">
        <v>43152</v>
      </c>
    </row>
    <row r="26" spans="1:44" x14ac:dyDescent="0.25">
      <c r="A26" s="9" t="s">
        <v>63</v>
      </c>
      <c r="B26" s="1">
        <v>2</v>
      </c>
      <c r="C26" s="1" t="s">
        <v>55</v>
      </c>
      <c r="D26" s="3" t="s">
        <v>57</v>
      </c>
      <c r="E26" s="1" t="s">
        <v>65</v>
      </c>
      <c r="F26" s="1" t="s">
        <v>84</v>
      </c>
      <c r="G26" s="1" t="s">
        <v>56</v>
      </c>
      <c r="H26" s="6" t="s">
        <v>64</v>
      </c>
      <c r="M26" s="10">
        <v>43153</v>
      </c>
      <c r="N26" s="10">
        <v>43153</v>
      </c>
      <c r="O26" s="10">
        <v>43157</v>
      </c>
      <c r="P26" s="10">
        <v>43157</v>
      </c>
      <c r="Q26" s="10">
        <v>43154</v>
      </c>
      <c r="R26" s="10">
        <v>43154</v>
      </c>
      <c r="S26" s="10">
        <v>43150</v>
      </c>
      <c r="T26" s="10">
        <v>43150</v>
      </c>
      <c r="U26" s="10">
        <v>43157</v>
      </c>
      <c r="V26" s="10">
        <v>43157</v>
      </c>
      <c r="W26" s="10">
        <v>43151</v>
      </c>
      <c r="X26" s="10">
        <v>43151</v>
      </c>
      <c r="Y26" s="10">
        <v>43150</v>
      </c>
      <c r="Z26" s="10">
        <v>43150</v>
      </c>
      <c r="AA26" s="10">
        <v>43150</v>
      </c>
      <c r="AB26" s="10">
        <v>43150</v>
      </c>
      <c r="AE26" s="10">
        <v>43154</v>
      </c>
      <c r="AF26" s="10">
        <v>43154</v>
      </c>
      <c r="AG26" s="10">
        <v>43150</v>
      </c>
      <c r="AH26" s="10">
        <v>43150</v>
      </c>
      <c r="AI26" s="10">
        <v>43151</v>
      </c>
      <c r="AJ26" s="10">
        <v>43151</v>
      </c>
      <c r="AM26" s="10">
        <v>43151</v>
      </c>
      <c r="AN26" s="10">
        <v>43151</v>
      </c>
      <c r="AO26" s="10">
        <v>43152</v>
      </c>
      <c r="AP26" s="10">
        <v>43152</v>
      </c>
    </row>
    <row r="27" spans="1:44" x14ac:dyDescent="0.25">
      <c r="A27" s="9" t="s">
        <v>66</v>
      </c>
      <c r="B27" s="1">
        <v>2</v>
      </c>
      <c r="C27" s="1" t="s">
        <v>55</v>
      </c>
      <c r="D27" s="3" t="s">
        <v>57</v>
      </c>
      <c r="E27" s="1" t="s">
        <v>67</v>
      </c>
      <c r="F27" s="1" t="s">
        <v>84</v>
      </c>
      <c r="G27" s="1" t="s">
        <v>56</v>
      </c>
      <c r="H27" s="6" t="s">
        <v>64</v>
      </c>
      <c r="M27" s="10">
        <v>43153</v>
      </c>
      <c r="N27" s="10">
        <v>43153</v>
      </c>
      <c r="O27" s="10">
        <v>43157</v>
      </c>
      <c r="P27" s="10">
        <v>43157</v>
      </c>
      <c r="Q27" s="10">
        <v>43154</v>
      </c>
      <c r="R27" s="10">
        <v>43154</v>
      </c>
      <c r="S27" s="10">
        <v>43151</v>
      </c>
      <c r="T27" s="10">
        <v>43151</v>
      </c>
      <c r="U27" s="10">
        <v>43157</v>
      </c>
      <c r="V27" s="10">
        <v>43157</v>
      </c>
      <c r="W27" s="10">
        <v>43150</v>
      </c>
      <c r="X27" s="10">
        <v>43150</v>
      </c>
      <c r="Y27" s="10">
        <v>43151</v>
      </c>
      <c r="Z27" s="10">
        <v>43151</v>
      </c>
      <c r="AA27" s="10">
        <v>43151</v>
      </c>
      <c r="AB27" s="10">
        <v>43151</v>
      </c>
      <c r="AE27" s="10">
        <v>43154</v>
      </c>
      <c r="AF27" s="10">
        <v>43154</v>
      </c>
      <c r="AG27" s="10">
        <v>43151</v>
      </c>
      <c r="AH27" s="10">
        <v>43151</v>
      </c>
      <c r="AI27" s="10">
        <v>43151</v>
      </c>
      <c r="AJ27" s="10">
        <v>43151</v>
      </c>
      <c r="AM27" s="10">
        <v>43152</v>
      </c>
      <c r="AN27" s="10">
        <v>43152</v>
      </c>
      <c r="AO27" s="10">
        <v>43152</v>
      </c>
      <c r="AP27" s="10">
        <v>43152</v>
      </c>
    </row>
    <row r="28" spans="1:44" x14ac:dyDescent="0.25">
      <c r="A28" s="9" t="s">
        <v>54</v>
      </c>
      <c r="B28" s="1">
        <v>2</v>
      </c>
      <c r="C28" s="1" t="s">
        <v>55</v>
      </c>
      <c r="D28" s="3" t="s">
        <v>57</v>
      </c>
      <c r="E28" s="1" t="s">
        <v>58</v>
      </c>
      <c r="F28" s="1" t="s">
        <v>84</v>
      </c>
      <c r="G28" s="1" t="s">
        <v>56</v>
      </c>
      <c r="H28" s="6" t="s">
        <v>34</v>
      </c>
      <c r="M28" s="10">
        <v>43154</v>
      </c>
      <c r="N28" s="10">
        <v>43154</v>
      </c>
      <c r="O28" s="10">
        <v>43157</v>
      </c>
      <c r="P28" s="10">
        <v>43157</v>
      </c>
      <c r="Q28" s="10">
        <v>43154</v>
      </c>
      <c r="R28" s="10">
        <v>43154</v>
      </c>
      <c r="S28" s="10">
        <v>43151</v>
      </c>
      <c r="T28" s="10">
        <v>43151</v>
      </c>
      <c r="U28" s="10">
        <v>43151</v>
      </c>
      <c r="V28" s="10">
        <v>43151</v>
      </c>
      <c r="W28" s="10">
        <v>43151</v>
      </c>
      <c r="X28" s="10">
        <v>43151</v>
      </c>
      <c r="Y28" s="10">
        <v>43151</v>
      </c>
      <c r="Z28" s="10">
        <v>43151</v>
      </c>
      <c r="AA28" s="10">
        <v>43151</v>
      </c>
      <c r="AB28" s="10">
        <v>43151</v>
      </c>
      <c r="AE28" s="10">
        <v>43154</v>
      </c>
      <c r="AF28" s="10">
        <v>43154</v>
      </c>
      <c r="AG28" s="10">
        <v>43151</v>
      </c>
      <c r="AH28" s="10">
        <v>43151</v>
      </c>
      <c r="AI28" s="10">
        <v>43152</v>
      </c>
      <c r="AJ28" s="10">
        <v>43152</v>
      </c>
      <c r="AM28" s="10">
        <v>43152</v>
      </c>
      <c r="AN28" s="10">
        <v>43152</v>
      </c>
      <c r="AO28" s="10">
        <v>43157</v>
      </c>
      <c r="AP28" s="10">
        <v>43157</v>
      </c>
    </row>
    <row r="29" spans="1:44" x14ac:dyDescent="0.25">
      <c r="A29" s="9" t="s">
        <v>62</v>
      </c>
      <c r="B29" s="1">
        <v>2</v>
      </c>
      <c r="C29" s="1" t="s">
        <v>55</v>
      </c>
      <c r="D29" s="3" t="s">
        <v>57</v>
      </c>
      <c r="E29" s="1" t="s">
        <v>39</v>
      </c>
      <c r="F29" s="1" t="s">
        <v>84</v>
      </c>
      <c r="G29" s="1" t="s">
        <v>61</v>
      </c>
      <c r="H29" s="6" t="s">
        <v>34</v>
      </c>
      <c r="I29" s="10">
        <v>43146</v>
      </c>
      <c r="J29" s="10">
        <v>43146</v>
      </c>
      <c r="K29" s="10">
        <v>43146</v>
      </c>
      <c r="L29" s="10">
        <v>43146</v>
      </c>
      <c r="M29" s="10">
        <v>43146</v>
      </c>
      <c r="N29" s="10">
        <v>43146</v>
      </c>
      <c r="O29" s="10">
        <v>43146</v>
      </c>
      <c r="P29" s="10">
        <v>43146</v>
      </c>
      <c r="Q29" s="10">
        <v>43146</v>
      </c>
      <c r="R29" s="10">
        <v>43146</v>
      </c>
      <c r="S29" s="10"/>
      <c r="U29" s="10">
        <v>43146</v>
      </c>
      <c r="V29" s="10">
        <v>43146</v>
      </c>
      <c r="W29" s="10">
        <v>43146</v>
      </c>
      <c r="X29" s="10">
        <v>43146</v>
      </c>
      <c r="Y29" s="10">
        <v>43146</v>
      </c>
      <c r="Z29" s="10">
        <v>43146</v>
      </c>
      <c r="AA29" s="10">
        <v>43146</v>
      </c>
      <c r="AB29" s="10">
        <v>43146</v>
      </c>
      <c r="AC29" s="10">
        <v>43146</v>
      </c>
      <c r="AD29" s="10">
        <v>43146</v>
      </c>
      <c r="AE29" s="10">
        <v>43146</v>
      </c>
      <c r="AF29" s="10">
        <v>43146</v>
      </c>
      <c r="AG29" s="10">
        <v>43146</v>
      </c>
      <c r="AH29" s="10">
        <v>43146</v>
      </c>
      <c r="AI29" s="10">
        <v>43146</v>
      </c>
      <c r="AJ29" s="10">
        <v>43146</v>
      </c>
      <c r="AK29" s="10">
        <v>43146</v>
      </c>
      <c r="AL29" s="10">
        <v>43146</v>
      </c>
      <c r="AM29" s="10">
        <v>43146</v>
      </c>
      <c r="AN29" s="10">
        <v>43146</v>
      </c>
      <c r="AO29" s="10">
        <v>43146</v>
      </c>
      <c r="AP29" s="10">
        <v>43146</v>
      </c>
    </row>
    <row r="30" spans="1:44" x14ac:dyDescent="0.25">
      <c r="A30" s="9" t="s">
        <v>70</v>
      </c>
      <c r="B30" s="1">
        <v>2</v>
      </c>
      <c r="C30" s="1" t="s">
        <v>55</v>
      </c>
      <c r="D30" s="3" t="s">
        <v>57</v>
      </c>
      <c r="E30" s="1" t="s">
        <v>71</v>
      </c>
      <c r="F30" s="1" t="s">
        <v>84</v>
      </c>
      <c r="G30" s="1" t="s">
        <v>72</v>
      </c>
      <c r="H30" s="6" t="s">
        <v>64</v>
      </c>
      <c r="I30" s="10">
        <v>43147</v>
      </c>
      <c r="J30" s="10">
        <v>43147</v>
      </c>
      <c r="M30" s="10">
        <v>43147</v>
      </c>
      <c r="N30" s="10">
        <v>43147</v>
      </c>
      <c r="O30" s="10">
        <v>43147</v>
      </c>
      <c r="P30" s="10">
        <v>43147</v>
      </c>
      <c r="U30" s="10">
        <v>43147</v>
      </c>
      <c r="V30" s="10">
        <v>43147</v>
      </c>
      <c r="W30" s="10">
        <v>43147</v>
      </c>
      <c r="X30" s="10">
        <v>43147</v>
      </c>
      <c r="AK30" s="10">
        <v>43147</v>
      </c>
      <c r="AL30" s="10">
        <v>43147</v>
      </c>
      <c r="AM30" s="10">
        <v>43147</v>
      </c>
      <c r="AN30" s="10">
        <v>43147</v>
      </c>
      <c r="AO30" s="10">
        <v>43147</v>
      </c>
      <c r="AP30" s="10">
        <v>43147</v>
      </c>
    </row>
    <row r="31" spans="1:44" x14ac:dyDescent="0.25">
      <c r="A31" s="9" t="s">
        <v>68</v>
      </c>
      <c r="B31" s="1">
        <v>2</v>
      </c>
      <c r="C31" s="1" t="s">
        <v>55</v>
      </c>
      <c r="D31" s="3" t="s">
        <v>57</v>
      </c>
      <c r="E31" s="1" t="s">
        <v>69</v>
      </c>
      <c r="F31" s="1" t="s">
        <v>84</v>
      </c>
      <c r="G31" s="1" t="s">
        <v>56</v>
      </c>
      <c r="H31" s="6" t="s">
        <v>64</v>
      </c>
      <c r="M31" s="10">
        <v>43154</v>
      </c>
      <c r="N31" s="10">
        <v>43154</v>
      </c>
      <c r="O31" s="10">
        <v>43157</v>
      </c>
      <c r="P31" s="10">
        <v>43157</v>
      </c>
      <c r="Q31" s="10">
        <v>43154</v>
      </c>
      <c r="S31" s="10">
        <v>43152</v>
      </c>
      <c r="T31" s="10">
        <v>43152</v>
      </c>
      <c r="U31" s="10">
        <v>43153</v>
      </c>
      <c r="V31" s="10">
        <v>43154</v>
      </c>
      <c r="W31" s="10">
        <v>43154</v>
      </c>
      <c r="Y31" s="10">
        <v>43152</v>
      </c>
      <c r="Z31" s="10">
        <v>43152</v>
      </c>
      <c r="AA31" s="10">
        <v>43152</v>
      </c>
      <c r="AB31" s="10">
        <v>43152</v>
      </c>
      <c r="AE31" s="10">
        <v>43155</v>
      </c>
      <c r="AF31" s="10">
        <v>43155</v>
      </c>
      <c r="AG31" s="10">
        <v>43152</v>
      </c>
      <c r="AH31" s="10">
        <v>43152</v>
      </c>
      <c r="AI31" s="10">
        <v>43152</v>
      </c>
      <c r="AJ31" s="10">
        <v>43152</v>
      </c>
      <c r="AM31" s="10">
        <v>43151</v>
      </c>
      <c r="AN31" s="10">
        <v>43151</v>
      </c>
      <c r="AO31" s="10">
        <v>43157</v>
      </c>
      <c r="AP31" s="10">
        <v>43157</v>
      </c>
    </row>
    <row r="32" spans="1:44" x14ac:dyDescent="0.25">
      <c r="A32" s="9" t="s">
        <v>78</v>
      </c>
      <c r="B32" s="1">
        <v>2</v>
      </c>
      <c r="C32" s="1" t="s">
        <v>31</v>
      </c>
      <c r="D32" s="3" t="s">
        <v>93</v>
      </c>
      <c r="E32" s="1" t="s">
        <v>36</v>
      </c>
      <c r="F32" s="1" t="s">
        <v>84</v>
      </c>
      <c r="G32" s="1" t="s">
        <v>80</v>
      </c>
      <c r="H32" s="6" t="s">
        <v>64</v>
      </c>
      <c r="AM32" s="10">
        <v>43138</v>
      </c>
      <c r="AN32" s="10">
        <v>43138</v>
      </c>
      <c r="AO32" s="10">
        <v>43157</v>
      </c>
      <c r="AP32" s="10">
        <v>43159</v>
      </c>
    </row>
    <row r="33" spans="1:43" x14ac:dyDescent="0.25">
      <c r="A33" s="9" t="s">
        <v>11</v>
      </c>
      <c r="B33" s="1">
        <v>2</v>
      </c>
      <c r="C33" s="1" t="s">
        <v>12</v>
      </c>
      <c r="D33" s="2" t="s">
        <v>75</v>
      </c>
      <c r="E33" s="1"/>
      <c r="F33" s="1"/>
      <c r="G33" s="1"/>
      <c r="H33" s="5"/>
      <c r="AM33" s="10">
        <v>43159</v>
      </c>
      <c r="AN33" s="10">
        <v>43159</v>
      </c>
      <c r="AO33" s="10">
        <v>43159</v>
      </c>
      <c r="AP33" s="10">
        <v>43159</v>
      </c>
    </row>
    <row r="34" spans="1:43" x14ac:dyDescent="0.25">
      <c r="A34" s="9" t="s">
        <v>13</v>
      </c>
      <c r="B34" s="1">
        <v>2</v>
      </c>
      <c r="C34" s="1"/>
      <c r="D34" s="2" t="s">
        <v>75</v>
      </c>
      <c r="E34" s="1"/>
      <c r="F34" s="1"/>
      <c r="G34" s="1"/>
      <c r="H34" s="5"/>
      <c r="AM34" s="17" t="s">
        <v>143</v>
      </c>
      <c r="AN34" s="17" t="s">
        <v>143</v>
      </c>
    </row>
    <row r="35" spans="1:43" x14ac:dyDescent="0.25">
      <c r="A35" s="9" t="s">
        <v>14</v>
      </c>
      <c r="B35" s="1">
        <v>3</v>
      </c>
      <c r="C35" s="1" t="s">
        <v>16</v>
      </c>
      <c r="D35" s="3" t="s">
        <v>93</v>
      </c>
      <c r="E35" s="1"/>
      <c r="F35" s="1" t="s">
        <v>86</v>
      </c>
      <c r="G35" s="1" t="s">
        <v>142</v>
      </c>
      <c r="H35" s="5"/>
      <c r="I35" s="10">
        <v>43147</v>
      </c>
      <c r="J35" s="10"/>
      <c r="K35" s="10">
        <v>43147</v>
      </c>
      <c r="L35" s="10"/>
      <c r="M35" s="10">
        <v>43147</v>
      </c>
      <c r="N35" s="10"/>
      <c r="O35" s="10">
        <v>43147</v>
      </c>
      <c r="P35" s="10"/>
      <c r="Q35" s="10">
        <v>43147</v>
      </c>
      <c r="R35" s="10"/>
      <c r="S35" s="10">
        <v>43147</v>
      </c>
      <c r="AM35" s="17" t="s">
        <v>143</v>
      </c>
      <c r="AN35" s="17" t="s">
        <v>143</v>
      </c>
      <c r="AO35" s="10">
        <v>43147</v>
      </c>
    </row>
    <row r="36" spans="1:43" x14ac:dyDescent="0.25">
      <c r="A36" s="9" t="s">
        <v>15</v>
      </c>
      <c r="B36" s="1">
        <v>3</v>
      </c>
      <c r="C36" s="1" t="s">
        <v>16</v>
      </c>
      <c r="D36" s="3" t="s">
        <v>93</v>
      </c>
      <c r="E36" s="1"/>
      <c r="F36" s="1" t="s">
        <v>86</v>
      </c>
      <c r="G36" s="1" t="s">
        <v>142</v>
      </c>
      <c r="H36" s="5"/>
      <c r="I36" s="10">
        <v>43147</v>
      </c>
      <c r="J36" s="10"/>
      <c r="K36" s="10">
        <v>43147</v>
      </c>
      <c r="L36" s="10"/>
      <c r="M36" s="10">
        <v>43147</v>
      </c>
      <c r="O36" s="10">
        <v>43147</v>
      </c>
      <c r="Q36" s="10">
        <v>43147</v>
      </c>
      <c r="R36" s="10"/>
      <c r="S36" s="10">
        <v>43147</v>
      </c>
      <c r="AM36" s="17" t="s">
        <v>143</v>
      </c>
      <c r="AN36" s="17" t="s">
        <v>143</v>
      </c>
      <c r="AO36" s="10">
        <v>43147</v>
      </c>
    </row>
    <row r="37" spans="1:43" x14ac:dyDescent="0.25">
      <c r="A37" s="9" t="s">
        <v>18</v>
      </c>
      <c r="B37" s="1">
        <v>3</v>
      </c>
      <c r="C37" s="1"/>
      <c r="D37" s="2" t="s">
        <v>75</v>
      </c>
      <c r="E37" s="1"/>
      <c r="F37" s="1"/>
      <c r="G37" s="1"/>
      <c r="H37" s="5"/>
      <c r="O37" s="10">
        <v>43160</v>
      </c>
      <c r="Q37" s="10">
        <v>43160</v>
      </c>
      <c r="S37" s="10"/>
      <c r="U37" s="10">
        <v>43160</v>
      </c>
      <c r="AA37" s="10">
        <v>43160</v>
      </c>
      <c r="AC37" s="10">
        <v>43160</v>
      </c>
      <c r="AE37" s="10">
        <v>43160</v>
      </c>
      <c r="AG37" s="10">
        <v>43160</v>
      </c>
      <c r="AI37" s="10">
        <v>43160</v>
      </c>
      <c r="AK37" s="10">
        <v>43160</v>
      </c>
      <c r="AM37" s="10">
        <v>43160</v>
      </c>
      <c r="AN37" s="10">
        <v>43160</v>
      </c>
      <c r="AO37" s="10">
        <v>43160</v>
      </c>
      <c r="AQ37" s="10">
        <v>43160</v>
      </c>
    </row>
    <row r="38" spans="1:43" x14ac:dyDescent="0.25">
      <c r="A38" s="9" t="s">
        <v>19</v>
      </c>
      <c r="B38" s="1">
        <v>3</v>
      </c>
      <c r="C38" s="1" t="s">
        <v>20</v>
      </c>
      <c r="D38" s="2" t="s">
        <v>75</v>
      </c>
      <c r="E38" s="1"/>
      <c r="F38" s="1"/>
      <c r="G38" s="1"/>
      <c r="H38" s="5"/>
      <c r="Q38" s="10">
        <v>43153</v>
      </c>
      <c r="R38" s="10">
        <v>43153</v>
      </c>
      <c r="AM38" s="10">
        <v>43160</v>
      </c>
      <c r="AN38" s="10">
        <v>43160</v>
      </c>
    </row>
    <row r="39" spans="1:43" x14ac:dyDescent="0.25">
      <c r="A39" s="9" t="s">
        <v>87</v>
      </c>
      <c r="B39" s="1">
        <v>1</v>
      </c>
      <c r="C39" s="1" t="s">
        <v>6</v>
      </c>
      <c r="D39" s="3" t="s">
        <v>93</v>
      </c>
      <c r="E39" s="1"/>
      <c r="F39" s="1" t="s">
        <v>84</v>
      </c>
      <c r="G39" s="1" t="s">
        <v>74</v>
      </c>
      <c r="H39" s="5"/>
      <c r="I39" s="10">
        <v>43138</v>
      </c>
      <c r="K39" s="10">
        <v>43138</v>
      </c>
      <c r="M39" s="10">
        <v>43138</v>
      </c>
      <c r="O39" s="10">
        <v>43138</v>
      </c>
      <c r="Q39" s="10">
        <v>43138</v>
      </c>
      <c r="S39" s="10"/>
      <c r="U39" s="10">
        <v>43138</v>
      </c>
      <c r="W39" s="10">
        <v>43138</v>
      </c>
      <c r="Y39" s="10">
        <v>43138</v>
      </c>
      <c r="AA39" s="10">
        <v>43138</v>
      </c>
      <c r="AC39" s="10">
        <v>43138</v>
      </c>
      <c r="AE39" s="10">
        <v>43138</v>
      </c>
      <c r="AG39" s="10">
        <v>43138</v>
      </c>
      <c r="AH39" s="10"/>
      <c r="AI39" s="10">
        <v>43138</v>
      </c>
      <c r="AK39" s="10">
        <v>43138</v>
      </c>
      <c r="AM39" s="10">
        <v>43138</v>
      </c>
      <c r="AN39" s="10">
        <v>43138</v>
      </c>
    </row>
    <row r="40" spans="1:43" x14ac:dyDescent="0.25">
      <c r="A40" s="9" t="s">
        <v>22</v>
      </c>
      <c r="B40" s="1">
        <v>3</v>
      </c>
      <c r="C40" s="1" t="s">
        <v>16</v>
      </c>
      <c r="D40" s="2" t="s">
        <v>75</v>
      </c>
      <c r="E40" s="1"/>
      <c r="F40" s="1"/>
      <c r="G40" s="1"/>
      <c r="H40" s="5"/>
      <c r="I40" s="10">
        <v>43165</v>
      </c>
      <c r="M40" s="10">
        <v>43165</v>
      </c>
      <c r="O40" s="10">
        <v>43165</v>
      </c>
      <c r="Q40" s="10">
        <v>43165</v>
      </c>
      <c r="S40" s="10">
        <v>43165</v>
      </c>
      <c r="U40" s="10">
        <v>43165</v>
      </c>
      <c r="W40" s="10">
        <v>43165</v>
      </c>
      <c r="Y40" s="10">
        <v>43165</v>
      </c>
      <c r="AA40" s="10">
        <v>43165</v>
      </c>
      <c r="AC40" s="10">
        <v>43165</v>
      </c>
      <c r="AE40" s="10">
        <v>43165</v>
      </c>
      <c r="AG40" s="10">
        <v>43165</v>
      </c>
      <c r="AI40" s="10">
        <v>43165</v>
      </c>
      <c r="AK40" s="10">
        <v>43165</v>
      </c>
      <c r="AM40" s="10">
        <v>43165</v>
      </c>
      <c r="AN40" s="10">
        <v>43165</v>
      </c>
      <c r="AO40" s="10">
        <v>43165</v>
      </c>
      <c r="AQ40" s="10">
        <v>43165</v>
      </c>
    </row>
  </sheetData>
  <autoFilter ref="A1:AR1"/>
  <hyperlinks>
    <hyperlink ref="H6" r:id="rId1"/>
    <hyperlink ref="H9" r:id="rId2"/>
    <hyperlink ref="H10" r:id="rId3"/>
    <hyperlink ref="H7" r:id="rId4"/>
    <hyperlink ref="H8" r:id="rId5"/>
    <hyperlink ref="H11" r:id="rId6"/>
    <hyperlink ref="H28" r:id="rId7" location="t=1"/>
    <hyperlink ref="H25" r:id="rId8" location="t=1"/>
    <hyperlink ref="H29" r:id="rId9"/>
    <hyperlink ref="H26" r:id="rId10" location="t=1"/>
    <hyperlink ref="H27" r:id="rId11" location="t=1"/>
    <hyperlink ref="H31" r:id="rId12"/>
    <hyperlink ref="H30" r:id="rId13"/>
    <hyperlink ref="H17" r:id="rId14"/>
    <hyperlink ref="H20" r:id="rId15" location="t=1"/>
    <hyperlink ref="H21" r:id="rId16" location="t=1"/>
    <hyperlink ref="H22" r:id="rId17" location="t=1"/>
    <hyperlink ref="H23" r:id="rId18"/>
    <hyperlink ref="H24" r:id="rId19"/>
    <hyperlink ref="H15" r:id="rId20"/>
    <hyperlink ref="H32" r:id="rId21"/>
    <hyperlink ref="H5" r:id="rId22" location="t=1"/>
    <hyperlink ref="H12" r:id="rId23"/>
    <hyperlink ref="H13" r:id="rId24" location="t=1"/>
    <hyperlink ref="H14" r:id="rId25" location="t=1"/>
    <hyperlink ref="H3" r:id="rId26"/>
    <hyperlink ref="H2" r:id="rId27"/>
    <hyperlink ref="H4" r:id="rId28" location="t=1"/>
    <hyperlink ref="H16" r:id="rId29"/>
  </hyperlinks>
  <pageMargins left="0.7" right="0.7" top="0.75" bottom="0.75" header="0.3" footer="0.3"/>
  <pageSetup orientation="portrait" r:id="rId30"/>
  <customProperties>
    <customPr name="Guid" r:id="rId3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"/>
  <sheetViews>
    <sheetView workbookViewId="0"/>
  </sheetViews>
  <sheetFormatPr defaultRowHeight="15" x14ac:dyDescent="0.25"/>
  <sheetData>
    <row r="1" spans="1:256" x14ac:dyDescent="0.25">
      <c r="A1" t="s">
        <v>99</v>
      </c>
      <c r="F1" t="e">
        <f>Sheet1!B:B*"$wK!%"</f>
        <v>#VALUE!</v>
      </c>
      <c r="G1" t="e">
        <f>Sheet1!A:A*"$wK!&amp;"</f>
        <v>#VALUE!</v>
      </c>
      <c r="H1" t="e">
        <f>Sheet1!C:C*"$wK!'"</f>
        <v>#VALUE!</v>
      </c>
      <c r="I1" t="e">
        <f>Sheet1!D:D*"$wK!("</f>
        <v>#VALUE!</v>
      </c>
      <c r="J1" t="e">
        <f>Sheet1!E:E*"$wK!)"</f>
        <v>#VALUE!</v>
      </c>
      <c r="K1" t="e">
        <f>Sheet1!F:F*"$wK!."</f>
        <v>#VALUE!</v>
      </c>
      <c r="L1" t="e">
        <f>Sheet1!G:G*"$wK!/"</f>
        <v>#VALUE!</v>
      </c>
      <c r="M1" t="e">
        <f>Sheet1!H:H*"$wK!0"</f>
        <v>#VALUE!</v>
      </c>
      <c r="N1" t="e">
        <f>Sheet1!I:I*"$wK!1"</f>
        <v>#VALUE!</v>
      </c>
      <c r="O1" t="e">
        <f>Sheet1!J:J*"$wK!2"</f>
        <v>#VALUE!</v>
      </c>
      <c r="P1" t="e">
        <f>Sheet1!K:K*"$wK!3"</f>
        <v>#VALUE!</v>
      </c>
      <c r="Q1" t="e">
        <f>Sheet1!L:L*"$wK!4"</f>
        <v>#VALUE!</v>
      </c>
      <c r="R1" t="e">
        <f>Sheet1!M:M*"$wK!5"</f>
        <v>#VALUE!</v>
      </c>
      <c r="S1" t="e">
        <f>Sheet1!N:N*"$wK!6"</f>
        <v>#VALUE!</v>
      </c>
      <c r="T1" t="e">
        <f>Sheet1!O:O*"$wK!7"</f>
        <v>#VALUE!</v>
      </c>
      <c r="U1" t="e">
        <f>Sheet1!P:P*"$wK!8"</f>
        <v>#VALUE!</v>
      </c>
      <c r="V1" t="e">
        <f>Sheet1!Q:Q*"$wK!9"</f>
        <v>#VALUE!</v>
      </c>
      <c r="W1" t="e">
        <f>Sheet1!R:R*"$wK!:"</f>
        <v>#VALUE!</v>
      </c>
      <c r="X1" t="e">
        <f>Sheet1!S:S*"$wK!;"</f>
        <v>#VALUE!</v>
      </c>
      <c r="Y1" t="e">
        <f>Sheet1!T:T*"$wK!&lt;"</f>
        <v>#VALUE!</v>
      </c>
      <c r="Z1" t="e">
        <f>Sheet1!U:U*"$wK!="</f>
        <v>#VALUE!</v>
      </c>
      <c r="AA1" t="e">
        <f>Sheet1!V:V*"$wK!&gt;"</f>
        <v>#VALUE!</v>
      </c>
      <c r="AB1" t="e">
        <f>Sheet1!W:W*"$wK!?"</f>
        <v>#VALUE!</v>
      </c>
      <c r="AC1" t="e">
        <f>Sheet1!X:X*"$wK!@"</f>
        <v>#VALUE!</v>
      </c>
      <c r="AD1" t="e">
        <f>Sheet1!Y:Y*"$wK!A"</f>
        <v>#VALUE!</v>
      </c>
      <c r="AE1" t="e">
        <f>Sheet1!Z:Z*"$wK!B"</f>
        <v>#VALUE!</v>
      </c>
      <c r="AF1" t="e">
        <f>Sheet1!AA:AA*"$wK!C"</f>
        <v>#VALUE!</v>
      </c>
      <c r="AG1" t="e">
        <f>Sheet1!AB:AB*"$wK!D"</f>
        <v>#VALUE!</v>
      </c>
      <c r="AH1" t="e">
        <f>Sheet1!AC:AC*"$wK!E"</f>
        <v>#VALUE!</v>
      </c>
      <c r="AI1" t="e">
        <f>Sheet1!AD:AD*"$wK!F"</f>
        <v>#VALUE!</v>
      </c>
      <c r="AJ1" t="e">
        <f>Sheet1!AE:AE*"$wK!G"</f>
        <v>#VALUE!</v>
      </c>
      <c r="AK1" t="e">
        <f>Sheet1!AF:AF*"$wK!H"</f>
        <v>#VALUE!</v>
      </c>
      <c r="AL1" t="e">
        <f>Sheet1!AG:AG*"$wK!I"</f>
        <v>#VALUE!</v>
      </c>
      <c r="AM1" t="e">
        <f>Sheet1!AH:AH*"$wK!J"</f>
        <v>#VALUE!</v>
      </c>
      <c r="AN1" t="e">
        <f>Sheet1!AI:AI*"$wK!K"</f>
        <v>#VALUE!</v>
      </c>
      <c r="AO1" t="e">
        <f>Sheet1!AJ:AJ*"$wK!L"</f>
        <v>#VALUE!</v>
      </c>
      <c r="AP1" t="e">
        <f>Sheet1!AK:AK*"$wK!M"</f>
        <v>#VALUE!</v>
      </c>
      <c r="AQ1" t="e">
        <f>Sheet1!AL:AL*"$wK!N"</f>
        <v>#VALUE!</v>
      </c>
      <c r="AR1" t="e">
        <f>Sheet1!AM:AM*"$wK!O"</f>
        <v>#VALUE!</v>
      </c>
      <c r="AS1" t="e">
        <f>Sheet1!AN:AN*"$wK!P"</f>
        <v>#VALUE!</v>
      </c>
      <c r="AT1" t="e">
        <f>Sheet1!AO:AO*"$wK!Q"</f>
        <v>#VALUE!</v>
      </c>
      <c r="AU1" t="e">
        <f>Sheet1!AP:AP*"$wK!R"</f>
        <v>#VALUE!</v>
      </c>
      <c r="AV1" t="e">
        <f>Sheet1!AQ:AQ*"$wK!S"</f>
        <v>#VALUE!</v>
      </c>
      <c r="AW1" t="e">
        <f>Sheet1!AR:AR*"$wK!T"</f>
        <v>#VALUE!</v>
      </c>
      <c r="AX1" t="e">
        <f>Sheet1!AS:AS*"$wK!U"</f>
        <v>#VALUE!</v>
      </c>
      <c r="AY1" t="e">
        <f>Sheet1!AT:AT*"$wK!V"</f>
        <v>#VALUE!</v>
      </c>
      <c r="AZ1" t="e">
        <f>Sheet1!AU:AU*"$wK!W"</f>
        <v>#VALUE!</v>
      </c>
      <c r="BA1" t="e">
        <f>Sheet1!AV:AV*"$wK!X"</f>
        <v>#VALUE!</v>
      </c>
      <c r="BB1" t="e">
        <f>Sheet1!AW:AW*"$wK!Y"</f>
        <v>#VALUE!</v>
      </c>
      <c r="BC1" t="e">
        <f>Sheet1!AX:AX*"$wK!Z"</f>
        <v>#VALUE!</v>
      </c>
      <c r="BD1" t="e">
        <f>Sheet1!AY:AY*"$wK!["</f>
        <v>#VALUE!</v>
      </c>
      <c r="BE1" t="e">
        <f>Sheet1!AZ:AZ*"$wK!\"</f>
        <v>#VALUE!</v>
      </c>
      <c r="BF1" t="e">
        <f>Sheet1!BA:BA*"$wK!]"</f>
        <v>#VALUE!</v>
      </c>
      <c r="BG1" t="e">
        <f>Sheet1!BB:BB*"$wK!^"</f>
        <v>#VALUE!</v>
      </c>
      <c r="BH1" t="e">
        <f>Sheet1!BC:BC*"$wK!_"</f>
        <v>#VALUE!</v>
      </c>
      <c r="BI1" t="e">
        <f>Sheet1!BD:BD*"$wK!`"</f>
        <v>#VALUE!</v>
      </c>
      <c r="BJ1" t="e">
        <f>Sheet1!BE:BE*"$wK!a"</f>
        <v>#VALUE!</v>
      </c>
      <c r="BK1" t="e">
        <f>Sheet1!BF:BF*"$wK!b"</f>
        <v>#VALUE!</v>
      </c>
      <c r="BL1" t="e">
        <f>Sheet1!1:1-"$wK!c"</f>
        <v>#VALUE!</v>
      </c>
      <c r="BM1" t="e">
        <f>Sheet1!2:2-"$wK!d"</f>
        <v>#VALUE!</v>
      </c>
      <c r="BN1" t="e">
        <f>Sheet1!3:3-"$wK!e"</f>
        <v>#VALUE!</v>
      </c>
      <c r="BO1" t="e">
        <f>Sheet1!4:4-"$wK!f"</f>
        <v>#VALUE!</v>
      </c>
      <c r="BP1" t="e">
        <f>Sheet1!5:5-"$wK!g"</f>
        <v>#VALUE!</v>
      </c>
      <c r="BQ1" t="e">
        <f>Sheet1!6:6-"$wK!h"</f>
        <v>#VALUE!</v>
      </c>
      <c r="BR1" t="e">
        <f>Sheet1!7:7-"$wK!i"</f>
        <v>#VALUE!</v>
      </c>
      <c r="BS1" t="e">
        <f>Sheet1!8:8-"$wK!j"</f>
        <v>#VALUE!</v>
      </c>
      <c r="BT1" t="e">
        <f>Sheet1!9:9-"$wK!k"</f>
        <v>#VALUE!</v>
      </c>
      <c r="BU1" t="e">
        <f>Sheet1!10:10-"$wK!l"</f>
        <v>#VALUE!</v>
      </c>
      <c r="BV1" t="e">
        <f>Sheet1!11:11-"$wK!m"</f>
        <v>#VALUE!</v>
      </c>
      <c r="BW1" t="e">
        <f>Sheet1!12:12-"$wK!n"</f>
        <v>#VALUE!</v>
      </c>
      <c r="BX1" t="e">
        <f>Sheet1!13:13-"$wK!o"</f>
        <v>#VALUE!</v>
      </c>
      <c r="BY1" t="e">
        <f>Sheet1!14:14-"$wK!p"</f>
        <v>#VALUE!</v>
      </c>
      <c r="BZ1" t="e">
        <f>Sheet1!15:15-"$wK!q"</f>
        <v>#VALUE!</v>
      </c>
      <c r="CA1" t="e">
        <f>Sheet1!16:16-"$wK!r"</f>
        <v>#VALUE!</v>
      </c>
      <c r="CB1" t="e">
        <f>Sheet1!17:17-"$wK!s"</f>
        <v>#VALUE!</v>
      </c>
      <c r="CC1" t="e">
        <f>Sheet1!18:18-"$wK!t"</f>
        <v>#VALUE!</v>
      </c>
      <c r="CD1" t="e">
        <f>Sheet1!19:19-"$wK!u"</f>
        <v>#VALUE!</v>
      </c>
      <c r="CE1" t="e">
        <f>Sheet1!20:20-"$wK!v"</f>
        <v>#VALUE!</v>
      </c>
      <c r="CF1" t="e">
        <f>Sheet1!21:21-"$wK!w"</f>
        <v>#VALUE!</v>
      </c>
      <c r="CG1" t="e">
        <f>Sheet1!22:22-"$wK!x"</f>
        <v>#VALUE!</v>
      </c>
      <c r="CH1" t="e">
        <f>Sheet1!23:23-"$wK!y"</f>
        <v>#VALUE!</v>
      </c>
      <c r="CI1" t="e">
        <f>Sheet1!24:24-"$wK!z"</f>
        <v>#VALUE!</v>
      </c>
      <c r="CJ1" t="e">
        <f>Sheet1!25:25-"$wK!{"</f>
        <v>#VALUE!</v>
      </c>
      <c r="CK1" t="e">
        <f>Sheet1!26:26-"$wK!|"</f>
        <v>#VALUE!</v>
      </c>
      <c r="CL1" t="e">
        <f>Sheet1!27:27-"$wK!}"</f>
        <v>#VALUE!</v>
      </c>
      <c r="CM1" t="e">
        <f>Sheet1!28:28-"$wK!~"</f>
        <v>#VALUE!</v>
      </c>
      <c r="CN1" t="e">
        <f>Sheet1!29:29-"$wK!$#"</f>
        <v>#VALUE!</v>
      </c>
      <c r="CO1" t="e">
        <f>Sheet1!30:30-"$wK!$$"</f>
        <v>#VALUE!</v>
      </c>
      <c r="CP1" t="e">
        <f>Sheet1!31:31-"$wK!$%"</f>
        <v>#VALUE!</v>
      </c>
      <c r="CQ1" t="e">
        <f>Sheet1!32:32-"$wK!$&amp;"</f>
        <v>#VALUE!</v>
      </c>
      <c r="CR1" t="e">
        <f>Sheet1!33:33-"$wK!$'"</f>
        <v>#VALUE!</v>
      </c>
      <c r="CS1" t="e">
        <f>Sheet1!34:34-"$wK!$("</f>
        <v>#VALUE!</v>
      </c>
      <c r="CT1" t="e">
        <f>Sheet1!35:35-"$wK!$)"</f>
        <v>#VALUE!</v>
      </c>
      <c r="CU1" t="e">
        <f>Sheet1!36:36-"$wK!$."</f>
        <v>#VALUE!</v>
      </c>
      <c r="CV1" t="e">
        <f>Sheet1!37:37-"$wK!$/"</f>
        <v>#VALUE!</v>
      </c>
      <c r="CW1" t="e">
        <f>Sheet1!38:38-"$wK!$0"</f>
        <v>#VALUE!</v>
      </c>
      <c r="CX1" t="e">
        <f>Sheet1!39:39-"$wK!$1"</f>
        <v>#VALUE!</v>
      </c>
      <c r="CY1" t="e">
        <f>Sheet1!40:40-"$wK!$2"</f>
        <v>#VALUE!</v>
      </c>
      <c r="CZ1" t="e">
        <f>Sheet1!41:41-"$wK!$3"</f>
        <v>#VALUE!</v>
      </c>
      <c r="DA1" t="e">
        <f>Sheet1!42:42-"$wK!$4"</f>
        <v>#VALUE!</v>
      </c>
      <c r="DB1" t="e">
        <f>Sheet1!43:43-"$wK!$5"</f>
        <v>#VALUE!</v>
      </c>
      <c r="DC1" t="e">
        <f>Sheet1!44:44-"$wK!$6"</f>
        <v>#VALUE!</v>
      </c>
      <c r="DD1" t="e">
        <f>Sheet1!45:45-"$wK!$7"</f>
        <v>#VALUE!</v>
      </c>
      <c r="DE1" t="e">
        <f>Sheet1!46:46-"$wK!$8"</f>
        <v>#VALUE!</v>
      </c>
      <c r="DF1" t="e">
        <f>Sheet1!47:47-"$wK!$9"</f>
        <v>#VALUE!</v>
      </c>
      <c r="DG1" t="e">
        <f>Sheet1!48:48-"$wK!$:"</f>
        <v>#VALUE!</v>
      </c>
      <c r="DH1" t="e">
        <f>Sheet1!49:49-"$wK!$;"</f>
        <v>#VALUE!</v>
      </c>
      <c r="DI1" t="e">
        <f>Sheet1!50:50-"$wK!$&lt;"</f>
        <v>#VALUE!</v>
      </c>
      <c r="DJ1" t="e">
        <f>Sheet1!51:51-"$wK!$="</f>
        <v>#VALUE!</v>
      </c>
      <c r="DK1" t="e">
        <f>Sheet1!52:52-"$wK!$&gt;"</f>
        <v>#VALUE!</v>
      </c>
      <c r="DL1" t="e">
        <f>Sheet1!53:53-"$wK!$?"</f>
        <v>#VALUE!</v>
      </c>
      <c r="DM1" t="e">
        <f>Sheet1!54:54-"$wK!$@"</f>
        <v>#VALUE!</v>
      </c>
      <c r="DN1" t="e">
        <f>Sheet1!55:55-"$wK!$A"</f>
        <v>#VALUE!</v>
      </c>
      <c r="DO1" t="e">
        <f>Sheet1!56:56-"$wK!$B"</f>
        <v>#VALUE!</v>
      </c>
      <c r="DP1" t="e">
        <f>Sheet1!57:57-"$wK!$C"</f>
        <v>#VALUE!</v>
      </c>
      <c r="DQ1" t="e">
        <f>Sheet1!58:58-"$wK!$D"</f>
        <v>#VALUE!</v>
      </c>
      <c r="DR1" t="e">
        <f>Sheet1!59:59-"$wK!$E"</f>
        <v>#VALUE!</v>
      </c>
      <c r="DS1" t="e">
        <f>Sheet1!60:60-"$wK!$F"</f>
        <v>#VALUE!</v>
      </c>
      <c r="DT1" t="e">
        <f>Sheet1!61:61-"$wK!$G"</f>
        <v>#VALUE!</v>
      </c>
      <c r="DU1" t="e">
        <f>Sheet1!62:62-"$wK!$H"</f>
        <v>#VALUE!</v>
      </c>
      <c r="DV1" t="e">
        <f>Sheet1!63:63-"$wK!$I"</f>
        <v>#VALUE!</v>
      </c>
      <c r="DW1" t="e">
        <f>Sheet1!64:64-"$wK!$J"</f>
        <v>#VALUE!</v>
      </c>
      <c r="DX1" t="e">
        <f>Sheet1!65:65-"$wK!$K"</f>
        <v>#VALUE!</v>
      </c>
      <c r="DY1" t="e">
        <f>Sheet1!66:66-"$wK!$L"</f>
        <v>#VALUE!</v>
      </c>
      <c r="DZ1" t="e">
        <f>Sheet1!67:67-"$wK!$M"</f>
        <v>#VALUE!</v>
      </c>
      <c r="EA1" t="e">
        <f>Sheet1!68:68-"$wK!$N"</f>
        <v>#VALUE!</v>
      </c>
      <c r="EB1" t="e">
        <f>Sheet1!69:69-"$wK!$O"</f>
        <v>#VALUE!</v>
      </c>
      <c r="EC1" t="e">
        <f>Sheet1!70:70-"$wK!$P"</f>
        <v>#VALUE!</v>
      </c>
      <c r="ED1" t="e">
        <f>Sheet1!71:71-"$wK!$Q"</f>
        <v>#VALUE!</v>
      </c>
      <c r="EE1" t="e">
        <f>Sheet1!72:72-"$wK!$R"</f>
        <v>#VALUE!</v>
      </c>
      <c r="EF1" t="e">
        <f>Sheet1!73:73-"$wK!$S"</f>
        <v>#VALUE!</v>
      </c>
      <c r="EG1" t="e">
        <f>Sheet1!74:74-"$wK!$T"</f>
        <v>#VALUE!</v>
      </c>
      <c r="EH1" t="e">
        <f>Sheet1!75:75-"$wK!$U"</f>
        <v>#VALUE!</v>
      </c>
      <c r="EI1" t="e">
        <f>Sheet1!76:76-"$wK!$V"</f>
        <v>#VALUE!</v>
      </c>
      <c r="EJ1" t="e">
        <f>Sheet1!77:77-"$wK!$W"</f>
        <v>#VALUE!</v>
      </c>
      <c r="EK1" t="e">
        <f>Sheet1!78:78-"$wK!$X"</f>
        <v>#VALUE!</v>
      </c>
      <c r="EL1" t="e">
        <f>Sheet1!79:79-"$wK!$Y"</f>
        <v>#VALUE!</v>
      </c>
      <c r="EM1" t="e">
        <f>Sheet1!80:80-"$wK!$Z"</f>
        <v>#VALUE!</v>
      </c>
      <c r="EN1" t="e">
        <f>Sheet1!81:81-"$wK!$["</f>
        <v>#VALUE!</v>
      </c>
      <c r="EO1" t="e">
        <f>Sheet1!82:82-"$wK!$\"</f>
        <v>#VALUE!</v>
      </c>
      <c r="EP1" t="e">
        <f>Sheet1!83:83-"$wK!$]"</f>
        <v>#VALUE!</v>
      </c>
      <c r="EQ1" t="e">
        <f>Sheet1!84:84-"$wK!$^"</f>
        <v>#VALUE!</v>
      </c>
      <c r="ER1" t="e">
        <f>Sheet1!85:85-"$wK!$_"</f>
        <v>#VALUE!</v>
      </c>
      <c r="ES1" t="e">
        <f>Sheet1!86:86-"$wK!$`"</f>
        <v>#VALUE!</v>
      </c>
      <c r="ET1" t="e">
        <f>Sheet1!87:87-"$wK!$a"</f>
        <v>#VALUE!</v>
      </c>
      <c r="EU1" t="e">
        <f>Sheet1!88:88-"$wK!$b"</f>
        <v>#VALUE!</v>
      </c>
      <c r="EV1" t="e">
        <f>Sheet1!89:89-"$wK!$c"</f>
        <v>#VALUE!</v>
      </c>
      <c r="EW1" t="e">
        <f>Sheet1!90:90-"$wK!$d"</f>
        <v>#VALUE!</v>
      </c>
      <c r="EX1" t="e">
        <f>Sheet1!91:91-"$wK!$e"</f>
        <v>#VALUE!</v>
      </c>
      <c r="EY1" t="e">
        <f>Sheet1!92:92-"$wK!$f"</f>
        <v>#VALUE!</v>
      </c>
      <c r="EZ1" t="e">
        <f>Sheet1!93:93-"$wK!$g"</f>
        <v>#VALUE!</v>
      </c>
      <c r="FA1" t="e">
        <f>Sheet1!94:94-"$wK!$h"</f>
        <v>#VALUE!</v>
      </c>
      <c r="FB1" t="e">
        <f>Sheet1!95:95-"$wK!$i"</f>
        <v>#VALUE!</v>
      </c>
      <c r="FC1" t="e">
        <f>Sheet1!96:96-"$wK!$j"</f>
        <v>#VALUE!</v>
      </c>
      <c r="FD1" t="e">
        <f>Sheet1!97:97-"$wK!$k"</f>
        <v>#VALUE!</v>
      </c>
      <c r="FE1" t="e">
        <f>Sheet1!98:98-"$wK!$l"</f>
        <v>#VALUE!</v>
      </c>
      <c r="FF1" t="e">
        <f>Sheet1!99:99-"$wK!$m"</f>
        <v>#VALUE!</v>
      </c>
      <c r="FG1" t="e">
        <f>Sheet1!100:100-"$wK!$n"</f>
        <v>#VALUE!</v>
      </c>
      <c r="FH1" t="e">
        <f>Sheet1!101:101-"$wK!$o"</f>
        <v>#VALUE!</v>
      </c>
      <c r="FI1" t="e">
        <f>Sheet1!102:102-"$wK!$p"</f>
        <v>#VALUE!</v>
      </c>
      <c r="FJ1" t="e">
        <f>Sheet1!103:103-"$wK!$q"</f>
        <v>#VALUE!</v>
      </c>
      <c r="FK1" t="e">
        <f>Sheet1!104:104-"$wK!$r"</f>
        <v>#VALUE!</v>
      </c>
      <c r="FL1" t="e">
        <f>Sheet1!105:105-"$wK!$s"</f>
        <v>#VALUE!</v>
      </c>
      <c r="FM1" t="e">
        <f>Sheet1!106:106-"$wK!$t"</f>
        <v>#VALUE!</v>
      </c>
      <c r="FN1" t="e">
        <f>Sheet1!107:107-"$wK!$u"</f>
        <v>#VALUE!</v>
      </c>
      <c r="FO1" t="e">
        <f>Sheet1!108:108-"$wK!$v"</f>
        <v>#VALUE!</v>
      </c>
      <c r="FP1" t="e">
        <f>Sheet1!109:109-"$wK!$w"</f>
        <v>#VALUE!</v>
      </c>
      <c r="FQ1" t="e">
        <f>Sheet1!110:110-"$wK!$x"</f>
        <v>#VALUE!</v>
      </c>
      <c r="FR1" t="e">
        <f>Sheet1!111:111-"$wK!$y"</f>
        <v>#VALUE!</v>
      </c>
      <c r="FS1" t="e">
        <f>Sheet1!112:112-"$wK!$z"</f>
        <v>#VALUE!</v>
      </c>
      <c r="FT1" t="e">
        <f>Sheet1!113:113-"$wK!${"</f>
        <v>#VALUE!</v>
      </c>
      <c r="FU1" t="e">
        <f>Sheet1!114:114-"$wK!$|"</f>
        <v>#VALUE!</v>
      </c>
      <c r="FV1" t="e">
        <f>Sheet1!115:115-"$wK!$}"</f>
        <v>#VALUE!</v>
      </c>
      <c r="FW1" t="e">
        <f>Sheet1!116:116-"$wK!$~"</f>
        <v>#VALUE!</v>
      </c>
      <c r="FX1" t="e">
        <f>Sheet1!117:117-"$wK!%#"</f>
        <v>#VALUE!</v>
      </c>
      <c r="FY1" t="e">
        <f>Sheet1!118:118-"$wK!%$"</f>
        <v>#VALUE!</v>
      </c>
      <c r="FZ1" t="e">
        <f>Sheet1!119:119-"$wK!%%"</f>
        <v>#VALUE!</v>
      </c>
      <c r="GA1" t="e">
        <f>Sheet1!120:120-"$wK!%&amp;"</f>
        <v>#VALUE!</v>
      </c>
      <c r="GB1" t="e">
        <f>Sheet1!121:121-"$wK!%'"</f>
        <v>#VALUE!</v>
      </c>
      <c r="GC1" t="e">
        <f>Sheet1!122:122-"$wK!%("</f>
        <v>#VALUE!</v>
      </c>
      <c r="GD1" t="e">
        <f>Sheet1!123:123-"$wK!%)"</f>
        <v>#VALUE!</v>
      </c>
      <c r="GE1" t="e">
        <f>Sheet1!124:124-"$wK!%."</f>
        <v>#VALUE!</v>
      </c>
      <c r="GF1" t="e">
        <f>Sheet1!125:125-"$wK!%/"</f>
        <v>#VALUE!</v>
      </c>
      <c r="GG1" t="e">
        <f>Sheet1!126:126-"$wK!%0"</f>
        <v>#VALUE!</v>
      </c>
      <c r="GH1" t="e">
        <f>Sheet1!127:127-"$wK!%1"</f>
        <v>#VALUE!</v>
      </c>
      <c r="GI1" t="e">
        <f>Sheet1!128:128-"$wK!%2"</f>
        <v>#VALUE!</v>
      </c>
      <c r="GJ1" t="e">
        <f>Sheet1!129:129-"$wK!%3"</f>
        <v>#VALUE!</v>
      </c>
      <c r="GK1" t="e">
        <f>Sheet1!130:130-"$wK!%4"</f>
        <v>#VALUE!</v>
      </c>
      <c r="GL1" t="e">
        <f>Sheet1!131:131-"$wK!%5"</f>
        <v>#VALUE!</v>
      </c>
      <c r="GM1" t="e">
        <f>Sheet1!132:132-"$wK!%6"</f>
        <v>#VALUE!</v>
      </c>
      <c r="GN1" t="e">
        <f>Sheet1!133:133-"$wK!%7"</f>
        <v>#VALUE!</v>
      </c>
      <c r="GO1" t="e">
        <f>Sheet1!134:134-"$wK!%8"</f>
        <v>#VALUE!</v>
      </c>
      <c r="GP1" t="e">
        <f>Sheet1!135:135-"$wK!%9"</f>
        <v>#VALUE!</v>
      </c>
      <c r="GQ1" t="e">
        <f>Sheet1!136:136-"$wK!%:"</f>
        <v>#VALUE!</v>
      </c>
      <c r="GR1" t="e">
        <f>Sheet1!137:137-"$wK!%;"</f>
        <v>#VALUE!</v>
      </c>
      <c r="GS1" t="e">
        <f>Sheet1!138:138-"$wK!%&lt;"</f>
        <v>#VALUE!</v>
      </c>
      <c r="GT1" t="e">
        <f>Sheet1!139:139-"$wK!%="</f>
        <v>#VALUE!</v>
      </c>
      <c r="GU1" t="e">
        <f>Sheet1!140:140-"$wK!%&gt;"</f>
        <v>#VALUE!</v>
      </c>
      <c r="GV1" t="e">
        <f>Sheet1!141:141-"$wK!%?"</f>
        <v>#VALUE!</v>
      </c>
      <c r="GW1" t="e">
        <f>Sheet1!142:142-"$wK!%@"</f>
        <v>#VALUE!</v>
      </c>
      <c r="GX1" t="e">
        <f>Sheet1!143:143-"$wK!%A"</f>
        <v>#VALUE!</v>
      </c>
      <c r="GY1" t="e">
        <f>Sheet1!144:144-"$wK!%B"</f>
        <v>#VALUE!</v>
      </c>
      <c r="GZ1" t="e">
        <f>Sheet1!145:145-"$wK!%C"</f>
        <v>#VALUE!</v>
      </c>
      <c r="HA1" t="e">
        <f>Sheet1!146:146-"$wK!%D"</f>
        <v>#VALUE!</v>
      </c>
      <c r="HB1" t="e">
        <f>Sheet1!147:147-"$wK!%E"</f>
        <v>#VALUE!</v>
      </c>
      <c r="HC1" t="e">
        <f>Sheet1!148:148-"$wK!%F"</f>
        <v>#VALUE!</v>
      </c>
      <c r="HD1" t="e">
        <f>Sheet1!149:149-"$wK!%G"</f>
        <v>#VALUE!</v>
      </c>
      <c r="HE1" t="e">
        <f>Sheet1!150:150-"$wK!%H"</f>
        <v>#VALUE!</v>
      </c>
      <c r="HF1" t="e">
        <f>Sheet1!151:151-"$wK!%I"</f>
        <v>#VALUE!</v>
      </c>
      <c r="HG1" t="e">
        <f>Sheet1!152:152-"$wK!%J"</f>
        <v>#VALUE!</v>
      </c>
      <c r="HH1" t="e">
        <f>Sheet1!153:153-"$wK!%K"</f>
        <v>#VALUE!</v>
      </c>
      <c r="HI1" t="e">
        <f>Sheet1!154:154-"$wK!%L"</f>
        <v>#VALUE!</v>
      </c>
      <c r="HJ1" t="e">
        <f>Sheet1!155:155-"$wK!%M"</f>
        <v>#VALUE!</v>
      </c>
      <c r="HK1" t="e">
        <f>Sheet1!156:156-"$wK!%N"</f>
        <v>#VALUE!</v>
      </c>
      <c r="HL1" t="e">
        <f>Sheet1!157:157-"$wK!%O"</f>
        <v>#VALUE!</v>
      </c>
      <c r="HM1" t="e">
        <f>Sheet1!158:158-"$wK!%P"</f>
        <v>#VALUE!</v>
      </c>
      <c r="HN1" t="e">
        <f>Sheet1!159:159-"$wK!%Q"</f>
        <v>#VALUE!</v>
      </c>
      <c r="HO1" t="e">
        <f>Sheet1!160:160-"$wK!%R"</f>
        <v>#VALUE!</v>
      </c>
      <c r="HP1" t="e">
        <f>Sheet1!161:161-"$wK!%S"</f>
        <v>#VALUE!</v>
      </c>
      <c r="HQ1" t="e">
        <f>Sheet1!162:162-"$wK!%T"</f>
        <v>#VALUE!</v>
      </c>
      <c r="HR1" t="e">
        <f>Sheet1!163:163-"$wK!%U"</f>
        <v>#VALUE!</v>
      </c>
      <c r="HS1" t="e">
        <f>Sheet1!164:164-"$wK!%V"</f>
        <v>#VALUE!</v>
      </c>
      <c r="HT1" t="e">
        <f>Sheet1!165:165-"$wK!%W"</f>
        <v>#VALUE!</v>
      </c>
      <c r="HU1" t="e">
        <f>Sheet1!166:166-"$wK!%X"</f>
        <v>#VALUE!</v>
      </c>
      <c r="HV1" t="e">
        <f>Sheet1!167:167-"$wK!%Y"</f>
        <v>#VALUE!</v>
      </c>
      <c r="HW1" t="e">
        <f>Sheet1!168:168-"$wK!%Z"</f>
        <v>#VALUE!</v>
      </c>
      <c r="HX1" t="e">
        <f>Sheet1!169:169-"$wK!%["</f>
        <v>#VALUE!</v>
      </c>
      <c r="HY1" t="e">
        <f>Sheet1!170:170-"$wK!%\"</f>
        <v>#VALUE!</v>
      </c>
      <c r="HZ1" t="e">
        <f>Sheet1!171:171-"$wK!%]"</f>
        <v>#VALUE!</v>
      </c>
      <c r="IA1" t="e">
        <f>Sheet1!172:172-"$wK!%^"</f>
        <v>#VALUE!</v>
      </c>
      <c r="IB1" t="e">
        <f>Sheet1!173:173-"$wK!%_"</f>
        <v>#VALUE!</v>
      </c>
      <c r="IC1" t="e">
        <f>Sheet1!174:174-"$wK!%`"</f>
        <v>#VALUE!</v>
      </c>
      <c r="ID1" t="e">
        <f>Sheet1!175:175-"$wK!%a"</f>
        <v>#VALUE!</v>
      </c>
      <c r="IE1" t="e">
        <f>Sheet1!176:176-"$wK!%b"</f>
        <v>#VALUE!</v>
      </c>
      <c r="IF1" t="e">
        <f>Sheet1!177:177-"$wK!%c"</f>
        <v>#VALUE!</v>
      </c>
      <c r="IG1" t="e">
        <f>Sheet1!178:178-"$wK!%d"</f>
        <v>#VALUE!</v>
      </c>
      <c r="IH1" t="e">
        <f>Sheet1!179:179-"$wK!%e"</f>
        <v>#VALUE!</v>
      </c>
      <c r="II1" t="e">
        <f>Sheet1!180:180-"$wK!%f"</f>
        <v>#VALUE!</v>
      </c>
      <c r="IJ1" t="e">
        <f>Sheet1!181:181-"$wK!%g"</f>
        <v>#VALUE!</v>
      </c>
      <c r="IK1" t="e">
        <f>Sheet1!182:182-"$wK!%h"</f>
        <v>#VALUE!</v>
      </c>
      <c r="IL1" t="e">
        <f>Sheet1!183:183-"$wK!%i"</f>
        <v>#VALUE!</v>
      </c>
      <c r="IM1" t="e">
        <f>Sheet1!184:184-"$wK!%j"</f>
        <v>#VALUE!</v>
      </c>
      <c r="IN1" t="e">
        <f>Sheet1!185:185-"$wK!%k"</f>
        <v>#VALUE!</v>
      </c>
      <c r="IO1" t="e">
        <f>Sheet1!186:186-"$wK!%l"</f>
        <v>#VALUE!</v>
      </c>
      <c r="IP1" t="e">
        <f>Sheet1!187:187-"$wK!%m"</f>
        <v>#VALUE!</v>
      </c>
      <c r="IQ1" t="e">
        <f>Sheet1!188:188-"$wK!%n"</f>
        <v>#VALUE!</v>
      </c>
      <c r="IR1" t="e">
        <f>Sheet1!189:189-"$wK!%o"</f>
        <v>#VALUE!</v>
      </c>
      <c r="IS1" t="e">
        <f>Sheet1!190:190-"$wK!%p"</f>
        <v>#VALUE!</v>
      </c>
      <c r="IT1" t="e">
        <f>Sheet1!191:191-"$wK!%q"</f>
        <v>#VALUE!</v>
      </c>
      <c r="IU1" t="e">
        <f>Sheet1!192:192-"$wK!%r"</f>
        <v>#VALUE!</v>
      </c>
      <c r="IV1" t="e">
        <f>Sheet1!193:193-"$wK!%s"</f>
        <v>#VALUE!</v>
      </c>
    </row>
    <row r="2" spans="1:256" x14ac:dyDescent="0.25">
      <c r="A2" t="s">
        <v>103</v>
      </c>
      <c r="F2" t="e">
        <f>Sheet1!194:194-"$wK!%t"</f>
        <v>#VALUE!</v>
      </c>
      <c r="G2" t="e">
        <f>Sheet1!195:195-"$wK!%u"</f>
        <v>#VALUE!</v>
      </c>
      <c r="H2" t="e">
        <f>Sheet1!196:196-"$wK!%v"</f>
        <v>#VALUE!</v>
      </c>
      <c r="I2" t="e">
        <f>Sheet1!197:197-"$wK!%w"</f>
        <v>#VALUE!</v>
      </c>
      <c r="J2" t="e">
        <f>Sheet1!198:198-"$wK!%x"</f>
        <v>#VALUE!</v>
      </c>
      <c r="K2" t="e">
        <f>Sheet1!199:199-"$wK!%y"</f>
        <v>#VALUE!</v>
      </c>
      <c r="L2" t="e">
        <f>Sheet1!200:200-"$wK!%z"</f>
        <v>#VALUE!</v>
      </c>
      <c r="M2" t="e">
        <f>Sheet1!201:201-"$wK!%{"</f>
        <v>#VALUE!</v>
      </c>
      <c r="N2" t="e">
        <f>Sheet1!202:202-"$wK!%|"</f>
        <v>#VALUE!</v>
      </c>
      <c r="O2" t="e">
        <f>Sheet1!203:203-"$wK!%}"</f>
        <v>#VALUE!</v>
      </c>
      <c r="P2" t="e">
        <f>Sheet1!204:204-"$wK!%~"</f>
        <v>#VALUE!</v>
      </c>
      <c r="Q2" t="e">
        <f>Sheet1!205:205-"$wK!&amp;#"</f>
        <v>#VALUE!</v>
      </c>
      <c r="R2" t="e">
        <f>Sheet1!206:206-"$wK!&amp;$"</f>
        <v>#VALUE!</v>
      </c>
      <c r="S2" t="e">
        <f>Sheet1!207:207-"$wK!&amp;%"</f>
        <v>#VALUE!</v>
      </c>
      <c r="T2" t="e">
        <f>Sheet1!208:208-"$wK!&amp;&amp;"</f>
        <v>#VALUE!</v>
      </c>
      <c r="U2" t="e">
        <f>Sheet1!209:209-"$wK!&amp;'"</f>
        <v>#VALUE!</v>
      </c>
      <c r="V2" t="e">
        <f>Sheet1!210:210-"$wK!&amp;("</f>
        <v>#VALUE!</v>
      </c>
      <c r="W2" t="e">
        <f>Sheet1!211:211-"$wK!&amp;)"</f>
        <v>#VALUE!</v>
      </c>
      <c r="X2" t="e">
        <f>Sheet1!212:212-"$wK!&amp;."</f>
        <v>#VALUE!</v>
      </c>
      <c r="Y2" t="e">
        <f>Sheet1!213:213-"$wK!&amp;/"</f>
        <v>#VALUE!</v>
      </c>
      <c r="Z2" t="e">
        <f>Sheet1!214:214-"$wK!&amp;0"</f>
        <v>#VALUE!</v>
      </c>
      <c r="AA2" t="e">
        <f>Sheet1!215:215-"$wK!&amp;1"</f>
        <v>#VALUE!</v>
      </c>
      <c r="AB2" t="e">
        <f>Sheet1!216:216-"$wK!&amp;2"</f>
        <v>#VALUE!</v>
      </c>
      <c r="AC2" t="e">
        <f>Sheet1!217:217-"$wK!&amp;3"</f>
        <v>#VALUE!</v>
      </c>
      <c r="AD2" t="e">
        <f>Sheet1!218:218-"$wK!&amp;4"</f>
        <v>#VALUE!</v>
      </c>
      <c r="AE2" t="e">
        <f>Sheet1!219:219-"$wK!&amp;5"</f>
        <v>#VALUE!</v>
      </c>
      <c r="AF2" t="e">
        <f>Sheet1!220:220-"$wK!&amp;6"</f>
        <v>#VALUE!</v>
      </c>
      <c r="AG2" t="e">
        <f>Sheet1!221:221-"$wK!&amp;7"</f>
        <v>#VALUE!</v>
      </c>
      <c r="AH2" t="e">
        <f>Sheet1!222:222-"$wK!&amp;8"</f>
        <v>#VALUE!</v>
      </c>
      <c r="AI2" t="e">
        <f>Sheet1!223:223-"$wK!&amp;9"</f>
        <v>#VALUE!</v>
      </c>
      <c r="AJ2" t="e">
        <f>Sheet1!224:224-"$wK!&amp;:"</f>
        <v>#VALUE!</v>
      </c>
      <c r="AK2" t="e">
        <f>Sheet1!225:225-"$wK!&amp;;"</f>
        <v>#VALUE!</v>
      </c>
      <c r="AL2" t="e">
        <f>Sheet1!226:226-"$wK!&amp;&lt;"</f>
        <v>#VALUE!</v>
      </c>
      <c r="AM2" t="e">
        <f>Sheet1!227:227-"$wK!&amp;="</f>
        <v>#VALUE!</v>
      </c>
      <c r="AN2" t="e">
        <f>Sheet1!228:228-"$wK!&amp;&gt;"</f>
        <v>#VALUE!</v>
      </c>
      <c r="AO2" t="e">
        <f>Sheet1!229:229-"$wK!&amp;?"</f>
        <v>#VALUE!</v>
      </c>
      <c r="AP2" t="e">
        <f>Sheet1!230:230-"$wK!&amp;@"</f>
        <v>#VALUE!</v>
      </c>
      <c r="AQ2" t="e">
        <f>Sheet1!231:231-"$wK!&amp;A"</f>
        <v>#VALUE!</v>
      </c>
      <c r="AR2" t="e">
        <f>Sheet1!232:232-"$wK!&amp;B"</f>
        <v>#VALUE!</v>
      </c>
      <c r="AS2" t="e">
        <f>Sheet1!233:233-"$wK!&amp;C"</f>
        <v>#VALUE!</v>
      </c>
      <c r="AT2" t="e">
        <f>Sheet1!234:234-"$wK!&amp;D"</f>
        <v>#VALUE!</v>
      </c>
      <c r="AU2" t="e">
        <f>Sheet1!235:235-"$wK!&amp;E"</f>
        <v>#VALUE!</v>
      </c>
      <c r="AV2" t="e">
        <f>Sheet1!236:236-"$wK!&amp;F"</f>
        <v>#VALUE!</v>
      </c>
      <c r="AW2" t="e">
        <f>Sheet1!237:237-"$wK!&amp;G"</f>
        <v>#VALUE!</v>
      </c>
      <c r="AX2" t="e">
        <f>Sheet1!238:238-"$wK!&amp;H"</f>
        <v>#VALUE!</v>
      </c>
      <c r="AY2" t="e">
        <f>Sheet1!239:239-"$wK!&amp;I"</f>
        <v>#VALUE!</v>
      </c>
      <c r="AZ2" t="e">
        <f>Sheet1!240:240-"$wK!&amp;J"</f>
        <v>#VALUE!</v>
      </c>
      <c r="BA2" t="e">
        <f>Sheet1!B1+"$wK!&amp;K"</f>
        <v>#VALUE!</v>
      </c>
      <c r="BB2" t="e">
        <f>Sheet1!A1+"$wK!&amp;L"</f>
        <v>#VALUE!</v>
      </c>
      <c r="BC2" t="e">
        <f>Sheet1!C1+"$wK!&amp;M"</f>
        <v>#VALUE!</v>
      </c>
      <c r="BD2" t="e">
        <f>Sheet1!D1+"$wK!&amp;N"</f>
        <v>#VALUE!</v>
      </c>
      <c r="BE2" t="e">
        <f>Sheet1!E1+"$wK!&amp;O"</f>
        <v>#VALUE!</v>
      </c>
      <c r="BF2" t="e">
        <f>Sheet1!F1+"$wK!&amp;P"</f>
        <v>#VALUE!</v>
      </c>
      <c r="BG2" t="e">
        <f>Sheet1!G1+"$wK!&amp;Q"</f>
        <v>#VALUE!</v>
      </c>
      <c r="BH2" t="e">
        <f>Sheet1!H1+"$wK!&amp;R"</f>
        <v>#VALUE!</v>
      </c>
      <c r="BI2" t="e">
        <f>Sheet1!B2+"$wK!&amp;S"</f>
        <v>#VALUE!</v>
      </c>
      <c r="BJ2" t="e">
        <f>Sheet1!A2+"$wK!&amp;T"</f>
        <v>#VALUE!</v>
      </c>
      <c r="BK2" t="e">
        <f>Sheet1!C2+"$wK!&amp;U"</f>
        <v>#VALUE!</v>
      </c>
      <c r="BL2" t="e">
        <f>Sheet1!D2+"$wK!&amp;V"</f>
        <v>#VALUE!</v>
      </c>
      <c r="BM2" t="e">
        <f>Sheet1!E2+"$wK!&amp;W"</f>
        <v>#VALUE!</v>
      </c>
      <c r="BN2" t="e">
        <f>Sheet1!F2+"$wK!&amp;X"</f>
        <v>#VALUE!</v>
      </c>
      <c r="BO2" t="e">
        <f>Sheet1!G2+"$wK!&amp;Y"</f>
        <v>#VALUE!</v>
      </c>
      <c r="BP2" t="e">
        <f>Sheet1!H2+"$wK!&amp;Z"</f>
        <v>#VALUE!</v>
      </c>
      <c r="BQ2" t="e">
        <f>Sheet1!B3+"$wK!&amp;["</f>
        <v>#VALUE!</v>
      </c>
      <c r="BR2" t="e">
        <f>Sheet1!A3+"$wK!&amp;\"</f>
        <v>#VALUE!</v>
      </c>
      <c r="BS2" t="e">
        <f>Sheet1!C3+"$wK!&amp;]"</f>
        <v>#VALUE!</v>
      </c>
      <c r="BT2" t="e">
        <f>Sheet1!D3+"$wK!&amp;^"</f>
        <v>#VALUE!</v>
      </c>
      <c r="BU2" t="e">
        <f>Sheet1!E3+"$wK!&amp;_"</f>
        <v>#VALUE!</v>
      </c>
      <c r="BV2" t="e">
        <f>Sheet1!F3+"$wK!&amp;`"</f>
        <v>#VALUE!</v>
      </c>
      <c r="BW2" t="e">
        <f>Sheet1!G3+"$wK!&amp;a"</f>
        <v>#VALUE!</v>
      </c>
      <c r="BX2" t="e">
        <f>Sheet1!H3+"$wK!&amp;b"</f>
        <v>#VALUE!</v>
      </c>
      <c r="BY2" t="e">
        <f>Sheet1!B4+"$wK!&amp;c"</f>
        <v>#VALUE!</v>
      </c>
      <c r="BZ2" t="e">
        <f>Sheet1!A4+"$wK!&amp;d"</f>
        <v>#VALUE!</v>
      </c>
      <c r="CA2" t="e">
        <f>Sheet1!C4+"$wK!&amp;e"</f>
        <v>#VALUE!</v>
      </c>
      <c r="CB2" t="e">
        <f>Sheet1!D4+"$wK!&amp;f"</f>
        <v>#VALUE!</v>
      </c>
      <c r="CC2" t="e">
        <f>Sheet1!E4+"$wK!&amp;g"</f>
        <v>#VALUE!</v>
      </c>
      <c r="CD2" t="e">
        <f>Sheet1!F4+"$wK!&amp;h"</f>
        <v>#VALUE!</v>
      </c>
      <c r="CE2" t="e">
        <f>Sheet1!G4+"$wK!&amp;i"</f>
        <v>#VALUE!</v>
      </c>
      <c r="CF2" t="e">
        <f>Sheet1!H4+"$wK!&amp;j"</f>
        <v>#VALUE!</v>
      </c>
      <c r="CG2" t="e">
        <f>Sheet1!B5+"$wK!&amp;k"</f>
        <v>#VALUE!</v>
      </c>
      <c r="CH2" t="e">
        <f>Sheet1!A5+"$wK!&amp;l"</f>
        <v>#VALUE!</v>
      </c>
      <c r="CI2" t="e">
        <f>Sheet1!C5+"$wK!&amp;m"</f>
        <v>#VALUE!</v>
      </c>
      <c r="CJ2" t="e">
        <f>Sheet1!D5+"$wK!&amp;n"</f>
        <v>#VALUE!</v>
      </c>
      <c r="CK2" t="e">
        <f>Sheet1!E5+"$wK!&amp;o"</f>
        <v>#VALUE!</v>
      </c>
      <c r="CL2" t="e">
        <f>Sheet1!F5+"$wK!&amp;p"</f>
        <v>#VALUE!</v>
      </c>
      <c r="CM2" t="e">
        <f>Sheet1!G5+"$wK!&amp;q"</f>
        <v>#VALUE!</v>
      </c>
      <c r="CN2" t="e">
        <f>Sheet1!H5+"$wK!&amp;r"</f>
        <v>#VALUE!</v>
      </c>
      <c r="CO2" t="e">
        <f>Sheet1!B6+"$wK!&amp;s"</f>
        <v>#VALUE!</v>
      </c>
      <c r="CP2" t="e">
        <f>Sheet1!A6+"$wK!&amp;t"</f>
        <v>#VALUE!</v>
      </c>
      <c r="CQ2" t="e">
        <f>Sheet1!C6+"$wK!&amp;u"</f>
        <v>#VALUE!</v>
      </c>
      <c r="CR2" t="e">
        <f>Sheet1!D6+"$wK!&amp;v"</f>
        <v>#VALUE!</v>
      </c>
      <c r="CS2" t="e">
        <f>Sheet1!E6+"$wK!&amp;w"</f>
        <v>#VALUE!</v>
      </c>
      <c r="CT2" t="e">
        <f>Sheet1!F6+"$wK!&amp;x"</f>
        <v>#VALUE!</v>
      </c>
      <c r="CU2" t="e">
        <f>Sheet1!G6+"$wK!&amp;y"</f>
        <v>#VALUE!</v>
      </c>
      <c r="CV2" t="e">
        <f>Sheet1!H6+"$wK!&amp;z"</f>
        <v>#VALUE!</v>
      </c>
      <c r="CW2" t="e">
        <f>Sheet1!B7+"$wK!&amp;{"</f>
        <v>#VALUE!</v>
      </c>
      <c r="CX2" t="e">
        <f>Sheet1!A7+"$wK!&amp;|"</f>
        <v>#VALUE!</v>
      </c>
      <c r="CY2" t="e">
        <f>Sheet1!C7+"$wK!&amp;}"</f>
        <v>#VALUE!</v>
      </c>
      <c r="CZ2" t="e">
        <f>Sheet1!D7+"$wK!&amp;~"</f>
        <v>#VALUE!</v>
      </c>
      <c r="DA2" t="e">
        <f>Sheet1!E7+"$wK!'#"</f>
        <v>#VALUE!</v>
      </c>
      <c r="DB2" t="e">
        <f>Sheet1!F7+"$wK!'$"</f>
        <v>#VALUE!</v>
      </c>
      <c r="DC2" t="e">
        <f>Sheet1!G7+"$wK!'%"</f>
        <v>#VALUE!</v>
      </c>
      <c r="DD2" t="e">
        <f>Sheet1!H7+"$wK!'&amp;"</f>
        <v>#VALUE!</v>
      </c>
      <c r="DE2" t="e">
        <f>Sheet1!B8+"$wK!''"</f>
        <v>#VALUE!</v>
      </c>
      <c r="DF2" t="e">
        <f>Sheet1!A8+"$wK!'("</f>
        <v>#VALUE!</v>
      </c>
      <c r="DG2" t="e">
        <f>Sheet1!C8+"$wK!')"</f>
        <v>#VALUE!</v>
      </c>
      <c r="DH2" t="e">
        <f>Sheet1!D8+"$wK!'."</f>
        <v>#VALUE!</v>
      </c>
      <c r="DI2" t="e">
        <f>Sheet1!E8+"$wK!'/"</f>
        <v>#VALUE!</v>
      </c>
      <c r="DJ2" t="e">
        <f>Sheet1!F8+"$wK!'0"</f>
        <v>#VALUE!</v>
      </c>
      <c r="DK2" t="e">
        <f>Sheet1!G8+"$wK!'1"</f>
        <v>#VALUE!</v>
      </c>
      <c r="DL2" t="e">
        <f>Sheet1!H8+"$wK!'2"</f>
        <v>#VALUE!</v>
      </c>
      <c r="DM2" t="e">
        <f>Sheet1!B9+"$wK!'3"</f>
        <v>#VALUE!</v>
      </c>
      <c r="DN2" t="e">
        <f>Sheet1!A9+"$wK!'4"</f>
        <v>#VALUE!</v>
      </c>
      <c r="DO2" t="e">
        <f>Sheet1!C9+"$wK!'5"</f>
        <v>#VALUE!</v>
      </c>
      <c r="DP2" t="e">
        <f>Sheet1!D9+"$wK!'6"</f>
        <v>#VALUE!</v>
      </c>
      <c r="DQ2" t="e">
        <f>Sheet1!E9+"$wK!'7"</f>
        <v>#VALUE!</v>
      </c>
      <c r="DR2" t="e">
        <f>Sheet1!F9+"$wK!'8"</f>
        <v>#VALUE!</v>
      </c>
      <c r="DS2" t="e">
        <f>Sheet1!G9+"$wK!'9"</f>
        <v>#VALUE!</v>
      </c>
      <c r="DT2" t="e">
        <f>Sheet1!H9+"$wK!':"</f>
        <v>#VALUE!</v>
      </c>
      <c r="DU2" t="e">
        <f>Sheet1!B10+"$wK!';"</f>
        <v>#VALUE!</v>
      </c>
      <c r="DV2" t="e">
        <f>Sheet1!A10+"$wK!'&lt;"</f>
        <v>#VALUE!</v>
      </c>
      <c r="DW2" t="e">
        <f>Sheet1!C10+"$wK!'="</f>
        <v>#VALUE!</v>
      </c>
      <c r="DX2" t="e">
        <f>Sheet1!D10+"$wK!'&gt;"</f>
        <v>#VALUE!</v>
      </c>
      <c r="DY2" t="e">
        <f>Sheet1!E10+"$wK!'?"</f>
        <v>#VALUE!</v>
      </c>
      <c r="DZ2" t="e">
        <f>Sheet1!F10+"$wK!'@"</f>
        <v>#VALUE!</v>
      </c>
      <c r="EA2" t="e">
        <f>Sheet1!G10+"$wK!'A"</f>
        <v>#VALUE!</v>
      </c>
      <c r="EB2" t="e">
        <f>Sheet1!H10+"$wK!'B"</f>
        <v>#VALUE!</v>
      </c>
      <c r="EC2" t="e">
        <f>Sheet1!B11+"$wK!'C"</f>
        <v>#VALUE!</v>
      </c>
      <c r="ED2" t="e">
        <f>Sheet1!A11+"$wK!'D"</f>
        <v>#VALUE!</v>
      </c>
      <c r="EE2" t="e">
        <f>Sheet1!C11+"$wK!'E"</f>
        <v>#VALUE!</v>
      </c>
      <c r="EF2" t="e">
        <f>Sheet1!D11+"$wK!'F"</f>
        <v>#VALUE!</v>
      </c>
      <c r="EG2" t="e">
        <f>Sheet1!E11+"$wK!'G"</f>
        <v>#VALUE!</v>
      </c>
      <c r="EH2" t="e">
        <f>Sheet1!F11+"$wK!'H"</f>
        <v>#VALUE!</v>
      </c>
      <c r="EI2" t="e">
        <f>Sheet1!G11+"$wK!'I"</f>
        <v>#VALUE!</v>
      </c>
      <c r="EJ2" t="e">
        <f>Sheet1!H11+"$wK!'J"</f>
        <v>#VALUE!</v>
      </c>
      <c r="EK2" t="e">
        <f>Sheet1!B12+"$wK!'K"</f>
        <v>#VALUE!</v>
      </c>
      <c r="EL2" t="e">
        <f>Sheet1!A12+"$wK!'L"</f>
        <v>#VALUE!</v>
      </c>
      <c r="EM2" t="e">
        <f>Sheet1!C12+"$wK!'M"</f>
        <v>#VALUE!</v>
      </c>
      <c r="EN2" t="e">
        <f>Sheet1!D12+"$wK!'N"</f>
        <v>#VALUE!</v>
      </c>
      <c r="EO2" t="e">
        <f>Sheet1!E12+"$wK!'O"</f>
        <v>#VALUE!</v>
      </c>
      <c r="EP2" t="e">
        <f>Sheet1!F12+"$wK!'P"</f>
        <v>#VALUE!</v>
      </c>
      <c r="EQ2" t="e">
        <f>Sheet1!G12+"$wK!'Q"</f>
        <v>#VALUE!</v>
      </c>
      <c r="ER2" t="e">
        <f>Sheet1!H12+"$wK!'R"</f>
        <v>#VALUE!</v>
      </c>
      <c r="ES2" t="e">
        <f>Sheet1!B13+"$wK!'S"</f>
        <v>#VALUE!</v>
      </c>
      <c r="ET2" t="e">
        <f>Sheet1!A13+"$wK!'T"</f>
        <v>#VALUE!</v>
      </c>
      <c r="EU2" t="e">
        <f>Sheet1!C13+"$wK!'U"</f>
        <v>#VALUE!</v>
      </c>
      <c r="EV2" t="e">
        <f>Sheet1!D13+"$wK!'V"</f>
        <v>#VALUE!</v>
      </c>
      <c r="EW2" t="e">
        <f>Sheet1!E13+"$wK!'W"</f>
        <v>#VALUE!</v>
      </c>
      <c r="EX2" t="e">
        <f>Sheet1!F13+"$wK!'X"</f>
        <v>#VALUE!</v>
      </c>
      <c r="EY2" t="e">
        <f>Sheet1!G13+"$wK!'Y"</f>
        <v>#VALUE!</v>
      </c>
      <c r="EZ2" t="e">
        <f>Sheet1!H13+"$wK!'Z"</f>
        <v>#VALUE!</v>
      </c>
      <c r="FA2" t="e">
        <f>Sheet1!B14+"$wK!'["</f>
        <v>#VALUE!</v>
      </c>
      <c r="FB2" t="e">
        <f>Sheet1!A14+"$wK!'\"</f>
        <v>#VALUE!</v>
      </c>
      <c r="FC2" t="e">
        <f>Sheet1!C14+"$wK!']"</f>
        <v>#VALUE!</v>
      </c>
      <c r="FD2" t="e">
        <f>Sheet1!D14+"$wK!'^"</f>
        <v>#VALUE!</v>
      </c>
      <c r="FE2" t="e">
        <f>Sheet1!E14+"$wK!'_"</f>
        <v>#VALUE!</v>
      </c>
      <c r="FF2" t="e">
        <f>Sheet1!F14+"$wK!'`"</f>
        <v>#VALUE!</v>
      </c>
      <c r="FG2" t="e">
        <f>Sheet1!G14+"$wK!'a"</f>
        <v>#VALUE!</v>
      </c>
      <c r="FH2" t="e">
        <f>Sheet1!H14+"$wK!'b"</f>
        <v>#VALUE!</v>
      </c>
      <c r="FI2" t="e">
        <f>Sheet1!B15+"$wK!'c"</f>
        <v>#VALUE!</v>
      </c>
      <c r="FJ2" t="e">
        <f>Sheet1!A15+"$wK!'d"</f>
        <v>#VALUE!</v>
      </c>
      <c r="FK2" t="e">
        <f>Sheet1!C15+"$wK!'e"</f>
        <v>#VALUE!</v>
      </c>
      <c r="FL2" t="e">
        <f>Sheet1!D15+"$wK!'f"</f>
        <v>#VALUE!</v>
      </c>
      <c r="FM2" t="e">
        <f>Sheet1!E15+"$wK!'g"</f>
        <v>#VALUE!</v>
      </c>
      <c r="FN2" t="e">
        <f>Sheet1!F15+"$wK!'h"</f>
        <v>#VALUE!</v>
      </c>
      <c r="FO2" t="e">
        <f>Sheet1!G15+"$wK!'i"</f>
        <v>#VALUE!</v>
      </c>
      <c r="FP2" t="e">
        <f>Sheet1!H15+"$wK!'j"</f>
        <v>#VALUE!</v>
      </c>
      <c r="FQ2" t="e">
        <f>Sheet1!B16+"$wK!'k"</f>
        <v>#VALUE!</v>
      </c>
      <c r="FR2" t="e">
        <f>Sheet1!A16+"$wK!'l"</f>
        <v>#VALUE!</v>
      </c>
      <c r="FS2" t="e">
        <f>Sheet1!C16+"$wK!'m"</f>
        <v>#VALUE!</v>
      </c>
      <c r="FT2" t="e">
        <f>Sheet1!D16+"$wK!'n"</f>
        <v>#VALUE!</v>
      </c>
      <c r="FU2" t="e">
        <f>Sheet1!E16+"$wK!'o"</f>
        <v>#VALUE!</v>
      </c>
      <c r="FV2" t="e">
        <f>Sheet1!F16+"$wK!'p"</f>
        <v>#VALUE!</v>
      </c>
      <c r="FW2" t="e">
        <f>Sheet1!G16+"$wK!'q"</f>
        <v>#VALUE!</v>
      </c>
      <c r="FX2" t="e">
        <f>Sheet1!H16+"$wK!'r"</f>
        <v>#VALUE!</v>
      </c>
      <c r="FY2" t="e">
        <f>Sheet1!B17+"$wK!'s"</f>
        <v>#VALUE!</v>
      </c>
      <c r="FZ2" t="e">
        <f>Sheet1!A17+"$wK!'t"</f>
        <v>#VALUE!</v>
      </c>
      <c r="GA2" t="e">
        <f>Sheet1!C17+"$wK!'u"</f>
        <v>#VALUE!</v>
      </c>
      <c r="GB2" t="e">
        <f>Sheet1!D17+"$wK!'v"</f>
        <v>#VALUE!</v>
      </c>
      <c r="GC2" t="e">
        <f>Sheet1!E17+"$wK!'w"</f>
        <v>#VALUE!</v>
      </c>
      <c r="GD2" t="e">
        <f>Sheet1!F17+"$wK!'x"</f>
        <v>#VALUE!</v>
      </c>
      <c r="GE2" t="e">
        <f>Sheet1!G17+"$wK!'y"</f>
        <v>#VALUE!</v>
      </c>
      <c r="GF2" t="e">
        <f>Sheet1!H17+"$wK!'z"</f>
        <v>#VALUE!</v>
      </c>
      <c r="GG2" t="e">
        <f>Sheet1!B18+"$wK!'{"</f>
        <v>#VALUE!</v>
      </c>
      <c r="GH2" t="e">
        <f>Sheet1!A18+"$wK!'|"</f>
        <v>#VALUE!</v>
      </c>
      <c r="GI2" t="e">
        <f>Sheet1!C18+"$wK!'}"</f>
        <v>#VALUE!</v>
      </c>
      <c r="GJ2" t="e">
        <f>Sheet1!D18+"$wK!'~"</f>
        <v>#VALUE!</v>
      </c>
      <c r="GK2" t="e">
        <f>Sheet1!E18+"$wK!(#"</f>
        <v>#VALUE!</v>
      </c>
      <c r="GL2" t="e">
        <f>Sheet1!F18+"$wK!($"</f>
        <v>#VALUE!</v>
      </c>
      <c r="GM2" t="e">
        <f>Sheet1!G18+"$wK!(%"</f>
        <v>#VALUE!</v>
      </c>
      <c r="GN2" t="e">
        <f>Sheet1!H18+"$wK!(&amp;"</f>
        <v>#VALUE!</v>
      </c>
      <c r="GO2" t="e">
        <f>Sheet1!B19+"$wK!('"</f>
        <v>#VALUE!</v>
      </c>
      <c r="GP2" t="e">
        <f>Sheet1!A19+"$wK!(("</f>
        <v>#VALUE!</v>
      </c>
      <c r="GQ2" t="e">
        <f>Sheet1!C19+"$wK!()"</f>
        <v>#VALUE!</v>
      </c>
      <c r="GR2" t="e">
        <f>Sheet1!D19+"$wK!(."</f>
        <v>#VALUE!</v>
      </c>
      <c r="GS2" t="e">
        <f>Sheet1!E19+"$wK!(/"</f>
        <v>#VALUE!</v>
      </c>
      <c r="GT2" t="e">
        <f>Sheet1!F19+"$wK!(0"</f>
        <v>#VALUE!</v>
      </c>
      <c r="GU2" t="e">
        <f>Sheet1!G19+"$wK!(1"</f>
        <v>#VALUE!</v>
      </c>
      <c r="GV2" t="e">
        <f>Sheet1!H19+"$wK!(2"</f>
        <v>#VALUE!</v>
      </c>
      <c r="GW2" t="e">
        <f>Sheet1!B20+"$wK!(3"</f>
        <v>#VALUE!</v>
      </c>
      <c r="GX2" t="e">
        <f>Sheet1!A20+"$wK!(4"</f>
        <v>#VALUE!</v>
      </c>
      <c r="GY2" t="e">
        <f>Sheet1!C20+"$wK!(5"</f>
        <v>#VALUE!</v>
      </c>
      <c r="GZ2" t="e">
        <f>Sheet1!D20+"$wK!(6"</f>
        <v>#VALUE!</v>
      </c>
      <c r="HA2" t="e">
        <f>Sheet1!E20+"$wK!(7"</f>
        <v>#VALUE!</v>
      </c>
      <c r="HB2" t="e">
        <f>Sheet1!F20+"$wK!(8"</f>
        <v>#VALUE!</v>
      </c>
      <c r="HC2" t="e">
        <f>Sheet1!G20+"$wK!(9"</f>
        <v>#VALUE!</v>
      </c>
      <c r="HD2" t="e">
        <f>Sheet1!H20+"$wK!(:"</f>
        <v>#VALUE!</v>
      </c>
      <c r="HE2" t="e">
        <f>Sheet1!B21+"$wK!(;"</f>
        <v>#VALUE!</v>
      </c>
      <c r="HF2" t="e">
        <f>Sheet1!A21+"$wK!(&lt;"</f>
        <v>#VALUE!</v>
      </c>
      <c r="HG2" t="e">
        <f>Sheet1!C21+"$wK!(="</f>
        <v>#VALUE!</v>
      </c>
      <c r="HH2" t="e">
        <f>Sheet1!D21+"$wK!(&gt;"</f>
        <v>#VALUE!</v>
      </c>
      <c r="HI2" t="e">
        <f>Sheet1!E21+"$wK!(?"</f>
        <v>#VALUE!</v>
      </c>
      <c r="HJ2" t="e">
        <f>Sheet1!F21+"$wK!(@"</f>
        <v>#VALUE!</v>
      </c>
      <c r="HK2" t="e">
        <f>Sheet1!G21+"$wK!(A"</f>
        <v>#VALUE!</v>
      </c>
      <c r="HL2" t="e">
        <f>Sheet1!H21+"$wK!(B"</f>
        <v>#VALUE!</v>
      </c>
      <c r="HM2" t="e">
        <f>Sheet1!B22+"$wK!(C"</f>
        <v>#VALUE!</v>
      </c>
      <c r="HN2" t="e">
        <f>Sheet1!A22+"$wK!(D"</f>
        <v>#VALUE!</v>
      </c>
      <c r="HO2" t="e">
        <f>Sheet1!C22+"$wK!(E"</f>
        <v>#VALUE!</v>
      </c>
      <c r="HP2" t="e">
        <f>Sheet1!D22+"$wK!(F"</f>
        <v>#VALUE!</v>
      </c>
      <c r="HQ2" t="e">
        <f>Sheet1!E22+"$wK!(G"</f>
        <v>#VALUE!</v>
      </c>
      <c r="HR2" t="e">
        <f>Sheet1!F22+"$wK!(H"</f>
        <v>#VALUE!</v>
      </c>
      <c r="HS2" t="e">
        <f>Sheet1!G22+"$wK!(I"</f>
        <v>#VALUE!</v>
      </c>
      <c r="HT2" t="e">
        <f>Sheet1!H22+"$wK!(J"</f>
        <v>#VALUE!</v>
      </c>
      <c r="HU2" t="e">
        <f>Sheet1!B23+"$wK!(K"</f>
        <v>#VALUE!</v>
      </c>
      <c r="HV2" t="e">
        <f>Sheet1!A23+"$wK!(L"</f>
        <v>#VALUE!</v>
      </c>
      <c r="HW2" t="e">
        <f>Sheet1!C23+"$wK!(M"</f>
        <v>#VALUE!</v>
      </c>
      <c r="HX2" t="e">
        <f>Sheet1!D23+"$wK!(N"</f>
        <v>#VALUE!</v>
      </c>
      <c r="HY2" t="e">
        <f>Sheet1!E23+"$wK!(O"</f>
        <v>#VALUE!</v>
      </c>
      <c r="HZ2" t="e">
        <f>Sheet1!F23+"$wK!(P"</f>
        <v>#VALUE!</v>
      </c>
      <c r="IA2" t="e">
        <f>Sheet1!G23+"$wK!(Q"</f>
        <v>#VALUE!</v>
      </c>
      <c r="IB2" t="e">
        <f>Sheet1!H23+"$wK!(R"</f>
        <v>#VALUE!</v>
      </c>
      <c r="IC2" t="e">
        <f>Sheet1!B24+"$wK!(S"</f>
        <v>#VALUE!</v>
      </c>
      <c r="ID2" t="e">
        <f>Sheet1!A24+"$wK!(T"</f>
        <v>#VALUE!</v>
      </c>
      <c r="IE2" t="e">
        <f>Sheet1!C24+"$wK!(U"</f>
        <v>#VALUE!</v>
      </c>
      <c r="IF2" t="e">
        <f>Sheet1!D24+"$wK!(V"</f>
        <v>#VALUE!</v>
      </c>
      <c r="IG2" t="e">
        <f>Sheet1!E24+"$wK!(W"</f>
        <v>#VALUE!</v>
      </c>
      <c r="IH2" t="e">
        <f>Sheet1!F24+"$wK!(X"</f>
        <v>#VALUE!</v>
      </c>
      <c r="II2" t="e">
        <f>Sheet1!G24+"$wK!(Y"</f>
        <v>#VALUE!</v>
      </c>
      <c r="IJ2" t="e">
        <f>Sheet1!H24+"$wK!(Z"</f>
        <v>#VALUE!</v>
      </c>
      <c r="IK2" t="e">
        <f>Sheet1!B25+"$wK!(["</f>
        <v>#VALUE!</v>
      </c>
      <c r="IL2" t="e">
        <f>Sheet1!A25+"$wK!(\"</f>
        <v>#VALUE!</v>
      </c>
      <c r="IM2" t="e">
        <f>Sheet1!C25+"$wK!(]"</f>
        <v>#VALUE!</v>
      </c>
      <c r="IN2" t="e">
        <f>Sheet1!D25+"$wK!(^"</f>
        <v>#VALUE!</v>
      </c>
      <c r="IO2" t="e">
        <f>Sheet1!E25+"$wK!(_"</f>
        <v>#VALUE!</v>
      </c>
      <c r="IP2" t="e">
        <f>Sheet1!F25+"$wK!(`"</f>
        <v>#VALUE!</v>
      </c>
      <c r="IQ2" t="e">
        <f>Sheet1!G25+"$wK!(a"</f>
        <v>#VALUE!</v>
      </c>
      <c r="IR2" t="e">
        <f>Sheet1!H25+"$wK!(b"</f>
        <v>#VALUE!</v>
      </c>
      <c r="IS2" t="e">
        <f>Sheet1!B26+"$wK!(c"</f>
        <v>#VALUE!</v>
      </c>
      <c r="IT2" t="e">
        <f>Sheet1!A26+"$wK!(d"</f>
        <v>#VALUE!</v>
      </c>
      <c r="IU2" t="e">
        <f>Sheet1!C26+"$wK!(e"</f>
        <v>#VALUE!</v>
      </c>
      <c r="IV2" t="e">
        <f>Sheet1!D26+"$wK!(f"</f>
        <v>#VALUE!</v>
      </c>
    </row>
    <row r="3" spans="1:256" x14ac:dyDescent="0.25">
      <c r="A3" t="s">
        <v>100</v>
      </c>
      <c r="F3" t="e">
        <f>Sheet1!E26+"$wK!(g"</f>
        <v>#VALUE!</v>
      </c>
      <c r="G3" t="e">
        <f>Sheet1!F26+"$wK!(h"</f>
        <v>#VALUE!</v>
      </c>
      <c r="H3" t="e">
        <f>Sheet1!G26+"$wK!(i"</f>
        <v>#VALUE!</v>
      </c>
      <c r="I3" t="e">
        <f>Sheet1!H26+"$wK!(j"</f>
        <v>#VALUE!</v>
      </c>
      <c r="J3" t="e">
        <f>Sheet1!B27+"$wK!(k"</f>
        <v>#VALUE!</v>
      </c>
      <c r="K3" t="e">
        <f>Sheet1!A27+"$wK!(l"</f>
        <v>#VALUE!</v>
      </c>
      <c r="L3" t="e">
        <f>Sheet1!C27+"$wK!(m"</f>
        <v>#VALUE!</v>
      </c>
      <c r="M3" t="e">
        <f>Sheet1!D27+"$wK!(n"</f>
        <v>#VALUE!</v>
      </c>
      <c r="N3" t="e">
        <f>Sheet1!E27+"$wK!(o"</f>
        <v>#VALUE!</v>
      </c>
      <c r="O3" t="e">
        <f>Sheet1!F27+"$wK!(p"</f>
        <v>#VALUE!</v>
      </c>
      <c r="P3" t="e">
        <f>Sheet1!G27+"$wK!(q"</f>
        <v>#VALUE!</v>
      </c>
      <c r="Q3" t="e">
        <f>Sheet1!H27+"$wK!(r"</f>
        <v>#VALUE!</v>
      </c>
      <c r="R3" t="e">
        <f>Sheet1!B28+"$wK!(s"</f>
        <v>#VALUE!</v>
      </c>
      <c r="S3" t="e">
        <f>Sheet1!A28+"$wK!(t"</f>
        <v>#VALUE!</v>
      </c>
      <c r="T3" t="e">
        <f>Sheet1!C28+"$wK!(u"</f>
        <v>#VALUE!</v>
      </c>
      <c r="U3" t="e">
        <f>Sheet1!D28+"$wK!(v"</f>
        <v>#VALUE!</v>
      </c>
      <c r="V3" t="e">
        <f>Sheet1!E28+"$wK!(w"</f>
        <v>#VALUE!</v>
      </c>
      <c r="W3" t="e">
        <f>Sheet1!F28+"$wK!(x"</f>
        <v>#VALUE!</v>
      </c>
      <c r="X3" t="e">
        <f>Sheet1!G28+"$wK!(y"</f>
        <v>#VALUE!</v>
      </c>
      <c r="Y3" t="e">
        <f>Sheet1!H28+"$wK!(z"</f>
        <v>#VALUE!</v>
      </c>
      <c r="Z3" t="e">
        <f>Sheet1!B29+"$wK!({"</f>
        <v>#VALUE!</v>
      </c>
      <c r="AA3" t="e">
        <f>Sheet1!A29+"$wK!(|"</f>
        <v>#VALUE!</v>
      </c>
      <c r="AB3" t="e">
        <f>Sheet1!C29+"$wK!(}"</f>
        <v>#VALUE!</v>
      </c>
      <c r="AC3" t="e">
        <f>Sheet1!D29+"$wK!(~"</f>
        <v>#VALUE!</v>
      </c>
      <c r="AD3" t="e">
        <f>Sheet1!E29+"$wK!)#"</f>
        <v>#VALUE!</v>
      </c>
      <c r="AE3" t="e">
        <f>Sheet1!F29+"$wK!)$"</f>
        <v>#VALUE!</v>
      </c>
      <c r="AF3" t="e">
        <f>Sheet1!G29+"$wK!)%"</f>
        <v>#VALUE!</v>
      </c>
      <c r="AG3" t="e">
        <f>Sheet1!H29+"$wK!)&amp;"</f>
        <v>#VALUE!</v>
      </c>
      <c r="AH3" t="e">
        <f>Sheet1!B30+"$wK!)'"</f>
        <v>#VALUE!</v>
      </c>
      <c r="AI3" t="e">
        <f>Sheet1!A30+"$wK!)("</f>
        <v>#VALUE!</v>
      </c>
      <c r="AJ3" t="e">
        <f>Sheet1!C30+"$wK!))"</f>
        <v>#VALUE!</v>
      </c>
      <c r="AK3" t="e">
        <f>Sheet1!D30+"$wK!)."</f>
        <v>#VALUE!</v>
      </c>
      <c r="AL3" t="e">
        <f>Sheet1!E30+"$wK!)/"</f>
        <v>#VALUE!</v>
      </c>
      <c r="AM3" t="e">
        <f>Sheet1!F30+"$wK!)0"</f>
        <v>#VALUE!</v>
      </c>
      <c r="AN3" t="e">
        <f>Sheet1!G30+"$wK!)1"</f>
        <v>#VALUE!</v>
      </c>
      <c r="AO3" t="e">
        <f>Sheet1!H30+"$wK!)2"</f>
        <v>#VALUE!</v>
      </c>
      <c r="AP3" t="e">
        <f>Sheet1!B31+"$wK!)3"</f>
        <v>#VALUE!</v>
      </c>
      <c r="AQ3" t="e">
        <f>Sheet1!A31+"$wK!)4"</f>
        <v>#VALUE!</v>
      </c>
      <c r="AR3" t="e">
        <f>Sheet1!C31+"$wK!)5"</f>
        <v>#VALUE!</v>
      </c>
      <c r="AS3" t="e">
        <f>Sheet1!D31+"$wK!)6"</f>
        <v>#VALUE!</v>
      </c>
      <c r="AT3" t="e">
        <f>Sheet1!E31+"$wK!)7"</f>
        <v>#VALUE!</v>
      </c>
      <c r="AU3" t="e">
        <f>Sheet1!F31+"$wK!)8"</f>
        <v>#VALUE!</v>
      </c>
      <c r="AV3" t="e">
        <f>Sheet1!G31+"$wK!)9"</f>
        <v>#VALUE!</v>
      </c>
      <c r="AW3" t="e">
        <f>Sheet1!H31+"$wK!):"</f>
        <v>#VALUE!</v>
      </c>
      <c r="AX3" t="e">
        <f>Sheet1!B32+"$wK!);"</f>
        <v>#VALUE!</v>
      </c>
      <c r="AY3" t="e">
        <f>Sheet1!A32+"$wK!)&lt;"</f>
        <v>#VALUE!</v>
      </c>
      <c r="AZ3" t="e">
        <f>Sheet1!C32+"$wK!)="</f>
        <v>#VALUE!</v>
      </c>
      <c r="BA3" t="e">
        <f>Sheet1!D32+"$wK!)&gt;"</f>
        <v>#VALUE!</v>
      </c>
      <c r="BB3" t="e">
        <f>Sheet1!E32+"$wK!)?"</f>
        <v>#VALUE!</v>
      </c>
      <c r="BC3" t="e">
        <f>Sheet1!F32+"$wK!)@"</f>
        <v>#VALUE!</v>
      </c>
      <c r="BD3" t="e">
        <f>Sheet1!G32+"$wK!)A"</f>
        <v>#VALUE!</v>
      </c>
      <c r="BE3" t="e">
        <f>Sheet1!H32+"$wK!)B"</f>
        <v>#VALUE!</v>
      </c>
      <c r="BF3" t="e">
        <f>Sheet1!B33+"$wK!)C"</f>
        <v>#VALUE!</v>
      </c>
      <c r="BG3" t="e">
        <f>Sheet1!A33+"$wK!)D"</f>
        <v>#VALUE!</v>
      </c>
      <c r="BH3" t="e">
        <f>Sheet1!C33+"$wK!)E"</f>
        <v>#VALUE!</v>
      </c>
      <c r="BI3" t="e">
        <f>Sheet1!D33+"$wK!)F"</f>
        <v>#VALUE!</v>
      </c>
      <c r="BJ3" t="e">
        <f>Sheet1!E33+"$wK!)G"</f>
        <v>#VALUE!</v>
      </c>
      <c r="BK3" t="e">
        <f>Sheet1!F33+"$wK!)H"</f>
        <v>#VALUE!</v>
      </c>
      <c r="BL3" t="e">
        <f>Sheet1!G33+"$wK!)I"</f>
        <v>#VALUE!</v>
      </c>
      <c r="BM3" t="e">
        <f>Sheet1!H33+"$wK!)J"</f>
        <v>#VALUE!</v>
      </c>
      <c r="BN3" t="e">
        <f>Sheet1!B34+"$wK!)K"</f>
        <v>#VALUE!</v>
      </c>
      <c r="BO3" t="e">
        <f>Sheet1!A34+"$wK!)L"</f>
        <v>#VALUE!</v>
      </c>
      <c r="BP3" t="e">
        <f>Sheet1!C34+"$wK!)M"</f>
        <v>#VALUE!</v>
      </c>
      <c r="BQ3" t="e">
        <f>Sheet1!D34+"$wK!)N"</f>
        <v>#VALUE!</v>
      </c>
      <c r="BR3" t="e">
        <f>Sheet1!E34+"$wK!)O"</f>
        <v>#VALUE!</v>
      </c>
      <c r="BS3" t="e">
        <f>Sheet1!F34+"$wK!)P"</f>
        <v>#VALUE!</v>
      </c>
      <c r="BT3" t="e">
        <f>Sheet1!G34+"$wK!)Q"</f>
        <v>#VALUE!</v>
      </c>
      <c r="BU3" t="e">
        <f>Sheet1!H34+"$wK!)R"</f>
        <v>#VALUE!</v>
      </c>
      <c r="BV3" t="e">
        <f>Sheet1!B35+"$wK!)S"</f>
        <v>#VALUE!</v>
      </c>
      <c r="BW3" t="e">
        <f>Sheet1!A35+"$wK!)T"</f>
        <v>#VALUE!</v>
      </c>
      <c r="BX3" t="e">
        <f>Sheet1!C35+"$wK!)U"</f>
        <v>#VALUE!</v>
      </c>
      <c r="BY3" t="e">
        <f>Sheet1!D35+"$wK!)V"</f>
        <v>#VALUE!</v>
      </c>
      <c r="BZ3" t="e">
        <f>Sheet1!E35+"$wK!)W"</f>
        <v>#VALUE!</v>
      </c>
      <c r="CA3" t="e">
        <f>Sheet1!F35+"$wK!)X"</f>
        <v>#VALUE!</v>
      </c>
      <c r="CB3" t="e">
        <f>Sheet1!G35+"$wK!)Y"</f>
        <v>#VALUE!</v>
      </c>
      <c r="CC3" t="e">
        <f>Sheet1!H35+"$wK!)Z"</f>
        <v>#VALUE!</v>
      </c>
      <c r="CD3" t="e">
        <f>Sheet1!B36+"$wK!)["</f>
        <v>#VALUE!</v>
      </c>
      <c r="CE3" t="e">
        <f>Sheet1!A36+"$wK!)\"</f>
        <v>#VALUE!</v>
      </c>
      <c r="CF3" t="e">
        <f>Sheet1!C36+"$wK!)]"</f>
        <v>#VALUE!</v>
      </c>
      <c r="CG3" t="e">
        <f>Sheet1!D36+"$wK!)^"</f>
        <v>#VALUE!</v>
      </c>
      <c r="CH3" t="e">
        <f>Sheet1!E36+"$wK!)_"</f>
        <v>#VALUE!</v>
      </c>
      <c r="CI3" t="e">
        <f>Sheet1!F36+"$wK!)`"</f>
        <v>#VALUE!</v>
      </c>
      <c r="CJ3" t="e">
        <f>Sheet1!G36+"$wK!)a"</f>
        <v>#VALUE!</v>
      </c>
      <c r="CK3" t="e">
        <f>Sheet1!H36+"$wK!)b"</f>
        <v>#VALUE!</v>
      </c>
      <c r="CL3" t="e">
        <f>Sheet1!B37+"$wK!)c"</f>
        <v>#VALUE!</v>
      </c>
      <c r="CM3" t="e">
        <f>Sheet1!A37+"$wK!)d"</f>
        <v>#VALUE!</v>
      </c>
      <c r="CN3" t="e">
        <f>Sheet1!C37+"$wK!)e"</f>
        <v>#VALUE!</v>
      </c>
      <c r="CO3" t="e">
        <f>Sheet1!D37+"$wK!)f"</f>
        <v>#VALUE!</v>
      </c>
      <c r="CP3" t="e">
        <f>Sheet1!E37+"$wK!)g"</f>
        <v>#VALUE!</v>
      </c>
      <c r="CQ3" t="e">
        <f>Sheet1!F37+"$wK!)h"</f>
        <v>#VALUE!</v>
      </c>
      <c r="CR3" t="e">
        <f>Sheet1!G37+"$wK!)i"</f>
        <v>#VALUE!</v>
      </c>
      <c r="CS3" t="e">
        <f>Sheet1!H37+"$wK!)j"</f>
        <v>#VALUE!</v>
      </c>
      <c r="CT3" t="e">
        <f>Sheet1!B38+"$wK!)k"</f>
        <v>#VALUE!</v>
      </c>
      <c r="CU3" t="e">
        <f>Sheet1!A38+"$wK!)l"</f>
        <v>#VALUE!</v>
      </c>
      <c r="CV3" t="e">
        <f>Sheet1!C38+"$wK!)m"</f>
        <v>#VALUE!</v>
      </c>
      <c r="CW3" t="e">
        <f>Sheet1!D38+"$wK!)n"</f>
        <v>#VALUE!</v>
      </c>
      <c r="CX3" t="e">
        <f>Sheet1!E38+"$wK!)o"</f>
        <v>#VALUE!</v>
      </c>
      <c r="CY3" t="e">
        <f>Sheet1!F38+"$wK!)p"</f>
        <v>#VALUE!</v>
      </c>
      <c r="CZ3" t="e">
        <f>Sheet1!G38+"$wK!)q"</f>
        <v>#VALUE!</v>
      </c>
      <c r="DA3" t="e">
        <f>Sheet1!H38+"$wK!)r"</f>
        <v>#VALUE!</v>
      </c>
      <c r="DB3" t="e">
        <f>Sheet1!B39+"$wK!)s"</f>
        <v>#VALUE!</v>
      </c>
      <c r="DC3" t="e">
        <f>Sheet1!A39+"$wK!)t"</f>
        <v>#VALUE!</v>
      </c>
      <c r="DD3" t="e">
        <f>Sheet1!C39+"$wK!)u"</f>
        <v>#VALUE!</v>
      </c>
      <c r="DE3" t="e">
        <f>Sheet1!D39+"$wK!)v"</f>
        <v>#VALUE!</v>
      </c>
      <c r="DF3" t="e">
        <f>Sheet1!E39+"$wK!)w"</f>
        <v>#VALUE!</v>
      </c>
      <c r="DG3" t="e">
        <f>Sheet1!F39+"$wK!)x"</f>
        <v>#VALUE!</v>
      </c>
      <c r="DH3" t="e">
        <f>Sheet1!G39+"$wK!)y"</f>
        <v>#VALUE!</v>
      </c>
      <c r="DI3" t="e">
        <f>Sheet1!H39+"$wK!)z"</f>
        <v>#VALUE!</v>
      </c>
      <c r="DJ3" t="e">
        <f>Sheet1!B40+"$wK!){"</f>
        <v>#VALUE!</v>
      </c>
      <c r="DK3" t="e">
        <f>Sheet1!A40+"$wK!)|"</f>
        <v>#VALUE!</v>
      </c>
      <c r="DL3" t="e">
        <f>Sheet1!C40+"$wK!)}"</f>
        <v>#VALUE!</v>
      </c>
      <c r="DM3" t="e">
        <f>Sheet1!D40+"$wK!)~"</f>
        <v>#VALUE!</v>
      </c>
      <c r="DN3" t="e">
        <f>Sheet1!E40+"$wK!.#"</f>
        <v>#VALUE!</v>
      </c>
      <c r="DO3" t="e">
        <f>Sheet1!F40+"$wK!.$"</f>
        <v>#VALUE!</v>
      </c>
      <c r="DP3" t="e">
        <f>Sheet1!G40+"$wK!.%"</f>
        <v>#VALUE!</v>
      </c>
      <c r="DQ3" t="e">
        <f>Sheet1!H40+"$wK!.&amp;"</f>
        <v>#VALUE!</v>
      </c>
      <c r="DR3" t="e">
        <f>India!A:A*"$wK!.'"</f>
        <v>#VALUE!</v>
      </c>
      <c r="DS3" t="e">
        <f>India!B:B*"$wK!.("</f>
        <v>#VALUE!</v>
      </c>
      <c r="DT3" t="e">
        <f>India!C:C*"$wK!.)"</f>
        <v>#VALUE!</v>
      </c>
      <c r="DU3" t="e">
        <f>India!D:D*"$wK!.."</f>
        <v>#VALUE!</v>
      </c>
      <c r="DV3" t="e">
        <f>India!E:E*"$wK!./"</f>
        <v>#VALUE!</v>
      </c>
      <c r="DW3" t="e">
        <f>India!F:F*"$wK!.0"</f>
        <v>#VALUE!</v>
      </c>
      <c r="DX3" t="e">
        <f>India!G:G*"$wK!.1"</f>
        <v>#VALUE!</v>
      </c>
      <c r="DY3" t="e">
        <f>India!H:H*"$wK!.2"</f>
        <v>#VALUE!</v>
      </c>
      <c r="DZ3" t="e">
        <f>India!I:I*"$wK!.3"</f>
        <v>#VALUE!</v>
      </c>
      <c r="EA3" t="e">
        <f>India!J:J*"$wK!.4"</f>
        <v>#VALUE!</v>
      </c>
      <c r="EB3" t="e">
        <f>India!K:K*"$wK!.5"</f>
        <v>#VALUE!</v>
      </c>
      <c r="EC3" t="e">
        <f>India!L:L*"$wK!.6"</f>
        <v>#VALUE!</v>
      </c>
      <c r="ED3" t="e">
        <f>India!M:M*"$wK!.7"</f>
        <v>#VALUE!</v>
      </c>
      <c r="EE3" t="e">
        <f>India!N:N*"$wK!.8"</f>
        <v>#VALUE!</v>
      </c>
      <c r="EF3" t="e">
        <f>India!O:O*"$wK!.9"</f>
        <v>#VALUE!</v>
      </c>
      <c r="EG3" t="e">
        <f>India!P:P*"$wK!.:"</f>
        <v>#VALUE!</v>
      </c>
      <c r="EH3" t="e">
        <f>India!Q:Q*"$wK!.;"</f>
        <v>#VALUE!</v>
      </c>
      <c r="EI3" t="e">
        <f>India!R:R*"$wK!.&lt;"</f>
        <v>#VALUE!</v>
      </c>
      <c r="EJ3" t="e">
        <f>India!S:S*"$wK!.="</f>
        <v>#VALUE!</v>
      </c>
      <c r="EK3" t="e">
        <f>India!T:T*"$wK!.&gt;"</f>
        <v>#VALUE!</v>
      </c>
      <c r="EL3" t="e">
        <f>India!U:U*"$wK!.?"</f>
        <v>#VALUE!</v>
      </c>
      <c r="EM3" t="e">
        <f>India!V:V*"$wK!.@"</f>
        <v>#VALUE!</v>
      </c>
      <c r="EN3" t="e">
        <f>India!W:W*"$wK!.A"</f>
        <v>#VALUE!</v>
      </c>
      <c r="EO3" t="e">
        <f>India!X:X*"$wK!.B"</f>
        <v>#VALUE!</v>
      </c>
      <c r="EP3" t="e">
        <f>India!Y:Y*"$wK!.C"</f>
        <v>#VALUE!</v>
      </c>
      <c r="EQ3" t="e">
        <f>India!Z:Z*"$wK!.D"</f>
        <v>#VALUE!</v>
      </c>
      <c r="ER3" t="e">
        <f>India!AA:AA*"$wK!.E"</f>
        <v>#VALUE!</v>
      </c>
      <c r="ES3" t="e">
        <f>India!AB:AB*"$wK!.F"</f>
        <v>#VALUE!</v>
      </c>
      <c r="ET3" t="e">
        <f>India!AC:AC*"$wK!.G"</f>
        <v>#VALUE!</v>
      </c>
      <c r="EU3" t="e">
        <f>India!AD:AD*"$wK!.H"</f>
        <v>#VALUE!</v>
      </c>
      <c r="EV3" t="e">
        <f>India!AE:AE*"$wK!.I"</f>
        <v>#VALUE!</v>
      </c>
      <c r="EW3" t="e">
        <f>India!AF:AF*"$wK!.J"</f>
        <v>#VALUE!</v>
      </c>
      <c r="EX3" t="e">
        <f>India!AG:AG*"$wK!.K"</f>
        <v>#VALUE!</v>
      </c>
      <c r="EY3" t="e">
        <f>India!AH:AH*"$wK!.L"</f>
        <v>#VALUE!</v>
      </c>
      <c r="EZ3" t="e">
        <f>India!AI:AI*"$wK!.M"</f>
        <v>#VALUE!</v>
      </c>
      <c r="FA3" t="e">
        <f>India!AJ:AJ*"$wK!.N"</f>
        <v>#VALUE!</v>
      </c>
      <c r="FB3" t="e">
        <f>India!AK:AK*"$wK!.O"</f>
        <v>#VALUE!</v>
      </c>
      <c r="FC3" t="e">
        <f>India!AL:AL*"$wK!.P"</f>
        <v>#VALUE!</v>
      </c>
      <c r="FD3" t="e">
        <f>India!AM:AM*"$wK!.Q"</f>
        <v>#VALUE!</v>
      </c>
      <c r="FE3" t="e">
        <f>India!AN:AN*"$wK!.R"</f>
        <v>#VALUE!</v>
      </c>
      <c r="FF3" t="e">
        <f>India!AO:AO*"$wK!.S"</f>
        <v>#VALUE!</v>
      </c>
      <c r="FG3" t="e">
        <f>India!AP:AP*"$wK!.T"</f>
        <v>#VALUE!</v>
      </c>
      <c r="FH3" t="e">
        <f>India!AQ:AQ*"$wK!.U"</f>
        <v>#VALUE!</v>
      </c>
      <c r="FI3" t="e">
        <f>India!AR:AR*"$wK!.V"</f>
        <v>#VALUE!</v>
      </c>
      <c r="FJ3" t="e">
        <f>India!AS:AS*"$wK!.W"</f>
        <v>#VALUE!</v>
      </c>
      <c r="FK3" t="e">
        <f>India!AT:AT*"$wK!.X"</f>
        <v>#VALUE!</v>
      </c>
      <c r="FL3" t="e">
        <f>India!AU:AU*"$wK!.Y"</f>
        <v>#VALUE!</v>
      </c>
      <c r="FM3" t="e">
        <f>India!AV:AV*"$wK!.Z"</f>
        <v>#VALUE!</v>
      </c>
      <c r="FN3" t="e">
        <f>India!AW:AW*"$wK!.["</f>
        <v>#VALUE!</v>
      </c>
      <c r="FO3" t="e">
        <f>India!AX:AX*"$wK!.\"</f>
        <v>#VALUE!</v>
      </c>
      <c r="FP3" t="e">
        <f>India!AY:AY*"$wK!.]"</f>
        <v>#VALUE!</v>
      </c>
      <c r="FQ3" t="e">
        <f>India!1:1-"$wK!.^"</f>
        <v>#VALUE!</v>
      </c>
      <c r="FR3" t="e">
        <f>India!2:2-"$wK!._"</f>
        <v>#VALUE!</v>
      </c>
      <c r="FS3" t="e">
        <f>India!3:3-"$wK!.`"</f>
        <v>#VALUE!</v>
      </c>
      <c r="FT3" t="e">
        <f>India!4:4-"$wK!.a"</f>
        <v>#VALUE!</v>
      </c>
      <c r="FU3" t="e">
        <f>India!5:5-"$wK!.b"</f>
        <v>#VALUE!</v>
      </c>
      <c r="FV3" t="e">
        <f>India!6:6-"$wK!.c"</f>
        <v>#VALUE!</v>
      </c>
      <c r="FW3" t="e">
        <f>India!7:7-"$wK!.d"</f>
        <v>#VALUE!</v>
      </c>
      <c r="FX3" t="e">
        <f>India!8:8-"$wK!.e"</f>
        <v>#VALUE!</v>
      </c>
      <c r="FY3" t="e">
        <f>India!9:9-"$wK!.f"</f>
        <v>#VALUE!</v>
      </c>
      <c r="FZ3" t="e">
        <f>India!10:10-"$wK!.g"</f>
        <v>#VALUE!</v>
      </c>
      <c r="GA3" t="e">
        <f>India!11:11-"$wK!.h"</f>
        <v>#VALUE!</v>
      </c>
      <c r="GB3" t="e">
        <f>India!12:12-"$wK!.i"</f>
        <v>#VALUE!</v>
      </c>
      <c r="GC3" t="e">
        <f>India!13:13-"$wK!.j"</f>
        <v>#VALUE!</v>
      </c>
      <c r="GD3" t="e">
        <f>India!14:14-"$wK!.k"</f>
        <v>#VALUE!</v>
      </c>
      <c r="GE3" t="e">
        <f>India!15:15-"$wK!.l"</f>
        <v>#VALUE!</v>
      </c>
      <c r="GF3" t="e">
        <f>India!16:16-"$wK!.m"</f>
        <v>#VALUE!</v>
      </c>
      <c r="GG3" t="e">
        <f>India!17:17-"$wK!.n"</f>
        <v>#VALUE!</v>
      </c>
      <c r="GH3" t="e">
        <f>India!18:18-"$wK!.o"</f>
        <v>#VALUE!</v>
      </c>
      <c r="GI3" t="e">
        <f>India!19:19-"$wK!.p"</f>
        <v>#VALUE!</v>
      </c>
      <c r="GJ3" t="e">
        <f>India!20:20-"$wK!.q"</f>
        <v>#VALUE!</v>
      </c>
      <c r="GK3" t="e">
        <f>India!21:21-"$wK!.r"</f>
        <v>#VALUE!</v>
      </c>
      <c r="GL3" t="e">
        <f>India!22:22-"$wK!.s"</f>
        <v>#VALUE!</v>
      </c>
      <c r="GM3" t="e">
        <f>India!23:23-"$wK!.t"</f>
        <v>#VALUE!</v>
      </c>
      <c r="GN3" t="e">
        <f>India!24:24-"$wK!.u"</f>
        <v>#VALUE!</v>
      </c>
      <c r="GO3" t="e">
        <f>India!25:25-"$wK!.v"</f>
        <v>#VALUE!</v>
      </c>
      <c r="GP3" t="e">
        <f>India!26:26-"$wK!.w"</f>
        <v>#VALUE!</v>
      </c>
      <c r="GQ3" t="e">
        <f>India!27:27-"$wK!.x"</f>
        <v>#VALUE!</v>
      </c>
      <c r="GR3" t="e">
        <f>India!28:28-"$wK!.y"</f>
        <v>#VALUE!</v>
      </c>
      <c r="GS3" t="e">
        <f>India!29:29-"$wK!.z"</f>
        <v>#VALUE!</v>
      </c>
      <c r="GT3" t="e">
        <f>India!30:30-"$wK!.{"</f>
        <v>#VALUE!</v>
      </c>
      <c r="GU3" t="e">
        <f>India!31:31-"$wK!.|"</f>
        <v>#VALUE!</v>
      </c>
      <c r="GV3" t="e">
        <f>India!32:32-"$wK!.}"</f>
        <v>#VALUE!</v>
      </c>
      <c r="GW3" t="e">
        <f>India!33:33-"$wK!.~"</f>
        <v>#VALUE!</v>
      </c>
      <c r="GX3" t="e">
        <f>India!34:34-"$wK!/#"</f>
        <v>#VALUE!</v>
      </c>
      <c r="GY3" t="e">
        <f>India!35:35-"$wK!/$"</f>
        <v>#VALUE!</v>
      </c>
      <c r="GZ3" t="e">
        <f>India!36:36-"$wK!/%"</f>
        <v>#VALUE!</v>
      </c>
      <c r="HA3" t="e">
        <f>India!37:37-"$wK!/&amp;"</f>
        <v>#VALUE!</v>
      </c>
      <c r="HB3" t="e">
        <f>India!38:38-"$wK!/'"</f>
        <v>#VALUE!</v>
      </c>
      <c r="HC3" t="e">
        <f>India!39:39-"$wK!/("</f>
        <v>#VALUE!</v>
      </c>
      <c r="HD3" t="e">
        <f>India!40:40-"$wK!/)"</f>
        <v>#VALUE!</v>
      </c>
      <c r="HE3" t="e">
        <f>India!41:41-"$wK!/."</f>
        <v>#VALUE!</v>
      </c>
      <c r="HF3" t="e">
        <f>India!42:42-"$wK!//"</f>
        <v>#VALUE!</v>
      </c>
      <c r="HG3" t="e">
        <f>India!43:43-"$wK!/0"</f>
        <v>#VALUE!</v>
      </c>
      <c r="HH3" t="e">
        <f>India!44:44-"$wK!/1"</f>
        <v>#VALUE!</v>
      </c>
      <c r="HI3" t="e">
        <f>India!45:45-"$wK!/2"</f>
        <v>#VALUE!</v>
      </c>
      <c r="HJ3" t="e">
        <f>India!46:46-"$wK!/3"</f>
        <v>#VALUE!</v>
      </c>
      <c r="HK3" t="e">
        <f>India!47:47-"$wK!/4"</f>
        <v>#VALUE!</v>
      </c>
      <c r="HL3" t="e">
        <f>India!48:48-"$wK!/5"</f>
        <v>#VALUE!</v>
      </c>
      <c r="HM3" t="e">
        <f>India!49:49-"$wK!/6"</f>
        <v>#VALUE!</v>
      </c>
      <c r="HN3" t="e">
        <f>India!50:50-"$wK!/7"</f>
        <v>#VALUE!</v>
      </c>
      <c r="HO3" t="e">
        <f>India!51:51-"$wK!/8"</f>
        <v>#VALUE!</v>
      </c>
      <c r="HP3" t="e">
        <f>India!52:52-"$wK!/9"</f>
        <v>#VALUE!</v>
      </c>
      <c r="HQ3" t="e">
        <f>India!53:53-"$wK!/:"</f>
        <v>#VALUE!</v>
      </c>
      <c r="HR3" t="e">
        <f>India!54:54-"$wK!/;"</f>
        <v>#VALUE!</v>
      </c>
      <c r="HS3" t="e">
        <f>India!55:55-"$wK!/&lt;"</f>
        <v>#VALUE!</v>
      </c>
      <c r="HT3" t="e">
        <f>India!56:56-"$wK!/="</f>
        <v>#VALUE!</v>
      </c>
      <c r="HU3" t="e">
        <f>India!57:57-"$wK!/&gt;"</f>
        <v>#VALUE!</v>
      </c>
      <c r="HV3" t="e">
        <f>India!58:58-"$wK!/?"</f>
        <v>#VALUE!</v>
      </c>
      <c r="HW3" t="e">
        <f>India!59:59-"$wK!/@"</f>
        <v>#VALUE!</v>
      </c>
      <c r="HX3" t="e">
        <f>India!60:60-"$wK!/A"</f>
        <v>#VALUE!</v>
      </c>
      <c r="HY3" t="e">
        <f>India!61:61-"$wK!/B"</f>
        <v>#VALUE!</v>
      </c>
      <c r="HZ3" t="e">
        <f>India!62:62-"$wK!/C"</f>
        <v>#VALUE!</v>
      </c>
      <c r="IA3" t="e">
        <f>India!63:63-"$wK!/D"</f>
        <v>#VALUE!</v>
      </c>
      <c r="IB3" t="e">
        <f>India!64:64-"$wK!/E"</f>
        <v>#VALUE!</v>
      </c>
      <c r="IC3" t="e">
        <f>India!65:65-"$wK!/F"</f>
        <v>#VALUE!</v>
      </c>
      <c r="ID3" t="e">
        <f>India!66:66-"$wK!/G"</f>
        <v>#VALUE!</v>
      </c>
      <c r="IE3" t="e">
        <f>India!67:67-"$wK!/H"</f>
        <v>#VALUE!</v>
      </c>
      <c r="IF3" t="e">
        <f>India!68:68-"$wK!/I"</f>
        <v>#VALUE!</v>
      </c>
      <c r="IG3" t="e">
        <f>India!69:69-"$wK!/J"</f>
        <v>#VALUE!</v>
      </c>
      <c r="IH3" t="e">
        <f>India!70:70-"$wK!/K"</f>
        <v>#VALUE!</v>
      </c>
      <c r="II3" t="e">
        <f>India!71:71-"$wK!/L"</f>
        <v>#VALUE!</v>
      </c>
      <c r="IJ3" t="e">
        <f>India!72:72-"$wK!/M"</f>
        <v>#VALUE!</v>
      </c>
      <c r="IK3" t="e">
        <f>India!73:73-"$wK!/N"</f>
        <v>#VALUE!</v>
      </c>
      <c r="IL3" t="e">
        <f>India!74:74-"$wK!/O"</f>
        <v>#VALUE!</v>
      </c>
      <c r="IM3" t="e">
        <f>India!75:75-"$wK!/P"</f>
        <v>#VALUE!</v>
      </c>
      <c r="IN3" t="e">
        <f>India!76:76-"$wK!/Q"</f>
        <v>#VALUE!</v>
      </c>
      <c r="IO3" t="e">
        <f>India!77:77-"$wK!/R"</f>
        <v>#VALUE!</v>
      </c>
      <c r="IP3" t="e">
        <f>India!78:78-"$wK!/S"</f>
        <v>#VALUE!</v>
      </c>
      <c r="IQ3" t="e">
        <f>India!79:79-"$wK!/T"</f>
        <v>#VALUE!</v>
      </c>
      <c r="IR3" t="e">
        <f>India!80:80-"$wK!/U"</f>
        <v>#VALUE!</v>
      </c>
      <c r="IS3" t="e">
        <f>India!81:81-"$wK!/V"</f>
        <v>#VALUE!</v>
      </c>
      <c r="IT3" t="e">
        <f>India!82:82-"$wK!/W"</f>
        <v>#VALUE!</v>
      </c>
      <c r="IU3" t="e">
        <f>India!83:83-"$wK!/X"</f>
        <v>#VALUE!</v>
      </c>
      <c r="IV3" t="e">
        <f>India!84:84-"$wK!/Y"</f>
        <v>#VALUE!</v>
      </c>
    </row>
    <row r="4" spans="1:256" x14ac:dyDescent="0.25">
      <c r="A4" t="s">
        <v>138</v>
      </c>
      <c r="F4" t="e">
        <f>India!85:85-"$wK!/Z"</f>
        <v>#VALUE!</v>
      </c>
      <c r="G4" t="e">
        <f>India!86:86-"$wK!/["</f>
        <v>#VALUE!</v>
      </c>
      <c r="H4" t="e">
        <f>India!87:87-"$wK!/\"</f>
        <v>#VALUE!</v>
      </c>
      <c r="I4" t="e">
        <f>India!88:88-"$wK!/]"</f>
        <v>#VALUE!</v>
      </c>
      <c r="J4" t="e">
        <f>India!89:89-"$wK!/^"</f>
        <v>#VALUE!</v>
      </c>
      <c r="K4" t="e">
        <f>India!90:90-"$wK!/_"</f>
        <v>#VALUE!</v>
      </c>
      <c r="L4" t="e">
        <f>India!91:91-"$wK!/`"</f>
        <v>#VALUE!</v>
      </c>
      <c r="M4" t="e">
        <f>India!92:92-"$wK!/a"</f>
        <v>#VALUE!</v>
      </c>
      <c r="N4" t="e">
        <f>India!93:93-"$wK!/b"</f>
        <v>#VALUE!</v>
      </c>
      <c r="O4" t="e">
        <f>India!94:94-"$wK!/c"</f>
        <v>#VALUE!</v>
      </c>
      <c r="P4" t="e">
        <f>India!95:95-"$wK!/d"</f>
        <v>#VALUE!</v>
      </c>
      <c r="Q4" t="e">
        <f>India!96:96-"$wK!/e"</f>
        <v>#VALUE!</v>
      </c>
      <c r="R4" t="e">
        <f>India!97:97-"$wK!/f"</f>
        <v>#VALUE!</v>
      </c>
      <c r="S4" t="e">
        <f>India!98:98-"$wK!/g"</f>
        <v>#VALUE!</v>
      </c>
      <c r="T4" t="e">
        <f>India!99:99-"$wK!/h"</f>
        <v>#VALUE!</v>
      </c>
      <c r="U4" t="e">
        <f>India!100:100-"$wK!/i"</f>
        <v>#VALUE!</v>
      </c>
      <c r="V4" t="e">
        <f>India!101:101-"$wK!/j"</f>
        <v>#VALUE!</v>
      </c>
      <c r="W4" t="e">
        <f>India!102:102-"$wK!/k"</f>
        <v>#VALUE!</v>
      </c>
      <c r="X4" t="e">
        <f>India!103:103-"$wK!/l"</f>
        <v>#VALUE!</v>
      </c>
      <c r="Y4" t="e">
        <f>India!104:104-"$wK!/m"</f>
        <v>#VALUE!</v>
      </c>
      <c r="Z4" t="e">
        <f>India!105:105-"$wK!/n"</f>
        <v>#VALUE!</v>
      </c>
      <c r="AA4" t="e">
        <f>India!106:106-"$wK!/o"</f>
        <v>#VALUE!</v>
      </c>
      <c r="AB4" t="e">
        <f>India!107:107-"$wK!/p"</f>
        <v>#VALUE!</v>
      </c>
      <c r="AC4" t="e">
        <f>India!108:108-"$wK!/q"</f>
        <v>#VALUE!</v>
      </c>
      <c r="AD4" t="e">
        <f>India!109:109-"$wK!/r"</f>
        <v>#VALUE!</v>
      </c>
      <c r="AE4" t="e">
        <f>India!110:110-"$wK!/s"</f>
        <v>#VALUE!</v>
      </c>
      <c r="AF4" t="e">
        <f>India!111:111-"$wK!/t"</f>
        <v>#VALUE!</v>
      </c>
      <c r="AG4" t="e">
        <f>India!112:112-"$wK!/u"</f>
        <v>#VALUE!</v>
      </c>
      <c r="AH4" t="e">
        <f>India!113:113-"$wK!/v"</f>
        <v>#VALUE!</v>
      </c>
      <c r="AI4" t="e">
        <f>India!114:114-"$wK!/w"</f>
        <v>#VALUE!</v>
      </c>
      <c r="AJ4" t="e">
        <f>India!115:115-"$wK!/x"</f>
        <v>#VALUE!</v>
      </c>
      <c r="AK4" t="e">
        <f>India!116:116-"$wK!/y"</f>
        <v>#VALUE!</v>
      </c>
      <c r="AL4" t="e">
        <f>India!117:117-"$wK!/z"</f>
        <v>#VALUE!</v>
      </c>
      <c r="AM4" t="e">
        <f>India!118:118-"$wK!/{"</f>
        <v>#VALUE!</v>
      </c>
      <c r="AN4" t="e">
        <f>India!119:119-"$wK!/|"</f>
        <v>#VALUE!</v>
      </c>
      <c r="AO4" t="e">
        <f>India!120:120-"$wK!/}"</f>
        <v>#VALUE!</v>
      </c>
      <c r="AP4" t="e">
        <f>India!121:121-"$wK!/~"</f>
        <v>#VALUE!</v>
      </c>
      <c r="AQ4" t="e">
        <f>India!122:122-"$wK!0#"</f>
        <v>#VALUE!</v>
      </c>
      <c r="AR4" t="e">
        <f>India!123:123-"$wK!0$"</f>
        <v>#VALUE!</v>
      </c>
      <c r="AS4" t="e">
        <f>India!124:124-"$wK!0%"</f>
        <v>#VALUE!</v>
      </c>
      <c r="AT4" t="e">
        <f>India!125:125-"$wK!0&amp;"</f>
        <v>#VALUE!</v>
      </c>
      <c r="AU4" t="e">
        <f>India!126:126-"$wK!0'"</f>
        <v>#VALUE!</v>
      </c>
      <c r="AV4" t="e">
        <f>India!127:127-"$wK!0("</f>
        <v>#VALUE!</v>
      </c>
      <c r="AW4" t="e">
        <f>India!128:128-"$wK!0)"</f>
        <v>#VALUE!</v>
      </c>
      <c r="AX4" t="e">
        <f>India!129:129-"$wK!0."</f>
        <v>#VALUE!</v>
      </c>
      <c r="AY4" t="e">
        <f>India!130:130-"$wK!0/"</f>
        <v>#VALUE!</v>
      </c>
      <c r="AZ4" t="e">
        <f>India!131:131-"$wK!00"</f>
        <v>#VALUE!</v>
      </c>
      <c r="BA4" t="e">
        <f>India!132:132-"$wK!01"</f>
        <v>#VALUE!</v>
      </c>
      <c r="BB4" t="e">
        <f>India!133:133-"$wK!02"</f>
        <v>#VALUE!</v>
      </c>
      <c r="BC4" t="e">
        <f>India!134:134-"$wK!03"</f>
        <v>#VALUE!</v>
      </c>
      <c r="BD4" t="e">
        <f>India!135:135-"$wK!04"</f>
        <v>#VALUE!</v>
      </c>
      <c r="BE4" t="e">
        <f>India!136:136-"$wK!05"</f>
        <v>#VALUE!</v>
      </c>
      <c r="BF4" t="e">
        <f>India!137:137-"$wK!06"</f>
        <v>#VALUE!</v>
      </c>
      <c r="BG4" t="e">
        <f>India!138:138-"$wK!07"</f>
        <v>#VALUE!</v>
      </c>
      <c r="BH4" t="e">
        <f>India!139:139-"$wK!08"</f>
        <v>#VALUE!</v>
      </c>
      <c r="BI4" t="e">
        <f>India!140:140-"$wK!09"</f>
        <v>#VALUE!</v>
      </c>
      <c r="BJ4" t="e">
        <f>India!141:141-"$wK!0:"</f>
        <v>#VALUE!</v>
      </c>
      <c r="BK4" t="e">
        <f>India!142:142-"$wK!0;"</f>
        <v>#VALUE!</v>
      </c>
      <c r="BL4" t="e">
        <f>India!143:143-"$wK!0&lt;"</f>
        <v>#VALUE!</v>
      </c>
      <c r="BM4" t="e">
        <f>India!144:144-"$wK!0="</f>
        <v>#VALUE!</v>
      </c>
      <c r="BN4" t="e">
        <f>India!145:145-"$wK!0&gt;"</f>
        <v>#VALUE!</v>
      </c>
      <c r="BO4" t="e">
        <f>India!146:146-"$wK!0?"</f>
        <v>#VALUE!</v>
      </c>
      <c r="BP4" t="e">
        <f>India!147:147-"$wK!0@"</f>
        <v>#VALUE!</v>
      </c>
      <c r="BQ4" t="e">
        <f>India!148:148-"$wK!0A"</f>
        <v>#VALUE!</v>
      </c>
      <c r="BR4" t="e">
        <f>India!149:149-"$wK!0B"</f>
        <v>#VALUE!</v>
      </c>
      <c r="BS4" t="e">
        <f>India!150:150-"$wK!0C"</f>
        <v>#VALUE!</v>
      </c>
      <c r="BT4" t="e">
        <f>India!151:151-"$wK!0D"</f>
        <v>#VALUE!</v>
      </c>
      <c r="BU4" t="e">
        <f>India!152:152-"$wK!0E"</f>
        <v>#VALUE!</v>
      </c>
      <c r="BV4" t="e">
        <f>India!153:153-"$wK!0F"</f>
        <v>#VALUE!</v>
      </c>
      <c r="BW4" t="e">
        <f>India!154:154-"$wK!0G"</f>
        <v>#VALUE!</v>
      </c>
      <c r="BX4" t="e">
        <f>India!155:155-"$wK!0H"</f>
        <v>#VALUE!</v>
      </c>
      <c r="BY4" t="e">
        <f>India!156:156-"$wK!0I"</f>
        <v>#VALUE!</v>
      </c>
      <c r="BZ4" t="e">
        <f>India!157:157-"$wK!0J"</f>
        <v>#VALUE!</v>
      </c>
      <c r="CA4" t="e">
        <f>India!158:158-"$wK!0K"</f>
        <v>#VALUE!</v>
      </c>
      <c r="CB4" t="e">
        <f>India!159:159-"$wK!0L"</f>
        <v>#VALUE!</v>
      </c>
      <c r="CC4" t="e">
        <f>India!160:160-"$wK!0M"</f>
        <v>#VALUE!</v>
      </c>
      <c r="CD4" t="e">
        <f>India!161:161-"$wK!0N"</f>
        <v>#VALUE!</v>
      </c>
      <c r="CE4" t="e">
        <f>India!162:162-"$wK!0O"</f>
        <v>#VALUE!</v>
      </c>
      <c r="CF4" t="e">
        <f>India!163:163-"$wK!0P"</f>
        <v>#VALUE!</v>
      </c>
      <c r="CG4" t="e">
        <f>India!164:164-"$wK!0Q"</f>
        <v>#VALUE!</v>
      </c>
      <c r="CH4" t="e">
        <f>India!165:165-"$wK!0R"</f>
        <v>#VALUE!</v>
      </c>
      <c r="CI4" t="e">
        <f>India!166:166-"$wK!0S"</f>
        <v>#VALUE!</v>
      </c>
      <c r="CJ4" t="e">
        <f>India!167:167-"$wK!0T"</f>
        <v>#VALUE!</v>
      </c>
      <c r="CK4" t="e">
        <f>India!168:168-"$wK!0U"</f>
        <v>#VALUE!</v>
      </c>
      <c r="CL4" t="e">
        <f>India!169:169-"$wK!0V"</f>
        <v>#VALUE!</v>
      </c>
      <c r="CM4" t="e">
        <f>India!170:170-"$wK!0W"</f>
        <v>#VALUE!</v>
      </c>
      <c r="CN4" t="e">
        <f>India!171:171-"$wK!0X"</f>
        <v>#VALUE!</v>
      </c>
      <c r="CO4" t="e">
        <f>India!172:172-"$wK!0Y"</f>
        <v>#VALUE!</v>
      </c>
      <c r="CP4" t="e">
        <f>India!173:173-"$wK!0Z"</f>
        <v>#VALUE!</v>
      </c>
      <c r="CQ4" t="e">
        <f>India!174:174-"$wK!0["</f>
        <v>#VALUE!</v>
      </c>
      <c r="CR4" t="e">
        <f>India!175:175-"$wK!0\"</f>
        <v>#VALUE!</v>
      </c>
      <c r="CS4" t="e">
        <f>India!176:176-"$wK!0]"</f>
        <v>#VALUE!</v>
      </c>
      <c r="CT4" t="e">
        <f>India!177:177-"$wK!0^"</f>
        <v>#VALUE!</v>
      </c>
      <c r="CU4" t="e">
        <f>India!178:178-"$wK!0_"</f>
        <v>#VALUE!</v>
      </c>
      <c r="CV4" t="e">
        <f>India!179:179-"$wK!0`"</f>
        <v>#VALUE!</v>
      </c>
      <c r="CW4" t="e">
        <f>India!180:180-"$wK!0a"</f>
        <v>#VALUE!</v>
      </c>
      <c r="CX4" t="e">
        <f>India!181:181-"$wK!0b"</f>
        <v>#VALUE!</v>
      </c>
      <c r="CY4" t="e">
        <f>India!182:182-"$wK!0c"</f>
        <v>#VALUE!</v>
      </c>
      <c r="CZ4" t="e">
        <f>India!183:183-"$wK!0d"</f>
        <v>#VALUE!</v>
      </c>
      <c r="DA4" t="e">
        <f>India!184:184-"$wK!0e"</f>
        <v>#VALUE!</v>
      </c>
      <c r="DB4" t="e">
        <f>India!185:185-"$wK!0f"</f>
        <v>#VALUE!</v>
      </c>
      <c r="DC4" t="e">
        <f>India!186:186-"$wK!0g"</f>
        <v>#VALUE!</v>
      </c>
      <c r="DD4" t="e">
        <f>India!187:187-"$wK!0h"</f>
        <v>#VALUE!</v>
      </c>
      <c r="DE4" t="e">
        <f>India!188:188-"$wK!0i"</f>
        <v>#VALUE!</v>
      </c>
      <c r="DF4" t="e">
        <f>India!189:189-"$wK!0j"</f>
        <v>#VALUE!</v>
      </c>
      <c r="DG4" t="e">
        <f>India!190:190-"$wK!0k"</f>
        <v>#VALUE!</v>
      </c>
      <c r="DH4" t="e">
        <f>India!191:191-"$wK!0l"</f>
        <v>#VALUE!</v>
      </c>
      <c r="DI4" t="e">
        <f>India!192:192-"$wK!0m"</f>
        <v>#VALUE!</v>
      </c>
      <c r="DJ4" t="e">
        <f>India!193:193-"$wK!0n"</f>
        <v>#VALUE!</v>
      </c>
      <c r="DK4" t="e">
        <f>India!194:194-"$wK!0o"</f>
        <v>#VALUE!</v>
      </c>
      <c r="DL4" t="e">
        <f>India!195:195-"$wK!0p"</f>
        <v>#VALUE!</v>
      </c>
      <c r="DM4" t="e">
        <f>India!196:196-"$wK!0q"</f>
        <v>#VALUE!</v>
      </c>
      <c r="DN4" t="e">
        <f>India!197:197-"$wK!0r"</f>
        <v>#VALUE!</v>
      </c>
      <c r="DO4" t="e">
        <f>India!198:198-"$wK!0s"</f>
        <v>#VALUE!</v>
      </c>
      <c r="DP4" t="e">
        <f>India!199:199-"$wK!0t"</f>
        <v>#VALUE!</v>
      </c>
      <c r="DQ4" t="e">
        <f>India!200:200-"$wK!0u"</f>
        <v>#VALUE!</v>
      </c>
      <c r="DR4" t="e">
        <f>India!201:201-"$wK!0v"</f>
        <v>#VALUE!</v>
      </c>
      <c r="DS4" t="e">
        <f>Sheet3!A:A*"$wK!0w"</f>
        <v>#VALUE!</v>
      </c>
      <c r="DT4" t="e">
        <f>Sheet3!B:B*"$wK!0x"</f>
        <v>#VALUE!</v>
      </c>
      <c r="DU4" t="e">
        <f>Sheet3!C:C*"$wK!0y"</f>
        <v>#VALUE!</v>
      </c>
      <c r="DV4" t="e">
        <f>Sheet3!D:D*"$wK!0z"</f>
        <v>#VALUE!</v>
      </c>
      <c r="DW4" t="e">
        <f>Sheet3!E:E*"$wK!0{"</f>
        <v>#VALUE!</v>
      </c>
      <c r="DX4" t="e">
        <f>Sheet3!F:F*"$wK!0|"</f>
        <v>#VALUE!</v>
      </c>
      <c r="DY4" t="e">
        <f>Sheet3!G:G*"$wK!0}"</f>
        <v>#VALUE!</v>
      </c>
      <c r="DZ4" t="e">
        <f>Sheet3!H:H*"$wK!0~"</f>
        <v>#VALUE!</v>
      </c>
      <c r="EA4" t="e">
        <f>Sheet3!I:I*"$wK!1#"</f>
        <v>#VALUE!</v>
      </c>
      <c r="EB4" t="e">
        <f>Sheet3!J:J*"$wK!1$"</f>
        <v>#VALUE!</v>
      </c>
      <c r="EC4" t="e">
        <f>Sheet3!K:K*"$wK!1%"</f>
        <v>#VALUE!</v>
      </c>
      <c r="ED4" t="e">
        <f>Sheet3!L:L*"$wK!1&amp;"</f>
        <v>#VALUE!</v>
      </c>
      <c r="EE4" t="e">
        <f>Sheet3!M:M*"$wK!1'"</f>
        <v>#VALUE!</v>
      </c>
      <c r="EF4" t="e">
        <f>Sheet3!N:N*"$wK!1("</f>
        <v>#VALUE!</v>
      </c>
      <c r="EG4" t="e">
        <f>Sheet3!O:O*"$wK!1)"</f>
        <v>#VALUE!</v>
      </c>
      <c r="EH4" t="e">
        <f>Sheet3!P:P*"$wK!1."</f>
        <v>#VALUE!</v>
      </c>
      <c r="EI4" t="e">
        <f>Sheet3!Q:Q*"$wK!1/"</f>
        <v>#VALUE!</v>
      </c>
      <c r="EJ4" t="e">
        <f>Sheet3!R:R*"$wK!10"</f>
        <v>#VALUE!</v>
      </c>
      <c r="EK4" t="e">
        <f>Sheet3!S:S*"$wK!11"</f>
        <v>#VALUE!</v>
      </c>
      <c r="EL4" t="e">
        <f>Sheet3!T:T*"$wK!12"</f>
        <v>#VALUE!</v>
      </c>
      <c r="EM4" t="e">
        <f>Sheet3!U:U*"$wK!13"</f>
        <v>#VALUE!</v>
      </c>
      <c r="EN4" t="e">
        <f>Sheet3!V:V*"$wK!14"</f>
        <v>#VALUE!</v>
      </c>
      <c r="EO4" t="e">
        <f>Sheet3!W:W*"$wK!15"</f>
        <v>#VALUE!</v>
      </c>
      <c r="EP4" t="e">
        <f>Sheet3!X:X*"$wK!16"</f>
        <v>#VALUE!</v>
      </c>
      <c r="EQ4" t="e">
        <f>Sheet3!Y:Y*"$wK!17"</f>
        <v>#VALUE!</v>
      </c>
      <c r="ER4" t="e">
        <f>Sheet3!Z:Z*"$wK!18"</f>
        <v>#VALUE!</v>
      </c>
      <c r="ES4" t="e">
        <f>Sheet3!AA:AA*"$wK!19"</f>
        <v>#VALUE!</v>
      </c>
      <c r="ET4" t="e">
        <f>Sheet3!AB:AB*"$wK!1:"</f>
        <v>#VALUE!</v>
      </c>
      <c r="EU4" t="e">
        <f>Sheet3!AC:AC*"$wK!1;"</f>
        <v>#VALUE!</v>
      </c>
      <c r="EV4" t="e">
        <f>Sheet3!AD:AD*"$wK!1&lt;"</f>
        <v>#VALUE!</v>
      </c>
      <c r="EW4" t="e">
        <f>Sheet3!AE:AE*"$wK!1="</f>
        <v>#VALUE!</v>
      </c>
      <c r="EX4" t="e">
        <f>Sheet3!AF:AF*"$wK!1&gt;"</f>
        <v>#VALUE!</v>
      </c>
      <c r="EY4" t="e">
        <f>Sheet3!AG:AG*"$wK!1?"</f>
        <v>#VALUE!</v>
      </c>
      <c r="EZ4" t="e">
        <f>Sheet3!AH:AH*"$wK!1@"</f>
        <v>#VALUE!</v>
      </c>
      <c r="FA4" t="e">
        <f>Sheet3!AI:AI*"$wK!1A"</f>
        <v>#VALUE!</v>
      </c>
      <c r="FB4" t="e">
        <f>Sheet3!AJ:AJ*"$wK!1B"</f>
        <v>#VALUE!</v>
      </c>
      <c r="FC4" t="e">
        <f>Sheet3!AK:AK*"$wK!1C"</f>
        <v>#VALUE!</v>
      </c>
      <c r="FD4" t="e">
        <f>Sheet3!AL:AL*"$wK!1D"</f>
        <v>#VALUE!</v>
      </c>
      <c r="FE4" t="e">
        <f>Sheet3!AM:AM*"$wK!1E"</f>
        <v>#VALUE!</v>
      </c>
      <c r="FF4" t="e">
        <f>Sheet3!AN:AN*"$wK!1F"</f>
        <v>#VALUE!</v>
      </c>
      <c r="FG4" t="e">
        <f>Sheet3!AO:AO*"$wK!1G"</f>
        <v>#VALUE!</v>
      </c>
      <c r="FH4" t="e">
        <f>Sheet3!AP:AP*"$wK!1H"</f>
        <v>#VALUE!</v>
      </c>
      <c r="FI4" t="e">
        <f>Sheet3!AQ:AQ*"$wK!1I"</f>
        <v>#VALUE!</v>
      </c>
      <c r="FJ4" t="e">
        <f>Sheet3!AR:AR*"$wK!1J"</f>
        <v>#VALUE!</v>
      </c>
      <c r="FK4" t="e">
        <f>Sheet3!AS:AS*"$wK!1K"</f>
        <v>#VALUE!</v>
      </c>
      <c r="FL4" t="e">
        <f>Sheet3!AT:AT*"$wK!1L"</f>
        <v>#VALUE!</v>
      </c>
      <c r="FM4" t="e">
        <f>Sheet3!AU:AU*"$wK!1M"</f>
        <v>#VALUE!</v>
      </c>
      <c r="FN4" t="e">
        <f>Sheet3!AV:AV*"$wK!1N"</f>
        <v>#VALUE!</v>
      </c>
      <c r="FO4" t="e">
        <f>Sheet3!AW:AW*"$wK!1O"</f>
        <v>#VALUE!</v>
      </c>
      <c r="FP4" t="e">
        <f>Sheet3!AX:AX*"$wK!1P"</f>
        <v>#VALUE!</v>
      </c>
      <c r="FQ4" t="e">
        <f>Sheet3!AY:AY*"$wK!1Q"</f>
        <v>#VALUE!</v>
      </c>
      <c r="FR4" t="e">
        <f>Sheet3!1:1-"$wK!1R"</f>
        <v>#VALUE!</v>
      </c>
      <c r="FS4" t="e">
        <f>Sheet3!2:2-"$wK!1S"</f>
        <v>#VALUE!</v>
      </c>
      <c r="FT4" t="e">
        <f>Sheet3!3:3-"$wK!1T"</f>
        <v>#VALUE!</v>
      </c>
      <c r="FU4" t="e">
        <f>Sheet3!4:4-"$wK!1U"</f>
        <v>#VALUE!</v>
      </c>
      <c r="FV4" t="e">
        <f>Sheet3!5:5-"$wK!1V"</f>
        <v>#VALUE!</v>
      </c>
      <c r="FW4" t="e">
        <f>Sheet3!6:6-"$wK!1W"</f>
        <v>#VALUE!</v>
      </c>
      <c r="FX4" t="e">
        <f>Sheet3!7:7-"$wK!1X"</f>
        <v>#VALUE!</v>
      </c>
      <c r="FY4" t="e">
        <f>Sheet3!8:8-"$wK!1Y"</f>
        <v>#VALUE!</v>
      </c>
      <c r="FZ4" t="e">
        <f>Sheet3!9:9-"$wK!1Z"</f>
        <v>#VALUE!</v>
      </c>
      <c r="GA4" t="e">
        <f>Sheet3!10:10-"$wK!1["</f>
        <v>#VALUE!</v>
      </c>
      <c r="GB4" t="e">
        <f>Sheet3!11:11-"$wK!1\"</f>
        <v>#VALUE!</v>
      </c>
      <c r="GC4" t="e">
        <f>Sheet3!12:12-"$wK!1]"</f>
        <v>#VALUE!</v>
      </c>
      <c r="GD4" t="e">
        <f>Sheet3!13:13-"$wK!1^"</f>
        <v>#VALUE!</v>
      </c>
      <c r="GE4" t="e">
        <f>Sheet3!14:14-"$wK!1_"</f>
        <v>#VALUE!</v>
      </c>
      <c r="GF4" t="e">
        <f>Sheet3!15:15-"$wK!1`"</f>
        <v>#VALUE!</v>
      </c>
      <c r="GG4" t="e">
        <f>Sheet3!16:16-"$wK!1a"</f>
        <v>#VALUE!</v>
      </c>
      <c r="GH4" t="e">
        <f>Sheet3!17:17-"$wK!1b"</f>
        <v>#VALUE!</v>
      </c>
      <c r="GI4" t="e">
        <f>Sheet3!18:18-"$wK!1c"</f>
        <v>#VALUE!</v>
      </c>
      <c r="GJ4" t="e">
        <f>Sheet3!19:19-"$wK!1d"</f>
        <v>#VALUE!</v>
      </c>
      <c r="GK4" t="e">
        <f>Sheet3!20:20-"$wK!1e"</f>
        <v>#VALUE!</v>
      </c>
      <c r="GL4" t="e">
        <f>Sheet3!21:21-"$wK!1f"</f>
        <v>#VALUE!</v>
      </c>
      <c r="GM4" t="e">
        <f>Sheet3!22:22-"$wK!1g"</f>
        <v>#VALUE!</v>
      </c>
      <c r="GN4" t="e">
        <f>Sheet3!23:23-"$wK!1h"</f>
        <v>#VALUE!</v>
      </c>
      <c r="GO4" t="e">
        <f>Sheet3!24:24-"$wK!1i"</f>
        <v>#VALUE!</v>
      </c>
      <c r="GP4" t="e">
        <f>Sheet3!25:25-"$wK!1j"</f>
        <v>#VALUE!</v>
      </c>
      <c r="GQ4" t="e">
        <f>Sheet3!26:26-"$wK!1k"</f>
        <v>#VALUE!</v>
      </c>
      <c r="GR4" t="e">
        <f>Sheet3!27:27-"$wK!1l"</f>
        <v>#VALUE!</v>
      </c>
      <c r="GS4" t="e">
        <f>Sheet3!28:28-"$wK!1m"</f>
        <v>#VALUE!</v>
      </c>
      <c r="GT4" t="e">
        <f>Sheet3!29:29-"$wK!1n"</f>
        <v>#VALUE!</v>
      </c>
      <c r="GU4" t="e">
        <f>Sheet3!30:30-"$wK!1o"</f>
        <v>#VALUE!</v>
      </c>
      <c r="GV4" t="e">
        <f>Sheet3!31:31-"$wK!1p"</f>
        <v>#VALUE!</v>
      </c>
      <c r="GW4" t="e">
        <f>Sheet3!32:32-"$wK!1q"</f>
        <v>#VALUE!</v>
      </c>
      <c r="GX4" t="e">
        <f>Sheet3!33:33-"$wK!1r"</f>
        <v>#VALUE!</v>
      </c>
      <c r="GY4" t="e">
        <f>Sheet3!34:34-"$wK!1s"</f>
        <v>#VALUE!</v>
      </c>
      <c r="GZ4" t="e">
        <f>Sheet3!35:35-"$wK!1t"</f>
        <v>#VALUE!</v>
      </c>
      <c r="HA4" t="e">
        <f>Sheet3!36:36-"$wK!1u"</f>
        <v>#VALUE!</v>
      </c>
      <c r="HB4" t="e">
        <f>Sheet3!37:37-"$wK!1v"</f>
        <v>#VALUE!</v>
      </c>
      <c r="HC4" t="e">
        <f>Sheet3!38:38-"$wK!1w"</f>
        <v>#VALUE!</v>
      </c>
      <c r="HD4" t="e">
        <f>Sheet3!39:39-"$wK!1x"</f>
        <v>#VALUE!</v>
      </c>
      <c r="HE4" t="e">
        <f>Sheet3!40:40-"$wK!1y"</f>
        <v>#VALUE!</v>
      </c>
      <c r="HF4" t="e">
        <f>Sheet3!41:41-"$wK!1z"</f>
        <v>#VALUE!</v>
      </c>
      <c r="HG4" t="e">
        <f>Sheet3!42:42-"$wK!1{"</f>
        <v>#VALUE!</v>
      </c>
      <c r="HH4" t="e">
        <f>Sheet3!43:43-"$wK!1|"</f>
        <v>#VALUE!</v>
      </c>
      <c r="HI4" t="e">
        <f>Sheet3!44:44-"$wK!1}"</f>
        <v>#VALUE!</v>
      </c>
      <c r="HJ4" t="e">
        <f>Sheet3!45:45-"$wK!1~"</f>
        <v>#VALUE!</v>
      </c>
      <c r="HK4" t="e">
        <f>Sheet3!46:46-"$wK!2#"</f>
        <v>#VALUE!</v>
      </c>
      <c r="HL4" t="e">
        <f>Sheet3!47:47-"$wK!2$"</f>
        <v>#VALUE!</v>
      </c>
      <c r="HM4" t="e">
        <f>Sheet3!48:48-"$wK!2%"</f>
        <v>#VALUE!</v>
      </c>
      <c r="HN4" t="e">
        <f>Sheet3!49:49-"$wK!2&amp;"</f>
        <v>#VALUE!</v>
      </c>
      <c r="HO4" t="e">
        <f>Sheet3!50:50-"$wK!2'"</f>
        <v>#VALUE!</v>
      </c>
      <c r="HP4" t="e">
        <f>Sheet3!51:51-"$wK!2("</f>
        <v>#VALUE!</v>
      </c>
      <c r="HQ4" t="e">
        <f>Sheet3!52:52-"$wK!2)"</f>
        <v>#VALUE!</v>
      </c>
      <c r="HR4" t="e">
        <f>Sheet3!53:53-"$wK!2."</f>
        <v>#VALUE!</v>
      </c>
      <c r="HS4" t="e">
        <f>Sheet3!54:54-"$wK!2/"</f>
        <v>#VALUE!</v>
      </c>
      <c r="HT4" t="e">
        <f>Sheet3!55:55-"$wK!20"</f>
        <v>#VALUE!</v>
      </c>
      <c r="HU4" t="e">
        <f>Sheet3!56:56-"$wK!21"</f>
        <v>#VALUE!</v>
      </c>
      <c r="HV4" t="e">
        <f>Sheet3!57:57-"$wK!22"</f>
        <v>#VALUE!</v>
      </c>
      <c r="HW4" t="e">
        <f>Sheet3!58:58-"$wK!23"</f>
        <v>#VALUE!</v>
      </c>
      <c r="HX4" t="e">
        <f>Sheet3!59:59-"$wK!24"</f>
        <v>#VALUE!</v>
      </c>
      <c r="HY4" t="e">
        <f>Sheet3!60:60-"$wK!25"</f>
        <v>#VALUE!</v>
      </c>
      <c r="HZ4" t="e">
        <f>Sheet3!61:61-"$wK!26"</f>
        <v>#VALUE!</v>
      </c>
      <c r="IA4" t="e">
        <f>Sheet3!62:62-"$wK!27"</f>
        <v>#VALUE!</v>
      </c>
      <c r="IB4" t="e">
        <f>Sheet3!63:63-"$wK!28"</f>
        <v>#VALUE!</v>
      </c>
      <c r="IC4" t="e">
        <f>Sheet3!64:64-"$wK!29"</f>
        <v>#VALUE!</v>
      </c>
      <c r="ID4" t="e">
        <f>Sheet3!65:65-"$wK!2:"</f>
        <v>#VALUE!</v>
      </c>
      <c r="IE4" t="e">
        <f>Sheet3!66:66-"$wK!2;"</f>
        <v>#VALUE!</v>
      </c>
      <c r="IF4" t="e">
        <f>Sheet3!67:67-"$wK!2&lt;"</f>
        <v>#VALUE!</v>
      </c>
      <c r="IG4" t="e">
        <f>Sheet3!68:68-"$wK!2="</f>
        <v>#VALUE!</v>
      </c>
      <c r="IH4" t="e">
        <f>Sheet3!69:69-"$wK!2&gt;"</f>
        <v>#VALUE!</v>
      </c>
      <c r="II4" t="e">
        <f>Sheet3!70:70-"$wK!2?"</f>
        <v>#VALUE!</v>
      </c>
      <c r="IJ4" t="e">
        <f>Sheet3!71:71-"$wK!2@"</f>
        <v>#VALUE!</v>
      </c>
      <c r="IK4" t="e">
        <f>Sheet3!72:72-"$wK!2A"</f>
        <v>#VALUE!</v>
      </c>
      <c r="IL4" t="e">
        <f>Sheet3!73:73-"$wK!2B"</f>
        <v>#VALUE!</v>
      </c>
      <c r="IM4" t="e">
        <f>Sheet3!74:74-"$wK!2C"</f>
        <v>#VALUE!</v>
      </c>
      <c r="IN4" t="e">
        <f>Sheet3!75:75-"$wK!2D"</f>
        <v>#VALUE!</v>
      </c>
      <c r="IO4" t="e">
        <f>Sheet3!76:76-"$wK!2E"</f>
        <v>#VALUE!</v>
      </c>
      <c r="IP4" t="e">
        <f>Sheet3!77:77-"$wK!2F"</f>
        <v>#VALUE!</v>
      </c>
      <c r="IQ4" t="e">
        <f>Sheet3!78:78-"$wK!2G"</f>
        <v>#VALUE!</v>
      </c>
      <c r="IR4" t="e">
        <f>Sheet3!79:79-"$wK!2H"</f>
        <v>#VALUE!</v>
      </c>
      <c r="IS4" t="e">
        <f>Sheet3!80:80-"$wK!2I"</f>
        <v>#VALUE!</v>
      </c>
      <c r="IT4" t="e">
        <f>Sheet3!81:81-"$wK!2J"</f>
        <v>#VALUE!</v>
      </c>
      <c r="IU4" t="e">
        <f>Sheet3!82:82-"$wK!2K"</f>
        <v>#VALUE!</v>
      </c>
      <c r="IV4" t="e">
        <f>Sheet3!83:83-"$wK!2L"</f>
        <v>#VALUE!</v>
      </c>
    </row>
    <row r="5" spans="1:256" x14ac:dyDescent="0.25">
      <c r="A5" t="s">
        <v>139</v>
      </c>
      <c r="F5" t="e">
        <f>Sheet3!84:84-"$wK!2M"</f>
        <v>#VALUE!</v>
      </c>
      <c r="G5" t="e">
        <f>Sheet3!85:85-"$wK!2N"</f>
        <v>#VALUE!</v>
      </c>
      <c r="H5" t="e">
        <f>Sheet3!86:86-"$wK!2O"</f>
        <v>#VALUE!</v>
      </c>
      <c r="I5" t="e">
        <f>Sheet3!87:87-"$wK!2P"</f>
        <v>#VALUE!</v>
      </c>
      <c r="J5" t="e">
        <f>Sheet3!88:88-"$wK!2Q"</f>
        <v>#VALUE!</v>
      </c>
      <c r="K5" t="e">
        <f>Sheet3!89:89-"$wK!2R"</f>
        <v>#VALUE!</v>
      </c>
      <c r="L5" t="e">
        <f>Sheet3!90:90-"$wK!2S"</f>
        <v>#VALUE!</v>
      </c>
      <c r="M5" t="e">
        <f>Sheet3!91:91-"$wK!2T"</f>
        <v>#VALUE!</v>
      </c>
      <c r="N5" t="e">
        <f>Sheet3!92:92-"$wK!2U"</f>
        <v>#VALUE!</v>
      </c>
      <c r="O5" t="e">
        <f>Sheet3!93:93-"$wK!2V"</f>
        <v>#VALUE!</v>
      </c>
      <c r="P5" t="e">
        <f>Sheet3!94:94-"$wK!2W"</f>
        <v>#VALUE!</v>
      </c>
      <c r="Q5" t="e">
        <f>Sheet3!95:95-"$wK!2X"</f>
        <v>#VALUE!</v>
      </c>
      <c r="R5" t="e">
        <f>Sheet3!96:96-"$wK!2Y"</f>
        <v>#VALUE!</v>
      </c>
      <c r="S5" t="e">
        <f>Sheet3!97:97-"$wK!2Z"</f>
        <v>#VALUE!</v>
      </c>
      <c r="T5" t="e">
        <f>Sheet3!98:98-"$wK!2["</f>
        <v>#VALUE!</v>
      </c>
      <c r="U5" t="e">
        <f>Sheet3!99:99-"$wK!2\"</f>
        <v>#VALUE!</v>
      </c>
      <c r="V5" t="e">
        <f>Sheet3!100:100-"$wK!2]"</f>
        <v>#VALUE!</v>
      </c>
      <c r="W5" t="e">
        <f>Sheet3!101:101-"$wK!2^"</f>
        <v>#VALUE!</v>
      </c>
      <c r="X5" t="e">
        <f>Sheet3!102:102-"$wK!2_"</f>
        <v>#VALUE!</v>
      </c>
      <c r="Y5" t="e">
        <f>Sheet3!103:103-"$wK!2`"</f>
        <v>#VALUE!</v>
      </c>
      <c r="Z5" t="e">
        <f>Sheet3!104:104-"$wK!2a"</f>
        <v>#VALUE!</v>
      </c>
      <c r="AA5" t="e">
        <f>Sheet3!105:105-"$wK!2b"</f>
        <v>#VALUE!</v>
      </c>
      <c r="AB5" t="e">
        <f>Sheet3!106:106-"$wK!2c"</f>
        <v>#VALUE!</v>
      </c>
      <c r="AC5" t="e">
        <f>Sheet3!107:107-"$wK!2d"</f>
        <v>#VALUE!</v>
      </c>
      <c r="AD5" t="e">
        <f>Sheet3!108:108-"$wK!2e"</f>
        <v>#VALUE!</v>
      </c>
      <c r="AE5" t="e">
        <f>Sheet3!109:109-"$wK!2f"</f>
        <v>#VALUE!</v>
      </c>
      <c r="AF5" t="e">
        <f>Sheet3!110:110-"$wK!2g"</f>
        <v>#VALUE!</v>
      </c>
      <c r="AG5" t="e">
        <f>Sheet3!111:111-"$wK!2h"</f>
        <v>#VALUE!</v>
      </c>
      <c r="AH5" t="e">
        <f>Sheet3!112:112-"$wK!2i"</f>
        <v>#VALUE!</v>
      </c>
      <c r="AI5" t="e">
        <f>Sheet3!113:113-"$wK!2j"</f>
        <v>#VALUE!</v>
      </c>
      <c r="AJ5" t="e">
        <f>Sheet3!114:114-"$wK!2k"</f>
        <v>#VALUE!</v>
      </c>
      <c r="AK5" t="e">
        <f>Sheet3!115:115-"$wK!2l"</f>
        <v>#VALUE!</v>
      </c>
      <c r="AL5" t="e">
        <f>Sheet3!116:116-"$wK!2m"</f>
        <v>#VALUE!</v>
      </c>
      <c r="AM5" t="e">
        <f>Sheet3!117:117-"$wK!2n"</f>
        <v>#VALUE!</v>
      </c>
      <c r="AN5" t="e">
        <f>Sheet3!118:118-"$wK!2o"</f>
        <v>#VALUE!</v>
      </c>
      <c r="AO5" t="e">
        <f>Sheet3!119:119-"$wK!2p"</f>
        <v>#VALUE!</v>
      </c>
      <c r="AP5" t="e">
        <f>Sheet3!120:120-"$wK!2q"</f>
        <v>#VALUE!</v>
      </c>
      <c r="AQ5" t="e">
        <f>Sheet3!121:121-"$wK!2r"</f>
        <v>#VALUE!</v>
      </c>
      <c r="AR5" t="e">
        <f>Sheet3!122:122-"$wK!2s"</f>
        <v>#VALUE!</v>
      </c>
      <c r="AS5" t="e">
        <f>Sheet3!123:123-"$wK!2t"</f>
        <v>#VALUE!</v>
      </c>
      <c r="AT5" t="e">
        <f>Sheet3!124:124-"$wK!2u"</f>
        <v>#VALUE!</v>
      </c>
      <c r="AU5" t="e">
        <f>Sheet3!125:125-"$wK!2v"</f>
        <v>#VALUE!</v>
      </c>
      <c r="AV5" t="e">
        <f>Sheet3!126:126-"$wK!2w"</f>
        <v>#VALUE!</v>
      </c>
      <c r="AW5" t="e">
        <f>Sheet3!127:127-"$wK!2x"</f>
        <v>#VALUE!</v>
      </c>
      <c r="AX5" t="e">
        <f>Sheet3!128:128-"$wK!2y"</f>
        <v>#VALUE!</v>
      </c>
      <c r="AY5" t="e">
        <f>Sheet3!129:129-"$wK!2z"</f>
        <v>#VALUE!</v>
      </c>
      <c r="AZ5" t="e">
        <f>Sheet3!130:130-"$wK!2{"</f>
        <v>#VALUE!</v>
      </c>
      <c r="BA5" t="e">
        <f>Sheet3!131:131-"$wK!2|"</f>
        <v>#VALUE!</v>
      </c>
      <c r="BB5" t="e">
        <f>Sheet3!132:132-"$wK!2}"</f>
        <v>#VALUE!</v>
      </c>
      <c r="BC5" t="e">
        <f>Sheet3!133:133-"$wK!2~"</f>
        <v>#VALUE!</v>
      </c>
      <c r="BD5" t="e">
        <f>Sheet3!134:134-"$wK!3#"</f>
        <v>#VALUE!</v>
      </c>
      <c r="BE5" t="e">
        <f>Sheet3!135:135-"$wK!3$"</f>
        <v>#VALUE!</v>
      </c>
      <c r="BF5" t="e">
        <f>Sheet3!136:136-"$wK!3%"</f>
        <v>#VALUE!</v>
      </c>
      <c r="BG5" t="e">
        <f>Sheet3!137:137-"$wK!3&amp;"</f>
        <v>#VALUE!</v>
      </c>
      <c r="BH5" t="e">
        <f>Sheet3!138:138-"$wK!3'"</f>
        <v>#VALUE!</v>
      </c>
      <c r="BI5" t="e">
        <f>Sheet3!139:139-"$wK!3("</f>
        <v>#VALUE!</v>
      </c>
      <c r="BJ5" t="e">
        <f>Sheet3!140:140-"$wK!3)"</f>
        <v>#VALUE!</v>
      </c>
      <c r="BK5" t="e">
        <f>Sheet3!141:141-"$wK!3."</f>
        <v>#VALUE!</v>
      </c>
      <c r="BL5" t="e">
        <f>Sheet3!142:142-"$wK!3/"</f>
        <v>#VALUE!</v>
      </c>
      <c r="BM5" t="e">
        <f>Sheet3!143:143-"$wK!30"</f>
        <v>#VALUE!</v>
      </c>
      <c r="BN5" t="e">
        <f>Sheet3!144:144-"$wK!31"</f>
        <v>#VALUE!</v>
      </c>
      <c r="BO5" t="e">
        <f>Sheet3!145:145-"$wK!32"</f>
        <v>#VALUE!</v>
      </c>
      <c r="BP5" t="e">
        <f>Sheet3!146:146-"$wK!33"</f>
        <v>#VALUE!</v>
      </c>
      <c r="BQ5" t="e">
        <f>Sheet3!147:147-"$wK!34"</f>
        <v>#VALUE!</v>
      </c>
      <c r="BR5" t="e">
        <f>Sheet3!148:148-"$wK!35"</f>
        <v>#VALUE!</v>
      </c>
      <c r="BS5" t="e">
        <f>Sheet3!149:149-"$wK!36"</f>
        <v>#VALUE!</v>
      </c>
      <c r="BT5" t="e">
        <f>Sheet3!150:150-"$wK!37"</f>
        <v>#VALUE!</v>
      </c>
      <c r="BU5" t="e">
        <f>Sheet3!151:151-"$wK!38"</f>
        <v>#VALUE!</v>
      </c>
      <c r="BV5" t="e">
        <f>Sheet3!152:152-"$wK!39"</f>
        <v>#VALUE!</v>
      </c>
      <c r="BW5" t="e">
        <f>Sheet3!153:153-"$wK!3:"</f>
        <v>#VALUE!</v>
      </c>
      <c r="BX5" t="e">
        <f>Sheet3!154:154-"$wK!3;"</f>
        <v>#VALUE!</v>
      </c>
      <c r="BY5" t="e">
        <f>Sheet3!155:155-"$wK!3&lt;"</f>
        <v>#VALUE!</v>
      </c>
      <c r="BZ5" t="e">
        <f>Sheet3!156:156-"$wK!3="</f>
        <v>#VALUE!</v>
      </c>
      <c r="CA5" t="e">
        <f>Sheet3!157:157-"$wK!3&gt;"</f>
        <v>#VALUE!</v>
      </c>
      <c r="CB5" t="e">
        <f>Sheet3!158:158-"$wK!3?"</f>
        <v>#VALUE!</v>
      </c>
      <c r="CC5" t="e">
        <f>Sheet3!159:159-"$wK!3@"</f>
        <v>#VALUE!</v>
      </c>
      <c r="CD5" t="e">
        <f>Sheet3!160:160-"$wK!3A"</f>
        <v>#VALUE!</v>
      </c>
      <c r="CE5" t="e">
        <f>Sheet3!161:161-"$wK!3B"</f>
        <v>#VALUE!</v>
      </c>
      <c r="CF5" t="e">
        <f>Sheet3!162:162-"$wK!3C"</f>
        <v>#VALUE!</v>
      </c>
      <c r="CG5" t="e">
        <f>Sheet3!163:163-"$wK!3D"</f>
        <v>#VALUE!</v>
      </c>
      <c r="CH5" t="e">
        <f>Sheet3!164:164-"$wK!3E"</f>
        <v>#VALUE!</v>
      </c>
      <c r="CI5" t="e">
        <f>Sheet3!165:165-"$wK!3F"</f>
        <v>#VALUE!</v>
      </c>
      <c r="CJ5" t="e">
        <f>Sheet3!166:166-"$wK!3G"</f>
        <v>#VALUE!</v>
      </c>
      <c r="CK5" t="e">
        <f>Sheet3!167:167-"$wK!3H"</f>
        <v>#VALUE!</v>
      </c>
      <c r="CL5" t="e">
        <f>Sheet3!168:168-"$wK!3I"</f>
        <v>#VALUE!</v>
      </c>
      <c r="CM5" t="e">
        <f>Sheet3!169:169-"$wK!3J"</f>
        <v>#VALUE!</v>
      </c>
      <c r="CN5" t="e">
        <f>Sheet3!170:170-"$wK!3K"</f>
        <v>#VALUE!</v>
      </c>
      <c r="CO5" t="e">
        <f>Sheet3!171:171-"$wK!3L"</f>
        <v>#VALUE!</v>
      </c>
      <c r="CP5" t="e">
        <f>Sheet3!172:172-"$wK!3M"</f>
        <v>#VALUE!</v>
      </c>
      <c r="CQ5" t="e">
        <f>Sheet3!173:173-"$wK!3N"</f>
        <v>#VALUE!</v>
      </c>
      <c r="CR5" t="e">
        <f>Sheet3!174:174-"$wK!3O"</f>
        <v>#VALUE!</v>
      </c>
      <c r="CS5" t="e">
        <f>Sheet3!175:175-"$wK!3P"</f>
        <v>#VALUE!</v>
      </c>
      <c r="CT5" t="e">
        <f>Sheet3!176:176-"$wK!3Q"</f>
        <v>#VALUE!</v>
      </c>
      <c r="CU5" t="e">
        <f>Sheet3!177:177-"$wK!3R"</f>
        <v>#VALUE!</v>
      </c>
      <c r="CV5" t="e">
        <f>Sheet3!178:178-"$wK!3S"</f>
        <v>#VALUE!</v>
      </c>
      <c r="CW5" t="e">
        <f>Sheet3!179:179-"$wK!3T"</f>
        <v>#VALUE!</v>
      </c>
      <c r="CX5" t="e">
        <f>Sheet3!180:180-"$wK!3U"</f>
        <v>#VALUE!</v>
      </c>
      <c r="CY5" t="e">
        <f>Sheet3!181:181-"$wK!3V"</f>
        <v>#VALUE!</v>
      </c>
      <c r="CZ5" t="e">
        <f>Sheet3!182:182-"$wK!3W"</f>
        <v>#VALUE!</v>
      </c>
      <c r="DA5" t="e">
        <f>Sheet3!183:183-"$wK!3X"</f>
        <v>#VALUE!</v>
      </c>
      <c r="DB5" t="e">
        <f>Sheet3!184:184-"$wK!3Y"</f>
        <v>#VALUE!</v>
      </c>
      <c r="DC5" t="e">
        <f>Sheet3!185:185-"$wK!3Z"</f>
        <v>#VALUE!</v>
      </c>
      <c r="DD5" t="e">
        <f>Sheet3!186:186-"$wK!3["</f>
        <v>#VALUE!</v>
      </c>
      <c r="DE5" t="e">
        <f>Sheet3!187:187-"$wK!3\"</f>
        <v>#VALUE!</v>
      </c>
      <c r="DF5" t="e">
        <f>Sheet3!188:188-"$wK!3]"</f>
        <v>#VALUE!</v>
      </c>
      <c r="DG5" t="e">
        <f>Sheet3!189:189-"$wK!3^"</f>
        <v>#VALUE!</v>
      </c>
      <c r="DH5" t="e">
        <f>Sheet3!190:190-"$wK!3_"</f>
        <v>#VALUE!</v>
      </c>
      <c r="DI5" t="e">
        <f>Sheet3!191:191-"$wK!3`"</f>
        <v>#VALUE!</v>
      </c>
      <c r="DJ5" t="e">
        <f>Sheet3!192:192-"$wK!3a"</f>
        <v>#VALUE!</v>
      </c>
      <c r="DK5" t="e">
        <f>Sheet3!193:193-"$wK!3b"</f>
        <v>#VALUE!</v>
      </c>
      <c r="DL5" t="e">
        <f>Sheet3!194:194-"$wK!3c"</f>
        <v>#VALUE!</v>
      </c>
      <c r="DM5" t="e">
        <f>Sheet3!195:195-"$wK!3d"</f>
        <v>#VALUE!</v>
      </c>
      <c r="DN5" t="e">
        <f>Sheet3!196:196-"$wK!3e"</f>
        <v>#VALUE!</v>
      </c>
      <c r="DO5" t="e">
        <f>Sheet3!197:197-"$wK!3f"</f>
        <v>#VALUE!</v>
      </c>
      <c r="DP5" t="e">
        <f>Sheet3!198:198-"$wK!3g"</f>
        <v>#VALUE!</v>
      </c>
      <c r="DQ5" t="e">
        <f>Sheet3!199:199-"$wK!3h"</f>
        <v>#VALUE!</v>
      </c>
      <c r="DR5" t="e">
        <f>Sheet3!200:200-"$wK!3i"</f>
        <v>#VALUE!</v>
      </c>
      <c r="DS5" t="e">
        <f>Sheet3!201:201-"$wK!3j"</f>
        <v>#VALUE!</v>
      </c>
      <c r="DT5" t="e">
        <f>India!AZ:AZ*"$K%t!%"</f>
        <v>#VALUE!</v>
      </c>
      <c r="DU5" t="e">
        <f>India!BA:BA*"$K%t!&amp;"</f>
        <v>#VALUE!</v>
      </c>
      <c r="DV5" t="e">
        <f>India!BB:BB*"$K%t!'"</f>
        <v>#VALUE!</v>
      </c>
      <c r="DW5" t="e">
        <f>India!BC:BC*"$K%t!("</f>
        <v>#VALUE!</v>
      </c>
      <c r="DX5" t="e">
        <f>India!BD:BD*"$K%t!)"</f>
        <v>#VALUE!</v>
      </c>
      <c r="DY5" t="e">
        <f>India!BE:BE*"$K%t!."</f>
        <v>#VALUE!</v>
      </c>
      <c r="DZ5" t="e">
        <f>India!BF:BF*"$K%t!/"</f>
        <v>#VALUE!</v>
      </c>
      <c r="EA5" t="e">
        <f>India!BG:BG*"$K%t!0"</f>
        <v>#VALUE!</v>
      </c>
      <c r="EB5" t="e">
        <f>India!BH:BH*"$K%t!1"</f>
        <v>#VALUE!</v>
      </c>
      <c r="EC5" t="e">
        <f>India!BI:BI*"$K%t!2"</f>
        <v>#VALUE!</v>
      </c>
      <c r="ED5" t="e">
        <f>India!BJ:BJ*"$K%t!3"</f>
        <v>#VALUE!</v>
      </c>
      <c r="EE5" t="e">
        <f>India!BK:BK*"$K%t!4"</f>
        <v>#VALUE!</v>
      </c>
      <c r="EF5" t="e">
        <f>India!BL:BL*"$K%t!5"</f>
        <v>#VALUE!</v>
      </c>
      <c r="EG5" t="e">
        <f>India!BM:BM*"$K%t!6"</f>
        <v>#VALUE!</v>
      </c>
      <c r="EH5" t="e">
        <f>India!BN:BN*"$K%t!7"</f>
        <v>#VALUE!</v>
      </c>
      <c r="EI5" t="e">
        <f>India!BO:BO*"$K%t!8"</f>
        <v>#VALUE!</v>
      </c>
      <c r="EJ5" t="e">
        <f>India!BP:BP*"$K%t!9"</f>
        <v>#VALUE!</v>
      </c>
      <c r="EK5" t="e">
        <f>India!BQ:BQ*"$K%t!:"</f>
        <v>#VALUE!</v>
      </c>
      <c r="EL5" t="e">
        <f>India!BR:BR*"$K%t!;"</f>
        <v>#VALUE!</v>
      </c>
      <c r="EM5" t="e">
        <f>India!BS:BS*"$K%t!&lt;"</f>
        <v>#VALUE!</v>
      </c>
      <c r="EN5" t="e">
        <f>India!BT:BT*"$K%t!="</f>
        <v>#VALUE!</v>
      </c>
      <c r="EO5" t="e">
        <f>India!BU:BU*"$K%t!&gt;"</f>
        <v>#VALUE!</v>
      </c>
      <c r="EP5" t="e">
        <f>India!BV:BV*"$K%t!?"</f>
        <v>#VALUE!</v>
      </c>
      <c r="EQ5" t="e">
        <f>India!BW:BW*"$K%t!@"</f>
        <v>#VALUE!</v>
      </c>
      <c r="ER5" t="e">
        <f>India!BX:BX*"$K%t!A"</f>
        <v>#VALUE!</v>
      </c>
      <c r="ES5" t="e">
        <f>India!BY:BY*"$K%t!B"</f>
        <v>#VALUE!</v>
      </c>
      <c r="ET5" t="e">
        <f>India!BZ:BZ*"$K%t!C"</f>
        <v>#VALUE!</v>
      </c>
      <c r="EU5" t="e">
        <f>India!CA:CA*"$K%t!D"</f>
        <v>#VALUE!</v>
      </c>
      <c r="EV5" t="e">
        <f>India!CB:CB*"$K%t!E"</f>
        <v>#VALUE!</v>
      </c>
      <c r="EW5" t="e">
        <f>India!CC:CC*"$K%t!F"</f>
        <v>#VALUE!</v>
      </c>
      <c r="EX5" t="e">
        <f>India!CD:CD*"$K%t!G"</f>
        <v>#VALUE!</v>
      </c>
      <c r="EY5" t="e">
        <f>India!CE:CE*"$K%t!H"</f>
        <v>#VALUE!</v>
      </c>
      <c r="EZ5" t="e">
        <f>India!CF:CF*"$K%t!I"</f>
        <v>#VALUE!</v>
      </c>
      <c r="FA5" t="e">
        <f>India!CG:CG*"$K%t!J"</f>
        <v>#VALUE!</v>
      </c>
      <c r="FB5" t="e">
        <f>India!CH:CH*"$K%t!K"</f>
        <v>#VALUE!</v>
      </c>
      <c r="FC5" t="e">
        <f>India!CI:CI*"$K%t!L"</f>
        <v>#VALUE!</v>
      </c>
      <c r="FD5" t="e">
        <f>India!CJ:CJ*"$K%t!M"</f>
        <v>#VALUE!</v>
      </c>
      <c r="FE5" t="e">
        <f>India!CK:CK*"$K%t!N"</f>
        <v>#VALUE!</v>
      </c>
      <c r="FF5" t="e">
        <f>India!CL:CL*"$K%t!O"</f>
        <v>#VALUE!</v>
      </c>
      <c r="FG5" t="e">
        <f>India!CM:CM*"$K%t!P"</f>
        <v>#VALUE!</v>
      </c>
      <c r="FH5" t="e">
        <f>India!CN:CN*"$K%t!Q"</f>
        <v>#VALUE!</v>
      </c>
      <c r="FI5" t="e">
        <f>India!202:202-"$K%t!R"</f>
        <v>#VALUE!</v>
      </c>
      <c r="FJ5" t="e">
        <f>India!203:203-"$K%t!S"</f>
        <v>#VALUE!</v>
      </c>
      <c r="FK5" t="e">
        <f>India!204:204-"$K%t!T"</f>
        <v>#VALUE!</v>
      </c>
      <c r="FL5" t="e">
        <f>India!205:205-"$K%t!U"</f>
        <v>#VALUE!</v>
      </c>
      <c r="FM5" t="e">
        <f>India!206:206-"$K%t!V"</f>
        <v>#VALUE!</v>
      </c>
      <c r="FN5" t="e">
        <f>India!207:207-"$K%t!W"</f>
        <v>#VALUE!</v>
      </c>
      <c r="FO5" t="e">
        <f>India!208:208-"$K%t!X"</f>
        <v>#VALUE!</v>
      </c>
      <c r="FP5" t="e">
        <f>India!209:209-"$K%t!Y"</f>
        <v>#VALUE!</v>
      </c>
      <c r="FQ5" t="e">
        <f>India!210:210-"$K%t!Z"</f>
        <v>#VALUE!</v>
      </c>
      <c r="FR5" t="e">
        <f>India!211:211-"$K%t!["</f>
        <v>#VALUE!</v>
      </c>
      <c r="FS5" t="e">
        <f>India!212:212-"$K%t!\"</f>
        <v>#VALUE!</v>
      </c>
      <c r="FT5" t="e">
        <f>India!213:213-"$K%t!]"</f>
        <v>#VALUE!</v>
      </c>
      <c r="FU5" t="e">
        <f>India!214:214-"$K%t!^"</f>
        <v>#VALUE!</v>
      </c>
      <c r="FV5" t="e">
        <f>India!215:215-"$K%t!_"</f>
        <v>#VALUE!</v>
      </c>
      <c r="FW5" t="e">
        <f>India!216:216-"$K%t!`"</f>
        <v>#VALUE!</v>
      </c>
      <c r="FX5" t="e">
        <f>India!217:217-"$K%t!a"</f>
        <v>#VALUE!</v>
      </c>
      <c r="FY5" t="e">
        <f>India!218:218-"$K%t!b"</f>
        <v>#VALUE!</v>
      </c>
      <c r="FZ5" t="e">
        <f>India!219:219-"$K%t!c"</f>
        <v>#VALUE!</v>
      </c>
      <c r="GA5" t="e">
        <f>India!220:220-"$K%t!d"</f>
        <v>#VALUE!</v>
      </c>
      <c r="GB5" t="e">
        <f>India!221:221-"$K%t!e"</f>
        <v>#VALUE!</v>
      </c>
      <c r="GC5" t="e">
        <f>India!222:222-"$K%t!f"</f>
        <v>#VALUE!</v>
      </c>
      <c r="GD5" t="e">
        <f>India!223:223-"$K%t!g"</f>
        <v>#VALUE!</v>
      </c>
      <c r="GE5" t="e">
        <f>India!224:224-"$K%t!h"</f>
        <v>#VALUE!</v>
      </c>
      <c r="GF5" t="e">
        <f>India!225:225-"$K%t!i"</f>
        <v>#VALUE!</v>
      </c>
      <c r="GG5" t="e">
        <f>India!226:226-"$K%t!j"</f>
        <v>#VALUE!</v>
      </c>
      <c r="GH5" t="e">
        <f>India!227:227-"$K%t!k"</f>
        <v>#VALUE!</v>
      </c>
      <c r="GI5" t="e">
        <f>India!228:228-"$K%t!l"</f>
        <v>#VALUE!</v>
      </c>
      <c r="GJ5" t="e">
        <f>India!229:229-"$K%t!m"</f>
        <v>#VALUE!</v>
      </c>
      <c r="GK5" t="e">
        <f>India!230:230-"$K%t!n"</f>
        <v>#VALUE!</v>
      </c>
      <c r="GL5" t="e">
        <f>India!231:231-"$K%t!o"</f>
        <v>#VALUE!</v>
      </c>
      <c r="GM5" t="e">
        <f>India!232:232-"$K%t!p"</f>
        <v>#VALUE!</v>
      </c>
      <c r="GN5" t="e">
        <f>India!233:233-"$K%t!q"</f>
        <v>#VALUE!</v>
      </c>
      <c r="GO5" t="e">
        <f>India!234:234-"$K%t!r"</f>
        <v>#VALUE!</v>
      </c>
      <c r="GP5" t="e">
        <f>India!235:235-"$K%t!s"</f>
        <v>#VALUE!</v>
      </c>
      <c r="GQ5" t="e">
        <f>India!236:236-"$K%t!t"</f>
        <v>#VALUE!</v>
      </c>
      <c r="GR5" t="e">
        <f>India!237:237-"$K%t!u"</f>
        <v>#VALUE!</v>
      </c>
      <c r="GS5" t="e">
        <f>India!238:238-"$K%t!v"</f>
        <v>#VALUE!</v>
      </c>
      <c r="GT5" t="e">
        <f>India!239:239-"$K%t!w"</f>
        <v>#VALUE!</v>
      </c>
      <c r="GU5" t="e">
        <f>India!240:240-"$K%t!x"</f>
        <v>#VALUE!</v>
      </c>
      <c r="GV5" t="e">
        <f>India!A1+"$K%t!y"</f>
        <v>#VALUE!</v>
      </c>
      <c r="GW5" t="e">
        <f>India!B1+"$K%t!z"</f>
        <v>#VALUE!</v>
      </c>
      <c r="GX5" t="e">
        <f>India!C1+"$K%t!{"</f>
        <v>#VALUE!</v>
      </c>
      <c r="GY5" t="e">
        <f>India!D1+"$K%t!|"</f>
        <v>#VALUE!</v>
      </c>
      <c r="GZ5" t="e">
        <f>India!E1+"$K%t!}"</f>
        <v>#VALUE!</v>
      </c>
      <c r="HA5" t="e">
        <f>India!F1+"$K%t!~"</f>
        <v>#VALUE!</v>
      </c>
      <c r="HB5" t="e">
        <f>India!G1+"$K%t!$#"</f>
        <v>#VALUE!</v>
      </c>
      <c r="HC5" t="e">
        <f>India!H1+"$K%t!$$"</f>
        <v>#VALUE!</v>
      </c>
      <c r="HD5" t="e">
        <f>India!I1+"$K%t!$%"</f>
        <v>#VALUE!</v>
      </c>
      <c r="HE5" t="e">
        <f>India!J1+"$K%t!$&amp;"</f>
        <v>#VALUE!</v>
      </c>
      <c r="HF5" t="e">
        <f>India!K1+"$K%t!$'"</f>
        <v>#VALUE!</v>
      </c>
      <c r="HG5" t="e">
        <f>India!L1+"$K%t!$("</f>
        <v>#VALUE!</v>
      </c>
      <c r="HH5" t="e">
        <f>India!M1+"$K%t!$)"</f>
        <v>#VALUE!</v>
      </c>
      <c r="HI5" t="e">
        <f>India!N1+"$K%t!$."</f>
        <v>#VALUE!</v>
      </c>
      <c r="HJ5" t="e">
        <f>India!O1+"$K%t!$/"</f>
        <v>#VALUE!</v>
      </c>
      <c r="HK5" t="e">
        <f>India!P1+"$K%t!$0"</f>
        <v>#VALUE!</v>
      </c>
      <c r="HL5" t="e">
        <f>India!Q1+"$K%t!$1"</f>
        <v>#VALUE!</v>
      </c>
      <c r="HM5" t="e">
        <f>India!R1+"$K%t!$2"</f>
        <v>#VALUE!</v>
      </c>
      <c r="HN5" t="e">
        <f>India!S1+"$K%t!$3"</f>
        <v>#VALUE!</v>
      </c>
      <c r="HO5" t="e">
        <f>India!T1+"$K%t!$4"</f>
        <v>#VALUE!</v>
      </c>
      <c r="HP5" t="e">
        <f>India!U1+"$K%t!$5"</f>
        <v>#VALUE!</v>
      </c>
      <c r="HQ5" t="e">
        <f>India!V1+"$K%t!$6"</f>
        <v>#VALUE!</v>
      </c>
      <c r="HR5" t="e">
        <f>India!W1+"$K%t!$7"</f>
        <v>#VALUE!</v>
      </c>
      <c r="HS5" t="e">
        <f>India!X1+"$K%t!$8"</f>
        <v>#VALUE!</v>
      </c>
      <c r="HT5" t="e">
        <f>India!Y1+"$K%t!$9"</f>
        <v>#VALUE!</v>
      </c>
      <c r="HU5" t="e">
        <f>India!Z1+"$K%t!$:"</f>
        <v>#VALUE!</v>
      </c>
      <c r="HV5" t="e">
        <f>India!AA1+"$K%t!$;"</f>
        <v>#VALUE!</v>
      </c>
      <c r="HW5" t="e">
        <f>India!AB1+"$K%t!$&lt;"</f>
        <v>#VALUE!</v>
      </c>
      <c r="HX5" t="e">
        <f>India!AC1+"$K%t!$="</f>
        <v>#VALUE!</v>
      </c>
      <c r="HY5" t="e">
        <f>India!AD1+"$K%t!$&gt;"</f>
        <v>#VALUE!</v>
      </c>
      <c r="HZ5" t="e">
        <f>India!AE1+"$K%t!$?"</f>
        <v>#VALUE!</v>
      </c>
      <c r="IA5" t="e">
        <f>India!AF1+"$K%t!$@"</f>
        <v>#VALUE!</v>
      </c>
      <c r="IB5" t="e">
        <f>India!AG1+"$K%t!$A"</f>
        <v>#VALUE!</v>
      </c>
      <c r="IC5" t="e">
        <f>India!AH1+"$K%t!$B"</f>
        <v>#VALUE!</v>
      </c>
      <c r="ID5" t="e">
        <f>India!AI1+"$K%t!$C"</f>
        <v>#VALUE!</v>
      </c>
      <c r="IE5" t="e">
        <f>India!AJ1+"$K%t!$D"</f>
        <v>#VALUE!</v>
      </c>
      <c r="IF5" t="e">
        <f>India!AK1+"$K%t!$E"</f>
        <v>#VALUE!</v>
      </c>
      <c r="IG5" t="e">
        <f>India!AL1+"$K%t!$F"</f>
        <v>#VALUE!</v>
      </c>
      <c r="IH5" t="e">
        <f>India!AM1+"$K%t!$G"</f>
        <v>#VALUE!</v>
      </c>
      <c r="II5" t="e">
        <f>India!AN1+"$K%t!$H"</f>
        <v>#VALUE!</v>
      </c>
      <c r="IJ5" t="e">
        <f>India!AO1+"$K%t!$I"</f>
        <v>#VALUE!</v>
      </c>
      <c r="IK5" t="e">
        <f>India!AP1+"$K%t!$J"</f>
        <v>#VALUE!</v>
      </c>
      <c r="IL5" t="e">
        <f>India!A2+"$K%t!$K"</f>
        <v>#VALUE!</v>
      </c>
      <c r="IM5" t="e">
        <f>India!B2+"$K%t!$L"</f>
        <v>#VALUE!</v>
      </c>
      <c r="IN5" t="e">
        <f>India!C2+"$K%t!$M"</f>
        <v>#VALUE!</v>
      </c>
      <c r="IO5" t="e">
        <f>India!D2+"$K%t!$N"</f>
        <v>#VALUE!</v>
      </c>
      <c r="IP5" t="e">
        <f>India!E2+"$K%t!$O"</f>
        <v>#VALUE!</v>
      </c>
      <c r="IQ5" t="e">
        <f>India!F2+"$K%t!$P"</f>
        <v>#VALUE!</v>
      </c>
      <c r="IR5" t="e">
        <f>India!G2+"$K%t!$Q"</f>
        <v>#VALUE!</v>
      </c>
      <c r="IS5" t="e">
        <f>India!H2+"$K%t!$R"</f>
        <v>#VALUE!</v>
      </c>
      <c r="IT5" t="e">
        <f>India!I2+"$K%t!$S"</f>
        <v>#VALUE!</v>
      </c>
      <c r="IU5" t="e">
        <f>India!J2+"$K%t!$T"</f>
        <v>#VALUE!</v>
      </c>
      <c r="IV5" t="e">
        <f>India!K2+"$K%t!$U"</f>
        <v>#VALUE!</v>
      </c>
    </row>
    <row r="6" spans="1:256" x14ac:dyDescent="0.25">
      <c r="F6" t="e">
        <f>India!L2+"$K%t!$V"</f>
        <v>#VALUE!</v>
      </c>
      <c r="G6" t="e">
        <f>India!M2+"$K%t!$W"</f>
        <v>#VALUE!</v>
      </c>
      <c r="H6" t="e">
        <f>India!N2+"$K%t!$X"</f>
        <v>#VALUE!</v>
      </c>
      <c r="I6" t="e">
        <f>India!O2+"$K%t!$Y"</f>
        <v>#VALUE!</v>
      </c>
      <c r="J6" t="e">
        <f>India!P2+"$K%t!$Z"</f>
        <v>#VALUE!</v>
      </c>
      <c r="K6" t="e">
        <f>India!Q2+"$K%t!$["</f>
        <v>#VALUE!</v>
      </c>
      <c r="L6" t="e">
        <f>India!R2+"$K%t!$\"</f>
        <v>#VALUE!</v>
      </c>
      <c r="M6" t="e">
        <f>India!S2+"$K%t!$]"</f>
        <v>#VALUE!</v>
      </c>
      <c r="N6" t="e">
        <f>India!T2+"$K%t!$^"</f>
        <v>#VALUE!</v>
      </c>
      <c r="O6" t="e">
        <f>India!U2+"$K%t!$_"</f>
        <v>#VALUE!</v>
      </c>
      <c r="P6" t="e">
        <f>India!V2+"$K%t!$`"</f>
        <v>#VALUE!</v>
      </c>
      <c r="Q6" t="e">
        <f>India!W2+"$K%t!$a"</f>
        <v>#VALUE!</v>
      </c>
      <c r="R6" t="e">
        <f>India!X2+"$K%t!$b"</f>
        <v>#VALUE!</v>
      </c>
      <c r="S6" t="e">
        <f>India!Y2+"$K%t!$c"</f>
        <v>#VALUE!</v>
      </c>
      <c r="T6" t="e">
        <f>India!Z2+"$K%t!$d"</f>
        <v>#VALUE!</v>
      </c>
      <c r="U6" t="e">
        <f>India!AA2+"$K%t!$e"</f>
        <v>#VALUE!</v>
      </c>
      <c r="V6" t="e">
        <f>India!AB2+"$K%t!$f"</f>
        <v>#VALUE!</v>
      </c>
      <c r="W6" t="e">
        <f>India!AC2+"$K%t!$g"</f>
        <v>#VALUE!</v>
      </c>
      <c r="X6" t="e">
        <f>India!AD2+"$K%t!$h"</f>
        <v>#VALUE!</v>
      </c>
      <c r="Y6" t="e">
        <f>India!AE2+"$K%t!$i"</f>
        <v>#VALUE!</v>
      </c>
      <c r="Z6" t="e">
        <f>India!AF2+"$K%t!$j"</f>
        <v>#VALUE!</v>
      </c>
      <c r="AA6" t="e">
        <f>India!AG2+"$K%t!$k"</f>
        <v>#VALUE!</v>
      </c>
      <c r="AB6" t="e">
        <f>India!AH2+"$K%t!$l"</f>
        <v>#VALUE!</v>
      </c>
      <c r="AC6" t="e">
        <f>India!AI2+"$K%t!$m"</f>
        <v>#VALUE!</v>
      </c>
      <c r="AD6" t="e">
        <f>India!AJ2+"$K%t!$n"</f>
        <v>#VALUE!</v>
      </c>
      <c r="AE6" t="e">
        <f>India!AK2+"$K%t!$o"</f>
        <v>#VALUE!</v>
      </c>
      <c r="AF6" t="e">
        <f>India!AL2+"$K%t!$p"</f>
        <v>#VALUE!</v>
      </c>
      <c r="AG6" t="e">
        <f>India!AM2+"$K%t!$q"</f>
        <v>#VALUE!</v>
      </c>
      <c r="AH6" t="e">
        <f>India!AN2+"$K%t!$r"</f>
        <v>#VALUE!</v>
      </c>
      <c r="AI6" t="e">
        <f>India!AO2+"$K%t!$s"</f>
        <v>#VALUE!</v>
      </c>
      <c r="AJ6" t="e">
        <f>India!A3+"$K%t!$t"</f>
        <v>#VALUE!</v>
      </c>
      <c r="AK6" t="e">
        <f>India!B3+"$K%t!$u"</f>
        <v>#VALUE!</v>
      </c>
      <c r="AL6" t="e">
        <f>India!C3+"$K%t!$v"</f>
        <v>#VALUE!</v>
      </c>
      <c r="AM6" t="e">
        <f>India!D3+"$K%t!$w"</f>
        <v>#VALUE!</v>
      </c>
      <c r="AN6" t="e">
        <f>India!E3+"$K%t!$x"</f>
        <v>#VALUE!</v>
      </c>
      <c r="AO6" t="e">
        <f>India!F3+"$K%t!$y"</f>
        <v>#VALUE!</v>
      </c>
      <c r="AP6" t="e">
        <f>India!G3+"$K%t!$z"</f>
        <v>#VALUE!</v>
      </c>
      <c r="AQ6" t="e">
        <f>India!H3+"$K%t!${"</f>
        <v>#VALUE!</v>
      </c>
      <c r="AR6" t="e">
        <f>India!I3+"$K%t!$|"</f>
        <v>#VALUE!</v>
      </c>
      <c r="AS6" t="e">
        <f>India!J3+"$K%t!$}"</f>
        <v>#VALUE!</v>
      </c>
      <c r="AT6" t="e">
        <f>India!K3+"$K%t!$~"</f>
        <v>#VALUE!</v>
      </c>
      <c r="AU6" t="e">
        <f>India!L3+"$K%t!%#"</f>
        <v>#VALUE!</v>
      </c>
      <c r="AV6" t="e">
        <f>India!M3+"$K%t!%$"</f>
        <v>#VALUE!</v>
      </c>
      <c r="AW6" t="e">
        <f>India!N3+"$K%t!%%"</f>
        <v>#VALUE!</v>
      </c>
      <c r="AX6" t="e">
        <f>India!O3+"$K%t!%&amp;"</f>
        <v>#VALUE!</v>
      </c>
      <c r="AY6" t="e">
        <f>India!P3+"$K%t!%'"</f>
        <v>#VALUE!</v>
      </c>
      <c r="AZ6" t="e">
        <f>India!Q3+"$K%t!%("</f>
        <v>#VALUE!</v>
      </c>
      <c r="BA6" t="e">
        <f>India!R3+"$K%t!%)"</f>
        <v>#VALUE!</v>
      </c>
      <c r="BB6" t="e">
        <f>India!S3+"$K%t!%."</f>
        <v>#VALUE!</v>
      </c>
      <c r="BC6" t="e">
        <f>India!T3+"$K%t!%/"</f>
        <v>#VALUE!</v>
      </c>
      <c r="BD6" t="e">
        <f>India!U3+"$K%t!%0"</f>
        <v>#VALUE!</v>
      </c>
      <c r="BE6" t="e">
        <f>India!V3+"$K%t!%1"</f>
        <v>#VALUE!</v>
      </c>
      <c r="BF6" t="e">
        <f>India!W3+"$K%t!%2"</f>
        <v>#VALUE!</v>
      </c>
      <c r="BG6" t="e">
        <f>India!X3+"$K%t!%3"</f>
        <v>#VALUE!</v>
      </c>
      <c r="BH6" t="e">
        <f>India!Y3+"$K%t!%4"</f>
        <v>#VALUE!</v>
      </c>
      <c r="BI6" t="e">
        <f>India!Z3+"$K%t!%5"</f>
        <v>#VALUE!</v>
      </c>
      <c r="BJ6" t="e">
        <f>India!AA3+"$K%t!%6"</f>
        <v>#VALUE!</v>
      </c>
      <c r="BK6" t="e">
        <f>India!AB3+"$K%t!%7"</f>
        <v>#VALUE!</v>
      </c>
      <c r="BL6" t="e">
        <f>India!AC3+"$K%t!%8"</f>
        <v>#VALUE!</v>
      </c>
      <c r="BM6" t="e">
        <f>India!AD3+"$K%t!%9"</f>
        <v>#VALUE!</v>
      </c>
      <c r="BN6" t="e">
        <f>India!AE3+"$K%t!%:"</f>
        <v>#VALUE!</v>
      </c>
      <c r="BO6" t="e">
        <f>India!AF3+"$K%t!%;"</f>
        <v>#VALUE!</v>
      </c>
      <c r="BP6" t="e">
        <f>India!AG3+"$K%t!%&lt;"</f>
        <v>#VALUE!</v>
      </c>
      <c r="BQ6" t="e">
        <f>India!AH3+"$K%t!%="</f>
        <v>#VALUE!</v>
      </c>
      <c r="BR6" t="e">
        <f>India!AI3+"$K%t!%&gt;"</f>
        <v>#VALUE!</v>
      </c>
      <c r="BS6" t="e">
        <f>India!AJ3+"$K%t!%?"</f>
        <v>#VALUE!</v>
      </c>
      <c r="BT6" t="e">
        <f>India!AK3+"$K%t!%@"</f>
        <v>#VALUE!</v>
      </c>
      <c r="BU6" t="e">
        <f>India!AL3+"$K%t!%A"</f>
        <v>#VALUE!</v>
      </c>
      <c r="BV6" t="e">
        <f>India!AM3+"$K%t!%B"</f>
        <v>#VALUE!</v>
      </c>
      <c r="BW6" t="e">
        <f>India!AN3+"$K%t!%C"</f>
        <v>#VALUE!</v>
      </c>
      <c r="BX6" t="e">
        <f>India!A4+"$K%t!%D"</f>
        <v>#VALUE!</v>
      </c>
      <c r="BY6" t="e">
        <f>India!B4+"$K%t!%E"</f>
        <v>#VALUE!</v>
      </c>
      <c r="BZ6" t="e">
        <f>India!C4+"$K%t!%F"</f>
        <v>#VALUE!</v>
      </c>
      <c r="CA6" t="e">
        <f>India!D4+"$K%t!%G"</f>
        <v>#VALUE!</v>
      </c>
      <c r="CB6" t="e">
        <f>India!E4+"$K%t!%H"</f>
        <v>#VALUE!</v>
      </c>
      <c r="CC6" t="e">
        <f>India!F4+"$K%t!%I"</f>
        <v>#VALUE!</v>
      </c>
      <c r="CD6" t="e">
        <f>India!G4+"$K%t!%J"</f>
        <v>#VALUE!</v>
      </c>
      <c r="CE6" t="e">
        <f>India!H4+"$K%t!%K"</f>
        <v>#VALUE!</v>
      </c>
      <c r="CF6" t="e">
        <f>India!A5+"$K%t!%L"</f>
        <v>#VALUE!</v>
      </c>
      <c r="CG6" t="e">
        <f>India!B5+"$K%t!%M"</f>
        <v>#VALUE!</v>
      </c>
      <c r="CH6" t="e">
        <f>India!C5+"$K%t!%N"</f>
        <v>#VALUE!</v>
      </c>
      <c r="CI6" t="e">
        <f>India!D5+"$K%t!%O"</f>
        <v>#VALUE!</v>
      </c>
      <c r="CJ6" t="e">
        <f>India!E5+"$K%t!%P"</f>
        <v>#VALUE!</v>
      </c>
      <c r="CK6" t="e">
        <f>India!F5+"$K%t!%Q"</f>
        <v>#VALUE!</v>
      </c>
      <c r="CL6" t="e">
        <f>India!G5+"$K%t!%R"</f>
        <v>#VALUE!</v>
      </c>
      <c r="CM6" t="e">
        <f>India!H5+"$K%t!%S"</f>
        <v>#VALUE!</v>
      </c>
      <c r="CN6" t="e">
        <f>India!I5+"$K%t!%T"</f>
        <v>#VALUE!</v>
      </c>
      <c r="CO6" t="e">
        <f>India!J5+"$K%t!%U"</f>
        <v>#VALUE!</v>
      </c>
      <c r="CP6" t="e">
        <f>India!K5+"$K%t!%V"</f>
        <v>#VALUE!</v>
      </c>
      <c r="CQ6" t="e">
        <f>India!L5+"$K%t!%W"</f>
        <v>#VALUE!</v>
      </c>
      <c r="CR6" t="e">
        <f>India!M5+"$K%t!%X"</f>
        <v>#VALUE!</v>
      </c>
      <c r="CS6" t="e">
        <f>India!N5+"$K%t!%Y"</f>
        <v>#VALUE!</v>
      </c>
      <c r="CT6" t="e">
        <f>India!O5+"$K%t!%Z"</f>
        <v>#VALUE!</v>
      </c>
      <c r="CU6" t="e">
        <f>India!Q5+"$K%t!%["</f>
        <v>#VALUE!</v>
      </c>
      <c r="CV6" t="e">
        <f>India!R5+"$K%t!%\"</f>
        <v>#VALUE!</v>
      </c>
      <c r="CW6" t="e">
        <f>India!S5+"$K%t!%]"</f>
        <v>#VALUE!</v>
      </c>
      <c r="CX6" t="e">
        <f>India!U5+"$K%t!%^"</f>
        <v>#VALUE!</v>
      </c>
      <c r="CY6" t="e">
        <f>India!V5+"$K%t!%_"</f>
        <v>#VALUE!</v>
      </c>
      <c r="CZ6" t="e">
        <f>India!W5+"$K%t!%`"</f>
        <v>#VALUE!</v>
      </c>
      <c r="DA6" t="e">
        <f>India!X5+"$K%t!%a"</f>
        <v>#VALUE!</v>
      </c>
      <c r="DB6" t="e">
        <f>India!Y5+"$K%t!%b"</f>
        <v>#VALUE!</v>
      </c>
      <c r="DC6" t="e">
        <f>India!Z5+"$K%t!%c"</f>
        <v>#VALUE!</v>
      </c>
      <c r="DD6" t="e">
        <f>India!AA5+"$K%t!%d"</f>
        <v>#VALUE!</v>
      </c>
      <c r="DE6" t="e">
        <f>India!AB5+"$K%t!%e"</f>
        <v>#VALUE!</v>
      </c>
      <c r="DF6" t="e">
        <f>India!AC5+"$K%t!%f"</f>
        <v>#VALUE!</v>
      </c>
      <c r="DG6" t="e">
        <f>India!AD5+"$K%t!%g"</f>
        <v>#VALUE!</v>
      </c>
      <c r="DH6" t="e">
        <f>India!AE5+"$K%t!%h"</f>
        <v>#VALUE!</v>
      </c>
      <c r="DI6" t="e">
        <f>India!AF5+"$K%t!%i"</f>
        <v>#VALUE!</v>
      </c>
      <c r="DJ6" t="e">
        <f>India!AG5+"$K%t!%j"</f>
        <v>#VALUE!</v>
      </c>
      <c r="DK6" t="e">
        <f>India!AH5+"$K%t!%k"</f>
        <v>#VALUE!</v>
      </c>
      <c r="DL6" t="e">
        <f>India!AI5+"$K%t!%l"</f>
        <v>#VALUE!</v>
      </c>
      <c r="DM6" t="e">
        <f>India!AJ5+"$K%t!%m"</f>
        <v>#VALUE!</v>
      </c>
      <c r="DN6" t="e">
        <f>India!AK5+"$K%t!%n"</f>
        <v>#VALUE!</v>
      </c>
      <c r="DO6" t="e">
        <f>India!AL5+"$K%t!%o"</f>
        <v>#VALUE!</v>
      </c>
      <c r="DP6" t="e">
        <f>India!AM5+"$K%t!%p"</f>
        <v>#VALUE!</v>
      </c>
      <c r="DQ6" t="e">
        <f>India!AN5+"$K%t!%q"</f>
        <v>#VALUE!</v>
      </c>
      <c r="DR6" t="e">
        <f>India!AO5+"$K%t!%r"</f>
        <v>#VALUE!</v>
      </c>
      <c r="DS6" t="e">
        <f>India!AP5+"$K%t!%s"</f>
        <v>#VALUE!</v>
      </c>
      <c r="DT6" t="e">
        <f>India!A6+"$K%t!%t"</f>
        <v>#VALUE!</v>
      </c>
      <c r="DU6" t="e">
        <f>India!B6+"$K%t!%u"</f>
        <v>#VALUE!</v>
      </c>
      <c r="DV6" t="e">
        <f>India!C6+"$K%t!%v"</f>
        <v>#VALUE!</v>
      </c>
      <c r="DW6" t="e">
        <f>India!D6+"$K%t!%w"</f>
        <v>#VALUE!</v>
      </c>
      <c r="DX6" t="e">
        <f>India!E6+"$K%t!%x"</f>
        <v>#VALUE!</v>
      </c>
      <c r="DY6" t="e">
        <f>India!F6+"$K%t!%y"</f>
        <v>#VALUE!</v>
      </c>
      <c r="DZ6" t="e">
        <f>India!G6+"$K%t!%z"</f>
        <v>#VALUE!</v>
      </c>
      <c r="EA6" t="e">
        <f>India!H6+"$K%t!%{"</f>
        <v>#VALUE!</v>
      </c>
      <c r="EB6" t="e">
        <f>India!I6+"$K%t!%|"</f>
        <v>#VALUE!</v>
      </c>
      <c r="EC6" t="e">
        <f>India!K6+"$K%t!%}"</f>
        <v>#VALUE!</v>
      </c>
      <c r="ED6" t="e">
        <f>India!M6+"$K%t!%~"</f>
        <v>#VALUE!</v>
      </c>
      <c r="EE6" t="e">
        <f>India!O6+"$K%t!&amp;#"</f>
        <v>#VALUE!</v>
      </c>
      <c r="EF6" t="e">
        <f>India!Q6+"$K%t!&amp;$"</f>
        <v>#VALUE!</v>
      </c>
      <c r="EG6" t="e">
        <f>India!S6+"$K%t!&amp;%"</f>
        <v>#VALUE!</v>
      </c>
      <c r="EH6" t="e">
        <f>India!U6+"$K%t!&amp;&amp;"</f>
        <v>#VALUE!</v>
      </c>
      <c r="EI6" t="e">
        <f>India!W6+"$K%t!&amp;'"</f>
        <v>#VALUE!</v>
      </c>
      <c r="EJ6" t="e">
        <f>India!Y6+"$K%t!&amp;("</f>
        <v>#VALUE!</v>
      </c>
      <c r="EK6" t="e">
        <f>India!AA6+"$K%t!&amp;)"</f>
        <v>#VALUE!</v>
      </c>
      <c r="EL6" t="e">
        <f>India!AC6+"$K%t!&amp;."</f>
        <v>#VALUE!</v>
      </c>
      <c r="EM6" t="e">
        <f>India!AE6+"$K%t!&amp;/"</f>
        <v>#VALUE!</v>
      </c>
      <c r="EN6" t="e">
        <f>India!AG6+"$K%t!&amp;0"</f>
        <v>#VALUE!</v>
      </c>
      <c r="EO6" t="e">
        <f>India!AI6+"$K%t!&amp;1"</f>
        <v>#VALUE!</v>
      </c>
      <c r="EP6" t="e">
        <f>India!AK6+"$K%t!&amp;2"</f>
        <v>#VALUE!</v>
      </c>
      <c r="EQ6" t="e">
        <f>India!AM6+"$K%t!&amp;3"</f>
        <v>#VALUE!</v>
      </c>
      <c r="ER6" t="e">
        <f>India!A7+"$K%t!&amp;4"</f>
        <v>#VALUE!</v>
      </c>
      <c r="ES6" t="e">
        <f>India!B7+"$K%t!&amp;5"</f>
        <v>#VALUE!</v>
      </c>
      <c r="ET6" t="e">
        <f>India!C7+"$K%t!&amp;6"</f>
        <v>#VALUE!</v>
      </c>
      <c r="EU6" t="e">
        <f>India!D7+"$K%t!&amp;7"</f>
        <v>#VALUE!</v>
      </c>
      <c r="EV6" t="e">
        <f>India!E7+"$K%t!&amp;8"</f>
        <v>#VALUE!</v>
      </c>
      <c r="EW6" t="e">
        <f>India!F7+"$K%t!&amp;9"</f>
        <v>#VALUE!</v>
      </c>
      <c r="EX6" t="e">
        <f>India!G7+"$K%t!&amp;:"</f>
        <v>#VALUE!</v>
      </c>
      <c r="EY6" t="e">
        <f>India!H7+"$K%t!&amp;;"</f>
        <v>#VALUE!</v>
      </c>
      <c r="EZ6" t="e">
        <f>India!I7+"$K%t!&amp;&lt;"</f>
        <v>#VALUE!</v>
      </c>
      <c r="FA6" t="e">
        <f>India!K7+"$K%t!&amp;="</f>
        <v>#VALUE!</v>
      </c>
      <c r="FB6" t="e">
        <f>India!M7+"$K%t!&amp;&gt;"</f>
        <v>#VALUE!</v>
      </c>
      <c r="FC6" t="e">
        <f>India!O7+"$K%t!&amp;?"</f>
        <v>#VALUE!</v>
      </c>
      <c r="FD6" t="e">
        <f>India!Q7+"$K%t!&amp;@"</f>
        <v>#VALUE!</v>
      </c>
      <c r="FE6" t="e">
        <f>India!S7+"$K%t!&amp;A"</f>
        <v>#VALUE!</v>
      </c>
      <c r="FF6" t="e">
        <f>India!U7+"$K%t!&amp;B"</f>
        <v>#VALUE!</v>
      </c>
      <c r="FG6" t="e">
        <f>India!W7+"$K%t!&amp;C"</f>
        <v>#VALUE!</v>
      </c>
      <c r="FH6" t="e">
        <f>India!Y7+"$K%t!&amp;D"</f>
        <v>#VALUE!</v>
      </c>
      <c r="FI6" t="e">
        <f>India!AA7+"$K%t!&amp;E"</f>
        <v>#VALUE!</v>
      </c>
      <c r="FJ6" t="e">
        <f>India!AC7+"$K%t!&amp;F"</f>
        <v>#VALUE!</v>
      </c>
      <c r="FK6" t="e">
        <f>India!AE7+"$K%t!&amp;G"</f>
        <v>#VALUE!</v>
      </c>
      <c r="FL6" t="e">
        <f>India!AG7+"$K%t!&amp;H"</f>
        <v>#VALUE!</v>
      </c>
      <c r="FM6" t="e">
        <f>India!AI7+"$K%t!&amp;I"</f>
        <v>#VALUE!</v>
      </c>
      <c r="FN6" t="e">
        <f>India!AK7+"$K%t!&amp;J"</f>
        <v>#VALUE!</v>
      </c>
      <c r="FO6" t="e">
        <f>India!AM7+"$K%t!&amp;K"</f>
        <v>#VALUE!</v>
      </c>
      <c r="FP6" t="e">
        <f>India!A8+"$K%t!&amp;L"</f>
        <v>#VALUE!</v>
      </c>
      <c r="FQ6" t="e">
        <f>India!B8+"$K%t!&amp;M"</f>
        <v>#VALUE!</v>
      </c>
      <c r="FR6" t="e">
        <f>India!C8+"$K%t!&amp;N"</f>
        <v>#VALUE!</v>
      </c>
      <c r="FS6" t="e">
        <f>India!D8+"$K%t!&amp;O"</f>
        <v>#VALUE!</v>
      </c>
      <c r="FT6" t="e">
        <f>India!E8+"$K%t!&amp;P"</f>
        <v>#VALUE!</v>
      </c>
      <c r="FU6" t="e">
        <f>India!F8+"$K%t!&amp;Q"</f>
        <v>#VALUE!</v>
      </c>
      <c r="FV6" t="e">
        <f>India!G8+"$K%t!&amp;R"</f>
        <v>#VALUE!</v>
      </c>
      <c r="FW6" t="e">
        <f>India!H8+"$K%t!&amp;S"</f>
        <v>#VALUE!</v>
      </c>
      <c r="FX6" t="e">
        <f>India!I8+"$K%t!&amp;T"</f>
        <v>#VALUE!</v>
      </c>
      <c r="FY6" t="e">
        <f>India!K8+"$K%t!&amp;U"</f>
        <v>#VALUE!</v>
      </c>
      <c r="FZ6" t="e">
        <f>India!M8+"$K%t!&amp;V"</f>
        <v>#VALUE!</v>
      </c>
      <c r="GA6" t="e">
        <f>India!O8+"$K%t!&amp;W"</f>
        <v>#VALUE!</v>
      </c>
      <c r="GB6" t="e">
        <f>India!Q8+"$K%t!&amp;X"</f>
        <v>#VALUE!</v>
      </c>
      <c r="GC6" t="e">
        <f>India!S8+"$K%t!&amp;Y"</f>
        <v>#VALUE!</v>
      </c>
      <c r="GD6" t="e">
        <f>India!U8+"$K%t!&amp;Z"</f>
        <v>#VALUE!</v>
      </c>
      <c r="GE6" t="e">
        <f>India!W8+"$K%t!&amp;["</f>
        <v>#VALUE!</v>
      </c>
      <c r="GF6" t="e">
        <f>India!Y8+"$K%t!&amp;\"</f>
        <v>#VALUE!</v>
      </c>
      <c r="GG6" t="e">
        <f>India!AA8+"$K%t!&amp;]"</f>
        <v>#VALUE!</v>
      </c>
      <c r="GH6" t="e">
        <f>India!AC8+"$K%t!&amp;^"</f>
        <v>#VALUE!</v>
      </c>
      <c r="GI6" t="e">
        <f>India!AE8+"$K%t!&amp;_"</f>
        <v>#VALUE!</v>
      </c>
      <c r="GJ6" t="e">
        <f>India!AG8+"$K%t!&amp;`"</f>
        <v>#VALUE!</v>
      </c>
      <c r="GK6" t="e">
        <f>India!AI8+"$K%t!&amp;a"</f>
        <v>#VALUE!</v>
      </c>
      <c r="GL6" t="e">
        <f>India!AK8+"$K%t!&amp;b"</f>
        <v>#VALUE!</v>
      </c>
      <c r="GM6" t="e">
        <f>India!AM8+"$K%t!&amp;c"</f>
        <v>#VALUE!</v>
      </c>
      <c r="GN6" t="e">
        <f>India!A9+"$K%t!&amp;d"</f>
        <v>#VALUE!</v>
      </c>
      <c r="GO6" t="e">
        <f>India!B9+"$K%t!&amp;e"</f>
        <v>#VALUE!</v>
      </c>
      <c r="GP6" t="e">
        <f>India!C9+"$K%t!&amp;f"</f>
        <v>#VALUE!</v>
      </c>
      <c r="GQ6" t="e">
        <f>India!D9+"$K%t!&amp;g"</f>
        <v>#VALUE!</v>
      </c>
      <c r="GR6" t="e">
        <f>India!E9+"$K%t!&amp;h"</f>
        <v>#VALUE!</v>
      </c>
      <c r="GS6" t="e">
        <f>India!F9+"$K%t!&amp;i"</f>
        <v>#VALUE!</v>
      </c>
      <c r="GT6" t="e">
        <f>India!G9+"$K%t!&amp;j"</f>
        <v>#VALUE!</v>
      </c>
      <c r="GU6" t="e">
        <f>India!H9+"$K%t!&amp;k"</f>
        <v>#VALUE!</v>
      </c>
      <c r="GV6" t="e">
        <f>India!I9+"$K%t!&amp;l"</f>
        <v>#VALUE!</v>
      </c>
      <c r="GW6" t="e">
        <f>India!K9+"$K%t!&amp;m"</f>
        <v>#VALUE!</v>
      </c>
      <c r="GX6" t="e">
        <f>India!M9+"$K%t!&amp;n"</f>
        <v>#VALUE!</v>
      </c>
      <c r="GY6" t="e">
        <f>India!O9+"$K%t!&amp;o"</f>
        <v>#VALUE!</v>
      </c>
      <c r="GZ6" t="e">
        <f>India!Q9+"$K%t!&amp;p"</f>
        <v>#VALUE!</v>
      </c>
      <c r="HA6" t="e">
        <f>India!S9+"$K%t!&amp;q"</f>
        <v>#VALUE!</v>
      </c>
      <c r="HB6" t="e">
        <f>India!U9+"$K%t!&amp;r"</f>
        <v>#VALUE!</v>
      </c>
      <c r="HC6" t="e">
        <f>India!W9+"$K%t!&amp;s"</f>
        <v>#VALUE!</v>
      </c>
      <c r="HD6" t="e">
        <f>India!Y9+"$K%t!&amp;t"</f>
        <v>#VALUE!</v>
      </c>
      <c r="HE6" t="e">
        <f>India!AA9+"$K%t!&amp;u"</f>
        <v>#VALUE!</v>
      </c>
      <c r="HF6" t="e">
        <f>India!AC9+"$K%t!&amp;v"</f>
        <v>#VALUE!</v>
      </c>
      <c r="HG6" t="e">
        <f>India!AE9+"$K%t!&amp;w"</f>
        <v>#VALUE!</v>
      </c>
      <c r="HH6" t="e">
        <f>India!AG9+"$K%t!&amp;x"</f>
        <v>#VALUE!</v>
      </c>
      <c r="HI6" t="e">
        <f>India!AI9+"$K%t!&amp;y"</f>
        <v>#VALUE!</v>
      </c>
      <c r="HJ6" t="e">
        <f>India!AK9+"$K%t!&amp;z"</f>
        <v>#VALUE!</v>
      </c>
      <c r="HK6" t="e">
        <f>India!AM9+"$K%t!&amp;{"</f>
        <v>#VALUE!</v>
      </c>
      <c r="HL6" t="e">
        <f>India!A10+"$K%t!&amp;|"</f>
        <v>#VALUE!</v>
      </c>
      <c r="HM6" t="e">
        <f>India!B10+"$K%t!&amp;}"</f>
        <v>#VALUE!</v>
      </c>
      <c r="HN6" t="e">
        <f>India!C10+"$K%t!&amp;~"</f>
        <v>#VALUE!</v>
      </c>
      <c r="HO6" t="e">
        <f>India!D10+"$K%t!'#"</f>
        <v>#VALUE!</v>
      </c>
      <c r="HP6" t="e">
        <f>India!E10+"$K%t!'$"</f>
        <v>#VALUE!</v>
      </c>
      <c r="HQ6" t="e">
        <f>India!F10+"$K%t!'%"</f>
        <v>#VALUE!</v>
      </c>
      <c r="HR6" t="e">
        <f>India!G10+"$K%t!'&amp;"</f>
        <v>#VALUE!</v>
      </c>
      <c r="HS6" t="e">
        <f>India!H10+"$K%t!''"</f>
        <v>#VALUE!</v>
      </c>
      <c r="HT6" t="e">
        <f>India!I10+"$K%t!'("</f>
        <v>#VALUE!</v>
      </c>
      <c r="HU6" t="e">
        <f>India!K10+"$K%t!')"</f>
        <v>#VALUE!</v>
      </c>
      <c r="HV6" t="e">
        <f>India!M10+"$K%t!'."</f>
        <v>#VALUE!</v>
      </c>
      <c r="HW6" t="e">
        <f>India!O10+"$K%t!'/"</f>
        <v>#VALUE!</v>
      </c>
      <c r="HX6" t="e">
        <f>India!Q10+"$K%t!'0"</f>
        <v>#VALUE!</v>
      </c>
      <c r="HY6" t="e">
        <f>India!S10+"$K%t!'1"</f>
        <v>#VALUE!</v>
      </c>
      <c r="HZ6" t="e">
        <f>India!U10+"$K%t!'2"</f>
        <v>#VALUE!</v>
      </c>
      <c r="IA6" t="e">
        <f>India!W10+"$K%t!'3"</f>
        <v>#VALUE!</v>
      </c>
      <c r="IB6" t="e">
        <f>India!Y10+"$K%t!'4"</f>
        <v>#VALUE!</v>
      </c>
      <c r="IC6" t="e">
        <f>India!AA10+"$K%t!'5"</f>
        <v>#VALUE!</v>
      </c>
      <c r="ID6" t="e">
        <f>India!AC10+"$K%t!'6"</f>
        <v>#VALUE!</v>
      </c>
      <c r="IE6" t="e">
        <f>India!AE10+"$K%t!'7"</f>
        <v>#VALUE!</v>
      </c>
      <c r="IF6" t="e">
        <f>India!AG10+"$K%t!'8"</f>
        <v>#VALUE!</v>
      </c>
      <c r="IG6" t="e">
        <f>India!AI10+"$K%t!'9"</f>
        <v>#VALUE!</v>
      </c>
      <c r="IH6" t="e">
        <f>India!AK10+"$K%t!':"</f>
        <v>#VALUE!</v>
      </c>
      <c r="II6" t="e">
        <f>India!AM10+"$K%t!';"</f>
        <v>#VALUE!</v>
      </c>
      <c r="IJ6" t="e">
        <f>India!A11+"$K%t!'&lt;"</f>
        <v>#VALUE!</v>
      </c>
      <c r="IK6" t="e">
        <f>India!B11+"$K%t!'="</f>
        <v>#VALUE!</v>
      </c>
      <c r="IL6" t="e">
        <f>India!C11+"$K%t!'&gt;"</f>
        <v>#VALUE!</v>
      </c>
      <c r="IM6" t="e">
        <f>India!D11+"$K%t!'?"</f>
        <v>#VALUE!</v>
      </c>
      <c r="IN6" t="e">
        <f>India!E11+"$K%t!'@"</f>
        <v>#VALUE!</v>
      </c>
      <c r="IO6" t="e">
        <f>India!F11+"$K%t!'A"</f>
        <v>#VALUE!</v>
      </c>
      <c r="IP6" t="e">
        <f>India!G11+"$K%t!'B"</f>
        <v>#VALUE!</v>
      </c>
      <c r="IQ6" t="e">
        <f>India!H11+"$K%t!'C"</f>
        <v>#VALUE!</v>
      </c>
      <c r="IR6" t="e">
        <f>India!I11+"$K%t!'D"</f>
        <v>#VALUE!</v>
      </c>
      <c r="IS6" t="e">
        <f>India!K11+"$K%t!'E"</f>
        <v>#VALUE!</v>
      </c>
      <c r="IT6" t="e">
        <f>India!M11+"$K%t!'F"</f>
        <v>#VALUE!</v>
      </c>
      <c r="IU6" t="e">
        <f>India!O11+"$K%t!'G"</f>
        <v>#VALUE!</v>
      </c>
      <c r="IV6" t="e">
        <f>India!Q11+"$K%t!'H"</f>
        <v>#VALUE!</v>
      </c>
    </row>
    <row r="7" spans="1:256" x14ac:dyDescent="0.25">
      <c r="F7" t="e">
        <f>India!S11+"$K%t!'I"</f>
        <v>#VALUE!</v>
      </c>
      <c r="G7" t="e">
        <f>India!U11+"$K%t!'J"</f>
        <v>#VALUE!</v>
      </c>
      <c r="H7" t="e">
        <f>India!W11+"$K%t!'K"</f>
        <v>#VALUE!</v>
      </c>
      <c r="I7" t="e">
        <f>India!Y11+"$K%t!'L"</f>
        <v>#VALUE!</v>
      </c>
      <c r="J7" t="e">
        <f>India!AA11+"$K%t!'M"</f>
        <v>#VALUE!</v>
      </c>
      <c r="K7" t="e">
        <f>India!AC11+"$K%t!'N"</f>
        <v>#VALUE!</v>
      </c>
      <c r="L7" t="e">
        <f>India!AE11+"$K%t!'O"</f>
        <v>#VALUE!</v>
      </c>
      <c r="M7" t="e">
        <f>India!AG11+"$K%t!'P"</f>
        <v>#VALUE!</v>
      </c>
      <c r="N7" t="e">
        <f>India!AI11+"$K%t!'Q"</f>
        <v>#VALUE!</v>
      </c>
      <c r="O7" t="e">
        <f>India!AK11+"$K%t!'R"</f>
        <v>#VALUE!</v>
      </c>
      <c r="P7" t="e">
        <f>India!AM11+"$K%t!'S"</f>
        <v>#VALUE!</v>
      </c>
      <c r="Q7" t="e">
        <f>India!A12+"$K%t!'T"</f>
        <v>#VALUE!</v>
      </c>
      <c r="R7" t="e">
        <f>India!B12+"$K%t!'U"</f>
        <v>#VALUE!</v>
      </c>
      <c r="S7" t="e">
        <f>India!C12+"$K%t!'V"</f>
        <v>#VALUE!</v>
      </c>
      <c r="T7" t="e">
        <f>India!D12+"$K%t!'W"</f>
        <v>#VALUE!</v>
      </c>
      <c r="U7" t="e">
        <f>India!E12+"$K%t!'X"</f>
        <v>#VALUE!</v>
      </c>
      <c r="V7" t="e">
        <f>India!F12+"$K%t!'Y"</f>
        <v>#VALUE!</v>
      </c>
      <c r="W7" t="e">
        <f>India!G12+"$K%t!'Z"</f>
        <v>#VALUE!</v>
      </c>
      <c r="X7" t="e">
        <f>India!H12+"$K%t!'["</f>
        <v>#VALUE!</v>
      </c>
      <c r="Y7" t="e">
        <f>India!A13+"$K%t!'\"</f>
        <v>#VALUE!</v>
      </c>
      <c r="Z7" t="e">
        <f>India!B13+"$K%t!']"</f>
        <v>#VALUE!</v>
      </c>
      <c r="AA7" t="e">
        <f>India!C13+"$K%t!'^"</f>
        <v>#VALUE!</v>
      </c>
      <c r="AB7" t="e">
        <f>India!D13+"$K%t!'_"</f>
        <v>#VALUE!</v>
      </c>
      <c r="AC7" t="e">
        <f>India!E13+"$K%t!'`"</f>
        <v>#VALUE!</v>
      </c>
      <c r="AD7" t="e">
        <f>India!F13+"$K%t!'a"</f>
        <v>#VALUE!</v>
      </c>
      <c r="AE7" t="e">
        <f>India!G13+"$K%t!'b"</f>
        <v>#VALUE!</v>
      </c>
      <c r="AF7" t="e">
        <f>India!H13+"$K%t!'c"</f>
        <v>#VALUE!</v>
      </c>
      <c r="AG7" t="e">
        <f>India!A14+"$K%t!'d"</f>
        <v>#VALUE!</v>
      </c>
      <c r="AH7" t="e">
        <f>India!B14+"$K%t!'e"</f>
        <v>#VALUE!</v>
      </c>
      <c r="AI7" t="e">
        <f>India!C14+"$K%t!'f"</f>
        <v>#VALUE!</v>
      </c>
      <c r="AJ7" t="e">
        <f>India!D14+"$K%t!'g"</f>
        <v>#VALUE!</v>
      </c>
      <c r="AK7" t="e">
        <f>India!E14+"$K%t!'h"</f>
        <v>#VALUE!</v>
      </c>
      <c r="AL7" t="e">
        <f>India!F14+"$K%t!'i"</f>
        <v>#VALUE!</v>
      </c>
      <c r="AM7" t="e">
        <f>India!G14+"$K%t!'j"</f>
        <v>#VALUE!</v>
      </c>
      <c r="AN7" t="e">
        <f>India!H14+"$K%t!'k"</f>
        <v>#VALUE!</v>
      </c>
      <c r="AO7" t="e">
        <f>India!A15+"$K%t!'l"</f>
        <v>#VALUE!</v>
      </c>
      <c r="AP7" t="e">
        <f>India!B15+"$K%t!'m"</f>
        <v>#VALUE!</v>
      </c>
      <c r="AQ7" t="e">
        <f>India!C15+"$K%t!'n"</f>
        <v>#VALUE!</v>
      </c>
      <c r="AR7" t="e">
        <f>India!D15+"$K%t!'o"</f>
        <v>#VALUE!</v>
      </c>
      <c r="AS7" t="e">
        <f>India!E15+"$K%t!'p"</f>
        <v>#VALUE!</v>
      </c>
      <c r="AT7" t="e">
        <f>India!F15+"$K%t!'q"</f>
        <v>#VALUE!</v>
      </c>
      <c r="AU7" t="e">
        <f>India!G15+"$K%t!'r"</f>
        <v>#VALUE!</v>
      </c>
      <c r="AV7" t="e">
        <f>India!H15+"$K%t!'s"</f>
        <v>#VALUE!</v>
      </c>
      <c r="AW7" t="e">
        <f>India!I15+"$K%t!'t"</f>
        <v>#VALUE!</v>
      </c>
      <c r="AX7" t="e">
        <f>India!K15+"$K%t!'u"</f>
        <v>#VALUE!</v>
      </c>
      <c r="AY7" t="e">
        <f>India!M15+"$K%t!'v"</f>
        <v>#VALUE!</v>
      </c>
      <c r="AZ7" t="e">
        <f>India!O15+"$K%t!'w"</f>
        <v>#VALUE!</v>
      </c>
      <c r="BA7" t="e">
        <f>India!Q15+"$K%t!'x"</f>
        <v>#VALUE!</v>
      </c>
      <c r="BB7" t="e">
        <f>India!S15+"$K%t!'y"</f>
        <v>#VALUE!</v>
      </c>
      <c r="BC7" t="e">
        <f>India!U15+"$K%t!'z"</f>
        <v>#VALUE!</v>
      </c>
      <c r="BD7" t="e">
        <f>India!W15+"$K%t!'{"</f>
        <v>#VALUE!</v>
      </c>
      <c r="BE7" t="e">
        <f>India!Y15+"$K%t!'|"</f>
        <v>#VALUE!</v>
      </c>
      <c r="BF7" t="e">
        <f>India!AA15+"$K%t!'}"</f>
        <v>#VALUE!</v>
      </c>
      <c r="BG7" t="e">
        <f>India!AC15+"$K%t!'~"</f>
        <v>#VALUE!</v>
      </c>
      <c r="BH7" t="e">
        <f>India!AE15+"$K%t!(#"</f>
        <v>#VALUE!</v>
      </c>
      <c r="BI7" t="e">
        <f>India!AG15+"$K%t!($"</f>
        <v>#VALUE!</v>
      </c>
      <c r="BJ7" t="e">
        <f>India!AI15+"$K%t!(%"</f>
        <v>#VALUE!</v>
      </c>
      <c r="BK7" t="e">
        <f>India!AK15+"$K%t!(&amp;"</f>
        <v>#VALUE!</v>
      </c>
      <c r="BL7" t="e">
        <f>India!AM15+"$K%t!('"</f>
        <v>#VALUE!</v>
      </c>
      <c r="BM7" t="e">
        <f>India!A16+"$K%t!(("</f>
        <v>#VALUE!</v>
      </c>
      <c r="BN7" t="e">
        <f>India!B16+"$K%t!()"</f>
        <v>#VALUE!</v>
      </c>
      <c r="BO7" t="e">
        <f>India!C16+"$K%t!(."</f>
        <v>#VALUE!</v>
      </c>
      <c r="BP7" t="e">
        <f>India!D16+"$K%t!(/"</f>
        <v>#VALUE!</v>
      </c>
      <c r="BQ7" t="e">
        <f>India!E16+"$K%t!(0"</f>
        <v>#VALUE!</v>
      </c>
      <c r="BR7" t="e">
        <f>India!F16+"$K%t!(1"</f>
        <v>#VALUE!</v>
      </c>
      <c r="BS7" t="e">
        <f>India!G16+"$K%t!(2"</f>
        <v>#VALUE!</v>
      </c>
      <c r="BT7" t="e">
        <f>India!H16+"$K%t!(3"</f>
        <v>#VALUE!</v>
      </c>
      <c r="BU7" t="e">
        <f>India!I16+"$K%t!(4"</f>
        <v>#VALUE!</v>
      </c>
      <c r="BV7" t="e">
        <f>India!K16+"$K%t!(5"</f>
        <v>#VALUE!</v>
      </c>
      <c r="BW7" t="e">
        <f>India!M16+"$K%t!(6"</f>
        <v>#VALUE!</v>
      </c>
      <c r="BX7" t="e">
        <f>India!O16+"$K%t!(7"</f>
        <v>#VALUE!</v>
      </c>
      <c r="BY7" t="e">
        <f>India!Q16+"$K%t!(8"</f>
        <v>#VALUE!</v>
      </c>
      <c r="BZ7" t="e">
        <f>India!S16+"$K%t!(9"</f>
        <v>#VALUE!</v>
      </c>
      <c r="CA7" t="e">
        <f>India!U16+"$K%t!(:"</f>
        <v>#VALUE!</v>
      </c>
      <c r="CB7" t="e">
        <f>India!W16+"$K%t!(;"</f>
        <v>#VALUE!</v>
      </c>
      <c r="CC7" t="e">
        <f>India!Y16+"$K%t!(&lt;"</f>
        <v>#VALUE!</v>
      </c>
      <c r="CD7" t="e">
        <f>India!AA16+"$K%t!(="</f>
        <v>#VALUE!</v>
      </c>
      <c r="CE7" t="e">
        <f>India!AC16+"$K%t!(&gt;"</f>
        <v>#VALUE!</v>
      </c>
      <c r="CF7" t="e">
        <f>India!AE16+"$K%t!(?"</f>
        <v>#VALUE!</v>
      </c>
      <c r="CG7" t="e">
        <f>India!AG16+"$K%t!(@"</f>
        <v>#VALUE!</v>
      </c>
      <c r="CH7" t="e">
        <f>India!AI16+"$K%t!(A"</f>
        <v>#VALUE!</v>
      </c>
      <c r="CI7" t="e">
        <f>India!AK16+"$K%t!(B"</f>
        <v>#VALUE!</v>
      </c>
      <c r="CJ7" t="e">
        <f>India!AM16+"$K%t!(C"</f>
        <v>#VALUE!</v>
      </c>
      <c r="CK7" t="e">
        <f>India!AO16+"$K%t!(D"</f>
        <v>#VALUE!</v>
      </c>
      <c r="CL7" t="e">
        <f>India!A17+"$K%t!(E"</f>
        <v>#VALUE!</v>
      </c>
      <c r="CM7" t="e">
        <f>India!B17+"$K%t!(F"</f>
        <v>#VALUE!</v>
      </c>
      <c r="CN7" t="e">
        <f>India!C17+"$K%t!(G"</f>
        <v>#VALUE!</v>
      </c>
      <c r="CO7" t="e">
        <f>India!D17+"$K%t!(H"</f>
        <v>#VALUE!</v>
      </c>
      <c r="CP7" t="e">
        <f>India!E17+"$K%t!(I"</f>
        <v>#VALUE!</v>
      </c>
      <c r="CQ7" t="e">
        <f>India!F17+"$K%t!(J"</f>
        <v>#VALUE!</v>
      </c>
      <c r="CR7" t="e">
        <f>India!G17+"$K%t!(K"</f>
        <v>#VALUE!</v>
      </c>
      <c r="CS7" t="e">
        <f>India!H17+"$K%t!(L"</f>
        <v>#VALUE!</v>
      </c>
      <c r="CT7" t="e">
        <f>India!I17+"$K%t!(M"</f>
        <v>#VALUE!</v>
      </c>
      <c r="CU7" t="e">
        <f>India!K17+"$K%t!(N"</f>
        <v>#VALUE!</v>
      </c>
      <c r="CV7" t="e">
        <f>India!M17+"$K%t!(O"</f>
        <v>#VALUE!</v>
      </c>
      <c r="CW7" t="e">
        <f>India!O17+"$K%t!(P"</f>
        <v>#VALUE!</v>
      </c>
      <c r="CX7" t="e">
        <f>India!Q17+"$K%t!(Q"</f>
        <v>#VALUE!</v>
      </c>
      <c r="CY7" t="e">
        <f>India!S17+"$K%t!(R"</f>
        <v>#VALUE!</v>
      </c>
      <c r="CZ7" t="e">
        <f>India!U17+"$K%t!(S"</f>
        <v>#VALUE!</v>
      </c>
      <c r="DA7" t="e">
        <f>India!W17+"$K%t!(T"</f>
        <v>#VALUE!</v>
      </c>
      <c r="DB7" t="e">
        <f>India!Y17+"$K%t!(U"</f>
        <v>#VALUE!</v>
      </c>
      <c r="DC7" t="e">
        <f>India!AA17+"$K%t!(V"</f>
        <v>#VALUE!</v>
      </c>
      <c r="DD7" t="e">
        <f>India!AC17+"$K%t!(W"</f>
        <v>#VALUE!</v>
      </c>
      <c r="DE7" t="e">
        <f>India!AE17+"$K%t!(X"</f>
        <v>#VALUE!</v>
      </c>
      <c r="DF7" t="e">
        <f>India!AG17+"$K%t!(Y"</f>
        <v>#VALUE!</v>
      </c>
      <c r="DG7" t="e">
        <f>India!AI17+"$K%t!(Z"</f>
        <v>#VALUE!</v>
      </c>
      <c r="DH7" t="e">
        <f>India!AK17+"$K%t!(["</f>
        <v>#VALUE!</v>
      </c>
      <c r="DI7" t="e">
        <f>India!AM17+"$K%t!(\"</f>
        <v>#VALUE!</v>
      </c>
      <c r="DJ7" t="e">
        <f>India!A18+"$K%t!(]"</f>
        <v>#VALUE!</v>
      </c>
      <c r="DK7" t="e">
        <f>India!B18+"$K%t!(^"</f>
        <v>#VALUE!</v>
      </c>
      <c r="DL7" t="e">
        <f>India!C18+"$K%t!(_"</f>
        <v>#VALUE!</v>
      </c>
      <c r="DM7" t="e">
        <f>India!D18+"$K%t!(`"</f>
        <v>#VALUE!</v>
      </c>
      <c r="DN7" t="e">
        <f>India!E18+"$K%t!(a"</f>
        <v>#VALUE!</v>
      </c>
      <c r="DO7" t="e">
        <f>India!F18+"$K%t!(b"</f>
        <v>#VALUE!</v>
      </c>
      <c r="DP7" t="e">
        <f>India!G18+"$K%t!(c"</f>
        <v>#VALUE!</v>
      </c>
      <c r="DQ7" t="e">
        <f>India!H18+"$K%t!(d"</f>
        <v>#VALUE!</v>
      </c>
      <c r="DR7" t="e">
        <f>India!I18+"$K%t!(e"</f>
        <v>#VALUE!</v>
      </c>
      <c r="DS7" t="e">
        <f>India!K18+"$K%t!(f"</f>
        <v>#VALUE!</v>
      </c>
      <c r="DT7" t="e">
        <f>India!M18+"$K%t!(g"</f>
        <v>#VALUE!</v>
      </c>
      <c r="DU7" t="e">
        <f>India!O18+"$K%t!(h"</f>
        <v>#VALUE!</v>
      </c>
      <c r="DV7" t="e">
        <f>India!Q18+"$K%t!(i"</f>
        <v>#VALUE!</v>
      </c>
      <c r="DW7" t="e">
        <f>India!S18+"$K%t!(j"</f>
        <v>#VALUE!</v>
      </c>
      <c r="DX7" t="e">
        <f>India!U18+"$K%t!(k"</f>
        <v>#VALUE!</v>
      </c>
      <c r="DY7" t="e">
        <f>India!W18+"$K%t!(l"</f>
        <v>#VALUE!</v>
      </c>
      <c r="DZ7" t="e">
        <f>India!Y18+"$K%t!(m"</f>
        <v>#VALUE!</v>
      </c>
      <c r="EA7" t="e">
        <f>India!AA18+"$K%t!(n"</f>
        <v>#VALUE!</v>
      </c>
      <c r="EB7" t="e">
        <f>India!AC18+"$K%t!(o"</f>
        <v>#VALUE!</v>
      </c>
      <c r="EC7" t="e">
        <f>India!AE18+"$K%t!(p"</f>
        <v>#VALUE!</v>
      </c>
      <c r="ED7" t="e">
        <f>India!AG18+"$K%t!(q"</f>
        <v>#VALUE!</v>
      </c>
      <c r="EE7" t="e">
        <f>India!AI18+"$K%t!(r"</f>
        <v>#VALUE!</v>
      </c>
      <c r="EF7" t="e">
        <f>India!AK18+"$K%t!(s"</f>
        <v>#VALUE!</v>
      </c>
      <c r="EG7" t="e">
        <f>India!AM18+"$K%t!(t"</f>
        <v>#VALUE!</v>
      </c>
      <c r="EH7" t="e">
        <f>India!AO18+"$K%t!(u"</f>
        <v>#VALUE!</v>
      </c>
      <c r="EI7" t="e">
        <f>India!A19+"$K%t!(v"</f>
        <v>#VALUE!</v>
      </c>
      <c r="EJ7" t="e">
        <f>India!B19+"$K%t!(w"</f>
        <v>#VALUE!</v>
      </c>
      <c r="EK7" t="e">
        <f>India!C19+"$K%t!(x"</f>
        <v>#VALUE!</v>
      </c>
      <c r="EL7" t="e">
        <f>India!D19+"$K%t!(y"</f>
        <v>#VALUE!</v>
      </c>
      <c r="EM7" t="e">
        <f>India!E19+"$K%t!(z"</f>
        <v>#VALUE!</v>
      </c>
      <c r="EN7" t="e">
        <f>India!F19+"$K%t!({"</f>
        <v>#VALUE!</v>
      </c>
      <c r="EO7" t="e">
        <f>India!G19+"$K%t!(|"</f>
        <v>#VALUE!</v>
      </c>
      <c r="EP7" t="e">
        <f>India!H19+"$K%t!(}"</f>
        <v>#VALUE!</v>
      </c>
      <c r="EQ7" t="e">
        <f>India!I19+"$K%t!(~"</f>
        <v>#VALUE!</v>
      </c>
      <c r="ER7" t="e">
        <f>India!K19+"$K%t!)#"</f>
        <v>#VALUE!</v>
      </c>
      <c r="ES7" t="e">
        <f>India!M19+"$K%t!)$"</f>
        <v>#VALUE!</v>
      </c>
      <c r="ET7" t="e">
        <f>India!O19+"$K%t!)%"</f>
        <v>#VALUE!</v>
      </c>
      <c r="EU7" t="e">
        <f>India!Q19+"$K%t!)&amp;"</f>
        <v>#VALUE!</v>
      </c>
      <c r="EV7" t="e">
        <f>India!S19+"$K%t!)'"</f>
        <v>#VALUE!</v>
      </c>
      <c r="EW7" t="e">
        <f>India!U19+"$K%t!)("</f>
        <v>#VALUE!</v>
      </c>
      <c r="EX7" t="e">
        <f>India!W19+"$K%t!))"</f>
        <v>#VALUE!</v>
      </c>
      <c r="EY7" t="e">
        <f>India!Y19+"$K%t!)."</f>
        <v>#VALUE!</v>
      </c>
      <c r="EZ7" t="e">
        <f>India!AA19+"$K%t!)/"</f>
        <v>#VALUE!</v>
      </c>
      <c r="FA7" t="e">
        <f>India!AC19+"$K%t!)0"</f>
        <v>#VALUE!</v>
      </c>
      <c r="FB7" t="e">
        <f>India!AE19+"$K%t!)1"</f>
        <v>#VALUE!</v>
      </c>
      <c r="FC7" t="e">
        <f>India!AG19+"$K%t!)2"</f>
        <v>#VALUE!</v>
      </c>
      <c r="FD7" t="e">
        <f>India!AI19+"$K%t!)3"</f>
        <v>#VALUE!</v>
      </c>
      <c r="FE7" t="e">
        <f>India!AK19+"$K%t!)4"</f>
        <v>#VALUE!</v>
      </c>
      <c r="FF7" t="e">
        <f>India!AM19+"$K%t!)5"</f>
        <v>#VALUE!</v>
      </c>
      <c r="FG7" t="e">
        <f>India!AO19+"$K%t!)6"</f>
        <v>#VALUE!</v>
      </c>
      <c r="FH7" t="e">
        <f>India!A20+"$K%t!)7"</f>
        <v>#VALUE!</v>
      </c>
      <c r="FI7" t="e">
        <f>India!B20+"$K%t!)8"</f>
        <v>#VALUE!</v>
      </c>
      <c r="FJ7" t="e">
        <f>India!C20+"$K%t!)9"</f>
        <v>#VALUE!</v>
      </c>
      <c r="FK7" t="e">
        <f>India!D20+"$K%t!):"</f>
        <v>#VALUE!</v>
      </c>
      <c r="FL7" t="e">
        <f>India!E20+"$K%t!);"</f>
        <v>#VALUE!</v>
      </c>
      <c r="FM7" t="e">
        <f>India!F20+"$K%t!)&lt;"</f>
        <v>#VALUE!</v>
      </c>
      <c r="FN7" t="e">
        <f>India!G20+"$K%t!)="</f>
        <v>#VALUE!</v>
      </c>
      <c r="FO7" t="e">
        <f>India!H20+"$K%t!)&gt;"</f>
        <v>#VALUE!</v>
      </c>
      <c r="FP7" t="e">
        <f>India!I20+"$K%t!)?"</f>
        <v>#VALUE!</v>
      </c>
      <c r="FQ7" t="e">
        <f>India!J20+"$K%t!)@"</f>
        <v>#VALUE!</v>
      </c>
      <c r="FR7" t="e">
        <f>India!K20+"$K%t!)A"</f>
        <v>#VALUE!</v>
      </c>
      <c r="FS7" t="e">
        <f>India!L20+"$K%t!)B"</f>
        <v>#VALUE!</v>
      </c>
      <c r="FT7" t="e">
        <f>India!M20+"$K%t!)C"</f>
        <v>#VALUE!</v>
      </c>
      <c r="FU7" t="e">
        <f>India!N20+"$K%t!)D"</f>
        <v>#VALUE!</v>
      </c>
      <c r="FV7" t="e">
        <f>India!Q20+"$K%t!)E"</f>
        <v>#VALUE!</v>
      </c>
      <c r="FW7" t="e">
        <f>India!R20+"$K%t!)F"</f>
        <v>#VALUE!</v>
      </c>
      <c r="FX7" t="e">
        <f>India!S20+"$K%t!)G"</f>
        <v>#VALUE!</v>
      </c>
      <c r="FY7" t="e">
        <f>India!V20+"$K%t!)H"</f>
        <v>#VALUE!</v>
      </c>
      <c r="FZ7" t="e">
        <f>India!W20+"$K%t!)I"</f>
        <v>#VALUE!</v>
      </c>
      <c r="GA7" t="e">
        <f>India!X20+"$K%t!)J"</f>
        <v>#VALUE!</v>
      </c>
      <c r="GB7" t="e">
        <f>India!Y20+"$K%t!)K"</f>
        <v>#VALUE!</v>
      </c>
      <c r="GC7" t="e">
        <f>India!Z20+"$K%t!)L"</f>
        <v>#VALUE!</v>
      </c>
      <c r="GD7" t="e">
        <f>India!AA20+"$K%t!)M"</f>
        <v>#VALUE!</v>
      </c>
      <c r="GE7" t="e">
        <f>India!AB20+"$K%t!)N"</f>
        <v>#VALUE!</v>
      </c>
      <c r="GF7" t="e">
        <f>India!AC20+"$K%t!)O"</f>
        <v>#VALUE!</v>
      </c>
      <c r="GG7" t="e">
        <f>India!AD20+"$K%t!)P"</f>
        <v>#VALUE!</v>
      </c>
      <c r="GH7" t="e">
        <f>India!AE20+"$K%t!)Q"</f>
        <v>#VALUE!</v>
      </c>
      <c r="GI7" t="e">
        <f>India!AF20+"$K%t!)R"</f>
        <v>#VALUE!</v>
      </c>
      <c r="GJ7" t="e">
        <f>India!AG20+"$K%t!)S"</f>
        <v>#VALUE!</v>
      </c>
      <c r="GK7" t="e">
        <f>India!AH20+"$K%t!)T"</f>
        <v>#VALUE!</v>
      </c>
      <c r="GL7" t="e">
        <f>India!AI20+"$K%t!)U"</f>
        <v>#VALUE!</v>
      </c>
      <c r="GM7" t="e">
        <f>India!AJ20+"$K%t!)V"</f>
        <v>#VALUE!</v>
      </c>
      <c r="GN7" t="e">
        <f>India!AK20+"$K%t!)W"</f>
        <v>#VALUE!</v>
      </c>
      <c r="GO7" t="e">
        <f>India!AL20+"$K%t!)X"</f>
        <v>#VALUE!</v>
      </c>
      <c r="GP7" t="e">
        <f>India!AM20+"$K%t!)Y"</f>
        <v>#VALUE!</v>
      </c>
      <c r="GQ7" t="e">
        <f>India!AN20+"$K%t!)Z"</f>
        <v>#VALUE!</v>
      </c>
      <c r="GR7" t="e">
        <f>India!AO20+"$K%t!)["</f>
        <v>#VALUE!</v>
      </c>
      <c r="GS7" t="e">
        <f>India!AP20+"$K%t!)\"</f>
        <v>#VALUE!</v>
      </c>
      <c r="GT7" t="e">
        <f>India!A21+"$K%t!)]"</f>
        <v>#VALUE!</v>
      </c>
      <c r="GU7" t="e">
        <f>India!B21+"$K%t!)^"</f>
        <v>#VALUE!</v>
      </c>
      <c r="GV7" t="e">
        <f>India!C21+"$K%t!)_"</f>
        <v>#VALUE!</v>
      </c>
      <c r="GW7" t="e">
        <f>India!D21+"$K%t!)`"</f>
        <v>#VALUE!</v>
      </c>
      <c r="GX7" t="e">
        <f>India!E21+"$K%t!)a"</f>
        <v>#VALUE!</v>
      </c>
      <c r="GY7" t="e">
        <f>India!F21+"$K%t!)b"</f>
        <v>#VALUE!</v>
      </c>
      <c r="GZ7" t="e">
        <f>India!G21+"$K%t!)c"</f>
        <v>#VALUE!</v>
      </c>
      <c r="HA7" t="e">
        <f>India!H21+"$K%t!)d"</f>
        <v>#VALUE!</v>
      </c>
      <c r="HB7" t="e">
        <f>India!I21+"$K%t!)e"</f>
        <v>#VALUE!</v>
      </c>
      <c r="HC7" t="e">
        <f>India!J21+"$K%t!)f"</f>
        <v>#VALUE!</v>
      </c>
      <c r="HD7" t="e">
        <f>India!K21+"$K%t!)g"</f>
        <v>#VALUE!</v>
      </c>
      <c r="HE7" t="e">
        <f>India!L21+"$K%t!)h"</f>
        <v>#VALUE!</v>
      </c>
      <c r="HF7" t="e">
        <f>India!M21+"$K%t!)i"</f>
        <v>#VALUE!</v>
      </c>
      <c r="HG7" t="e">
        <f>India!N21+"$K%t!)j"</f>
        <v>#VALUE!</v>
      </c>
      <c r="HH7" t="e">
        <f>India!Q21+"$K%t!)k"</f>
        <v>#VALUE!</v>
      </c>
      <c r="HI7" t="e">
        <f>India!R21+"$K%t!)l"</f>
        <v>#VALUE!</v>
      </c>
      <c r="HJ7" t="e">
        <f>India!S21+"$K%t!)m"</f>
        <v>#VALUE!</v>
      </c>
      <c r="HK7" t="e">
        <f>India!V21+"$K%t!)n"</f>
        <v>#VALUE!</v>
      </c>
      <c r="HL7" t="e">
        <f>India!W21+"$K%t!)o"</f>
        <v>#VALUE!</v>
      </c>
      <c r="HM7" t="e">
        <f>India!X21+"$K%t!)p"</f>
        <v>#VALUE!</v>
      </c>
      <c r="HN7" t="e">
        <f>India!Y21+"$K%t!)q"</f>
        <v>#VALUE!</v>
      </c>
      <c r="HO7" t="e">
        <f>India!Z21+"$K%t!)r"</f>
        <v>#VALUE!</v>
      </c>
      <c r="HP7" t="e">
        <f>India!AA21+"$K%t!)s"</f>
        <v>#VALUE!</v>
      </c>
      <c r="HQ7" t="e">
        <f>India!AB21+"$K%t!)t"</f>
        <v>#VALUE!</v>
      </c>
      <c r="HR7" t="e">
        <f>India!AC21+"$K%t!)u"</f>
        <v>#VALUE!</v>
      </c>
      <c r="HS7" t="e">
        <f>India!AD21+"$K%t!)v"</f>
        <v>#VALUE!</v>
      </c>
      <c r="HT7" t="e">
        <f>India!AE21+"$K%t!)w"</f>
        <v>#VALUE!</v>
      </c>
      <c r="HU7" t="e">
        <f>India!AF21+"$K%t!)x"</f>
        <v>#VALUE!</v>
      </c>
      <c r="HV7" t="e">
        <f>India!AG21+"$K%t!)y"</f>
        <v>#VALUE!</v>
      </c>
      <c r="HW7" t="e">
        <f>India!AH21+"$K%t!)z"</f>
        <v>#VALUE!</v>
      </c>
      <c r="HX7" t="e">
        <f>India!AI21+"$K%t!){"</f>
        <v>#VALUE!</v>
      </c>
      <c r="HY7" t="e">
        <f>India!AJ21+"$K%t!)|"</f>
        <v>#VALUE!</v>
      </c>
      <c r="HZ7" t="e">
        <f>India!AK21+"$K%t!)}"</f>
        <v>#VALUE!</v>
      </c>
      <c r="IA7" t="e">
        <f>India!AL21+"$K%t!)~"</f>
        <v>#VALUE!</v>
      </c>
      <c r="IB7" t="e">
        <f>India!AM21+"$K%t!.#"</f>
        <v>#VALUE!</v>
      </c>
      <c r="IC7" t="e">
        <f>India!AN21+"$K%t!.$"</f>
        <v>#VALUE!</v>
      </c>
      <c r="ID7" t="e">
        <f>India!AO21+"$K%t!.%"</f>
        <v>#VALUE!</v>
      </c>
      <c r="IE7" t="e">
        <f>India!AP21+"$K%t!.&amp;"</f>
        <v>#VALUE!</v>
      </c>
      <c r="IF7" t="e">
        <f>India!A22+"$K%t!.'"</f>
        <v>#VALUE!</v>
      </c>
      <c r="IG7" t="e">
        <f>India!B22+"$K%t!.("</f>
        <v>#VALUE!</v>
      </c>
      <c r="IH7" t="e">
        <f>India!C22+"$K%t!.)"</f>
        <v>#VALUE!</v>
      </c>
      <c r="II7" t="e">
        <f>India!D22+"$K%t!.."</f>
        <v>#VALUE!</v>
      </c>
      <c r="IJ7" t="e">
        <f>India!E22+"$K%t!./"</f>
        <v>#VALUE!</v>
      </c>
      <c r="IK7" t="e">
        <f>India!F22+"$K%t!.0"</f>
        <v>#VALUE!</v>
      </c>
      <c r="IL7" t="e">
        <f>India!G22+"$K%t!.1"</f>
        <v>#VALUE!</v>
      </c>
      <c r="IM7" t="e">
        <f>India!H22+"$K%t!.2"</f>
        <v>#VALUE!</v>
      </c>
      <c r="IN7" t="e">
        <f>India!I22+"$K%t!.3"</f>
        <v>#VALUE!</v>
      </c>
      <c r="IO7" t="e">
        <f>India!J22+"$K%t!.4"</f>
        <v>#VALUE!</v>
      </c>
      <c r="IP7" t="e">
        <f>India!K22+"$K%t!.5"</f>
        <v>#VALUE!</v>
      </c>
      <c r="IQ7" t="e">
        <f>India!L22+"$K%t!.6"</f>
        <v>#VALUE!</v>
      </c>
      <c r="IR7" t="e">
        <f>India!M22+"$K%t!.7"</f>
        <v>#VALUE!</v>
      </c>
      <c r="IS7" t="e">
        <f>India!N22+"$K%t!.8"</f>
        <v>#VALUE!</v>
      </c>
      <c r="IT7" t="e">
        <f>India!Q22+"$K%t!.9"</f>
        <v>#VALUE!</v>
      </c>
      <c r="IU7" t="e">
        <f>India!R22+"$K%t!.:"</f>
        <v>#VALUE!</v>
      </c>
      <c r="IV7" t="e">
        <f>India!S22+"$K%t!.;"</f>
        <v>#VALUE!</v>
      </c>
    </row>
    <row r="8" spans="1:256" x14ac:dyDescent="0.25">
      <c r="F8" t="e">
        <f>India!V22+"$K%t!.&lt;"</f>
        <v>#VALUE!</v>
      </c>
      <c r="G8" t="e">
        <f>India!W22+"$K%t!.="</f>
        <v>#VALUE!</v>
      </c>
      <c r="H8" t="e">
        <f>India!X22+"$K%t!.&gt;"</f>
        <v>#VALUE!</v>
      </c>
      <c r="I8" t="e">
        <f>India!Y22+"$K%t!.?"</f>
        <v>#VALUE!</v>
      </c>
      <c r="J8" t="e">
        <f>India!Z22+"$K%t!.@"</f>
        <v>#VALUE!</v>
      </c>
      <c r="K8" t="e">
        <f>India!AA22+"$K%t!.A"</f>
        <v>#VALUE!</v>
      </c>
      <c r="L8" t="e">
        <f>India!AB22+"$K%t!.B"</f>
        <v>#VALUE!</v>
      </c>
      <c r="M8" t="e">
        <f>India!AC22+"$K%t!.C"</f>
        <v>#VALUE!</v>
      </c>
      <c r="N8" t="e">
        <f>India!AD22+"$K%t!.D"</f>
        <v>#VALUE!</v>
      </c>
      <c r="O8" t="e">
        <f>India!AE22+"$K%t!.E"</f>
        <v>#VALUE!</v>
      </c>
      <c r="P8" t="e">
        <f>India!AF22+"$K%t!.F"</f>
        <v>#VALUE!</v>
      </c>
      <c r="Q8" t="e">
        <f>India!AG22+"$K%t!.G"</f>
        <v>#VALUE!</v>
      </c>
      <c r="R8" t="e">
        <f>India!AH22+"$K%t!.H"</f>
        <v>#VALUE!</v>
      </c>
      <c r="S8" t="e">
        <f>India!AI22+"$K%t!.I"</f>
        <v>#VALUE!</v>
      </c>
      <c r="T8" t="e">
        <f>India!AJ22+"$K%t!.J"</f>
        <v>#VALUE!</v>
      </c>
      <c r="U8" t="e">
        <f>India!AK22+"$K%t!.K"</f>
        <v>#VALUE!</v>
      </c>
      <c r="V8" t="e">
        <f>India!AL22+"$K%t!.L"</f>
        <v>#VALUE!</v>
      </c>
      <c r="W8" t="e">
        <f>India!AM22+"$K%t!.M"</f>
        <v>#VALUE!</v>
      </c>
      <c r="X8" t="e">
        <f>India!AN22+"$K%t!.N"</f>
        <v>#VALUE!</v>
      </c>
      <c r="Y8" t="e">
        <f>India!AO22+"$K%t!.O"</f>
        <v>#VALUE!</v>
      </c>
      <c r="Z8" t="e">
        <f>India!AP22+"$K%t!.P"</f>
        <v>#VALUE!</v>
      </c>
      <c r="AA8" t="e">
        <f>India!A23+"$K%t!.Q"</f>
        <v>#VALUE!</v>
      </c>
      <c r="AB8" t="e">
        <f>India!B23+"$K%t!.R"</f>
        <v>#VALUE!</v>
      </c>
      <c r="AC8" t="e">
        <f>India!C23+"$K%t!.S"</f>
        <v>#VALUE!</v>
      </c>
      <c r="AD8" t="e">
        <f>India!D23+"$K%t!.T"</f>
        <v>#VALUE!</v>
      </c>
      <c r="AE8" t="e">
        <f>India!E23+"$K%t!.U"</f>
        <v>#VALUE!</v>
      </c>
      <c r="AF8" t="e">
        <f>India!F23+"$K%t!.V"</f>
        <v>#VALUE!</v>
      </c>
      <c r="AG8" t="e">
        <f>India!G23+"$K%t!.W"</f>
        <v>#VALUE!</v>
      </c>
      <c r="AH8" t="e">
        <f>India!H23+"$K%t!.X"</f>
        <v>#VALUE!</v>
      </c>
      <c r="AI8" t="e">
        <f>India!I23+"$K%t!.Y"</f>
        <v>#VALUE!</v>
      </c>
      <c r="AJ8" t="e">
        <f>India!A24+"$K%t!.Z"</f>
        <v>#VALUE!</v>
      </c>
      <c r="AK8" t="e">
        <f>India!B24+"$K%t!.["</f>
        <v>#VALUE!</v>
      </c>
      <c r="AL8" t="e">
        <f>India!C24+"$K%t!.\"</f>
        <v>#VALUE!</v>
      </c>
      <c r="AM8" t="e">
        <f>India!D24+"$K%t!.]"</f>
        <v>#VALUE!</v>
      </c>
      <c r="AN8" t="e">
        <f>India!E24+"$K%t!.^"</f>
        <v>#VALUE!</v>
      </c>
      <c r="AO8" t="e">
        <f>India!F24+"$K%t!._"</f>
        <v>#VALUE!</v>
      </c>
      <c r="AP8" t="e">
        <f>India!G24+"$K%t!.`"</f>
        <v>#VALUE!</v>
      </c>
      <c r="AQ8" t="e">
        <f>India!H24+"$K%t!.a"</f>
        <v>#VALUE!</v>
      </c>
      <c r="AR8" t="e">
        <f>India!I24+"$K%t!.b"</f>
        <v>#VALUE!</v>
      </c>
      <c r="AS8" t="e">
        <f>India!A25+"$K%t!.c"</f>
        <v>#VALUE!</v>
      </c>
      <c r="AT8" t="e">
        <f>India!B25+"$K%t!.d"</f>
        <v>#VALUE!</v>
      </c>
      <c r="AU8" t="e">
        <f>India!C25+"$K%t!.e"</f>
        <v>#VALUE!</v>
      </c>
      <c r="AV8" t="e">
        <f>India!D25+"$K%t!.f"</f>
        <v>#VALUE!</v>
      </c>
      <c r="AW8" t="e">
        <f>India!E25+"$K%t!.g"</f>
        <v>#VALUE!</v>
      </c>
      <c r="AX8" t="e">
        <f>India!F25+"$K%t!.h"</f>
        <v>#VALUE!</v>
      </c>
      <c r="AY8" t="e">
        <f>India!G25+"$K%t!.i"</f>
        <v>#VALUE!</v>
      </c>
      <c r="AZ8" t="e">
        <f>India!H25+"$K%t!.j"</f>
        <v>#VALUE!</v>
      </c>
      <c r="BA8" t="e">
        <f>India!A26+"$K%t!.k"</f>
        <v>#VALUE!</v>
      </c>
      <c r="BB8" t="e">
        <f>India!B26+"$K%t!.l"</f>
        <v>#VALUE!</v>
      </c>
      <c r="BC8" t="e">
        <f>India!C26+"$K%t!.m"</f>
        <v>#VALUE!</v>
      </c>
      <c r="BD8" t="e">
        <f>India!D26+"$K%t!.n"</f>
        <v>#VALUE!</v>
      </c>
      <c r="BE8" t="e">
        <f>India!E26+"$K%t!.o"</f>
        <v>#VALUE!</v>
      </c>
      <c r="BF8" t="e">
        <f>India!F26+"$K%t!.p"</f>
        <v>#VALUE!</v>
      </c>
      <c r="BG8" t="e">
        <f>India!G26+"$K%t!.q"</f>
        <v>#VALUE!</v>
      </c>
      <c r="BH8" t="e">
        <f>India!H26+"$K%t!.r"</f>
        <v>#VALUE!</v>
      </c>
      <c r="BI8" t="e">
        <f>India!A27+"$K%t!.s"</f>
        <v>#VALUE!</v>
      </c>
      <c r="BJ8" t="e">
        <f>India!B27+"$K%t!.t"</f>
        <v>#VALUE!</v>
      </c>
      <c r="BK8" t="e">
        <f>India!C27+"$K%t!.u"</f>
        <v>#VALUE!</v>
      </c>
      <c r="BL8" t="e">
        <f>India!D27+"$K%t!.v"</f>
        <v>#VALUE!</v>
      </c>
      <c r="BM8" t="e">
        <f>India!E27+"$K%t!.w"</f>
        <v>#VALUE!</v>
      </c>
      <c r="BN8" t="e">
        <f>India!F27+"$K%t!.x"</f>
        <v>#VALUE!</v>
      </c>
      <c r="BO8" t="e">
        <f>India!G27+"$K%t!.y"</f>
        <v>#VALUE!</v>
      </c>
      <c r="BP8" t="e">
        <f>India!H27+"$K%t!.z"</f>
        <v>#VALUE!</v>
      </c>
      <c r="BQ8" t="e">
        <f>India!A28+"$K%t!.{"</f>
        <v>#VALUE!</v>
      </c>
      <c r="BR8" t="e">
        <f>India!B28+"$K%t!.|"</f>
        <v>#VALUE!</v>
      </c>
      <c r="BS8" t="e">
        <f>India!C28+"$K%t!.}"</f>
        <v>#VALUE!</v>
      </c>
      <c r="BT8" t="e">
        <f>India!D28+"$K%t!.~"</f>
        <v>#VALUE!</v>
      </c>
      <c r="BU8" t="e">
        <f>India!E28+"$K%t!/#"</f>
        <v>#VALUE!</v>
      </c>
      <c r="BV8" t="e">
        <f>India!F28+"$K%t!/$"</f>
        <v>#VALUE!</v>
      </c>
      <c r="BW8" t="e">
        <f>India!G28+"$K%t!/%"</f>
        <v>#VALUE!</v>
      </c>
      <c r="BX8" t="e">
        <f>India!H28+"$K%t!/&amp;"</f>
        <v>#VALUE!</v>
      </c>
      <c r="BY8" t="e">
        <f>India!A29+"$K%t!/'"</f>
        <v>#VALUE!</v>
      </c>
      <c r="BZ8" t="e">
        <f>India!B29+"$K%t!/("</f>
        <v>#VALUE!</v>
      </c>
      <c r="CA8" t="e">
        <f>India!C29+"$K%t!/)"</f>
        <v>#VALUE!</v>
      </c>
      <c r="CB8" t="e">
        <f>India!D29+"$K%t!/."</f>
        <v>#VALUE!</v>
      </c>
      <c r="CC8" t="e">
        <f>India!E29+"$K%t!//"</f>
        <v>#VALUE!</v>
      </c>
      <c r="CD8" t="e">
        <f>India!F29+"$K%t!/0"</f>
        <v>#VALUE!</v>
      </c>
      <c r="CE8" t="e">
        <f>India!G29+"$K%t!/1"</f>
        <v>#VALUE!</v>
      </c>
      <c r="CF8" t="e">
        <f>India!H29+"$K%t!/2"</f>
        <v>#VALUE!</v>
      </c>
      <c r="CG8" t="e">
        <f>India!I29+"$K%t!/3"</f>
        <v>#VALUE!</v>
      </c>
      <c r="CH8" t="e">
        <f>India!J29+"$K%t!/4"</f>
        <v>#VALUE!</v>
      </c>
      <c r="CI8" t="e">
        <f>India!K29+"$K%t!/5"</f>
        <v>#VALUE!</v>
      </c>
      <c r="CJ8" t="e">
        <f>India!L29+"$K%t!/6"</f>
        <v>#VALUE!</v>
      </c>
      <c r="CK8" t="e">
        <f>India!M29+"$K%t!/7"</f>
        <v>#VALUE!</v>
      </c>
      <c r="CL8" t="e">
        <f>India!N29+"$K%t!/8"</f>
        <v>#VALUE!</v>
      </c>
      <c r="CM8" t="e">
        <f>India!O29+"$K%t!/9"</f>
        <v>#VALUE!</v>
      </c>
      <c r="CN8" t="e">
        <f>India!P29+"$K%t!/:"</f>
        <v>#VALUE!</v>
      </c>
      <c r="CO8" t="e">
        <f>India!Q29+"$K%t!/;"</f>
        <v>#VALUE!</v>
      </c>
      <c r="CP8" t="e">
        <f>India!R29+"$K%t!/&lt;"</f>
        <v>#VALUE!</v>
      </c>
      <c r="CQ8" t="e">
        <f>India!S29+"$K%t!/="</f>
        <v>#VALUE!</v>
      </c>
      <c r="CR8" t="e">
        <f>India!U29+"$K%t!/&gt;"</f>
        <v>#VALUE!</v>
      </c>
      <c r="CS8" t="e">
        <f>India!V29+"$K%t!/?"</f>
        <v>#VALUE!</v>
      </c>
      <c r="CT8" t="e">
        <f>India!W29+"$K%t!/@"</f>
        <v>#VALUE!</v>
      </c>
      <c r="CU8" t="e">
        <f>India!X29+"$K%t!/A"</f>
        <v>#VALUE!</v>
      </c>
      <c r="CV8" t="e">
        <f>India!Y29+"$K%t!/B"</f>
        <v>#VALUE!</v>
      </c>
      <c r="CW8" t="e">
        <f>India!Z29+"$K%t!/C"</f>
        <v>#VALUE!</v>
      </c>
      <c r="CX8" t="e">
        <f>India!AA29+"$K%t!/D"</f>
        <v>#VALUE!</v>
      </c>
      <c r="CY8" t="e">
        <f>India!AB29+"$K%t!/E"</f>
        <v>#VALUE!</v>
      </c>
      <c r="CZ8" t="e">
        <f>India!AC29+"$K%t!/F"</f>
        <v>#VALUE!</v>
      </c>
      <c r="DA8" t="e">
        <f>India!AD29+"$K%t!/G"</f>
        <v>#VALUE!</v>
      </c>
      <c r="DB8" t="e">
        <f>India!AE29+"$K%t!/H"</f>
        <v>#VALUE!</v>
      </c>
      <c r="DC8" t="e">
        <f>India!AF29+"$K%t!/I"</f>
        <v>#VALUE!</v>
      </c>
      <c r="DD8" t="e">
        <f>India!AG29+"$K%t!/J"</f>
        <v>#VALUE!</v>
      </c>
      <c r="DE8" t="e">
        <f>India!AH29+"$K%t!/K"</f>
        <v>#VALUE!</v>
      </c>
      <c r="DF8" t="e">
        <f>India!AI29+"$K%t!/L"</f>
        <v>#VALUE!</v>
      </c>
      <c r="DG8" t="e">
        <f>India!AJ29+"$K%t!/M"</f>
        <v>#VALUE!</v>
      </c>
      <c r="DH8" t="e">
        <f>India!AK29+"$K%t!/N"</f>
        <v>#VALUE!</v>
      </c>
      <c r="DI8" t="e">
        <f>India!AL29+"$K%t!/O"</f>
        <v>#VALUE!</v>
      </c>
      <c r="DJ8" t="e">
        <f>India!AM29+"$K%t!/P"</f>
        <v>#VALUE!</v>
      </c>
      <c r="DK8" t="e">
        <f>India!AN29+"$K%t!/Q"</f>
        <v>#VALUE!</v>
      </c>
      <c r="DL8" t="e">
        <f>India!AO29+"$K%t!/R"</f>
        <v>#VALUE!</v>
      </c>
      <c r="DM8" t="e">
        <f>India!AP29+"$K%t!/S"</f>
        <v>#VALUE!</v>
      </c>
      <c r="DN8" t="e">
        <f>India!A30+"$K%t!/T"</f>
        <v>#VALUE!</v>
      </c>
      <c r="DO8" t="e">
        <f>India!B30+"$K%t!/U"</f>
        <v>#VALUE!</v>
      </c>
      <c r="DP8" t="e">
        <f>India!C30+"$K%t!/V"</f>
        <v>#VALUE!</v>
      </c>
      <c r="DQ8" t="e">
        <f>India!D30+"$K%t!/W"</f>
        <v>#VALUE!</v>
      </c>
      <c r="DR8" t="e">
        <f>India!E30+"$K%t!/X"</f>
        <v>#VALUE!</v>
      </c>
      <c r="DS8" t="e">
        <f>India!F30+"$K%t!/Y"</f>
        <v>#VALUE!</v>
      </c>
      <c r="DT8" t="e">
        <f>India!G30+"$K%t!/Z"</f>
        <v>#VALUE!</v>
      </c>
      <c r="DU8" t="e">
        <f>India!H30+"$K%t!/["</f>
        <v>#VALUE!</v>
      </c>
      <c r="DV8" t="e">
        <f>India!I30+"$K%t!/\"</f>
        <v>#VALUE!</v>
      </c>
      <c r="DW8" t="e">
        <f>India!J30+"$K%t!/]"</f>
        <v>#VALUE!</v>
      </c>
      <c r="DX8" t="e">
        <f>India!U30+"$K%t!/^"</f>
        <v>#VALUE!</v>
      </c>
      <c r="DY8" t="e">
        <f>India!V30+"$K%t!/_"</f>
        <v>#VALUE!</v>
      </c>
      <c r="DZ8" t="e">
        <f>India!W30+"$K%t!/`"</f>
        <v>#VALUE!</v>
      </c>
      <c r="EA8" t="e">
        <f>India!X30+"$K%t!/a"</f>
        <v>#VALUE!</v>
      </c>
      <c r="EB8" t="e">
        <f>India!AK30+"$K%t!/b"</f>
        <v>#VALUE!</v>
      </c>
      <c r="EC8" t="e">
        <f>India!AL30+"$K%t!/c"</f>
        <v>#VALUE!</v>
      </c>
      <c r="ED8" t="e">
        <f>India!AM30+"$K%t!/d"</f>
        <v>#VALUE!</v>
      </c>
      <c r="EE8" t="e">
        <f>India!AN30+"$K%t!/e"</f>
        <v>#VALUE!</v>
      </c>
      <c r="EF8" t="e">
        <f>India!AO30+"$K%t!/f"</f>
        <v>#VALUE!</v>
      </c>
      <c r="EG8" t="e">
        <f>India!AP30+"$K%t!/g"</f>
        <v>#VALUE!</v>
      </c>
      <c r="EH8" t="e">
        <f>India!A31+"$K%t!/h"</f>
        <v>#VALUE!</v>
      </c>
      <c r="EI8" t="e">
        <f>India!B31+"$K%t!/i"</f>
        <v>#VALUE!</v>
      </c>
      <c r="EJ8" t="e">
        <f>India!C31+"$K%t!/j"</f>
        <v>#VALUE!</v>
      </c>
      <c r="EK8" t="e">
        <f>India!D31+"$K%t!/k"</f>
        <v>#VALUE!</v>
      </c>
      <c r="EL8" t="e">
        <f>India!E31+"$K%t!/l"</f>
        <v>#VALUE!</v>
      </c>
      <c r="EM8" t="e">
        <f>India!F31+"$K%t!/m"</f>
        <v>#VALUE!</v>
      </c>
      <c r="EN8" t="e">
        <f>India!G31+"$K%t!/n"</f>
        <v>#VALUE!</v>
      </c>
      <c r="EO8" t="e">
        <f>India!H31+"$K%t!/o"</f>
        <v>#VALUE!</v>
      </c>
      <c r="EP8" t="e">
        <f>India!A32+"$K%t!/p"</f>
        <v>#VALUE!</v>
      </c>
      <c r="EQ8" t="e">
        <f>India!B32+"$K%t!/q"</f>
        <v>#VALUE!</v>
      </c>
      <c r="ER8" t="e">
        <f>India!C32+"$K%t!/r"</f>
        <v>#VALUE!</v>
      </c>
      <c r="ES8" t="e">
        <f>India!D32+"$K%t!/s"</f>
        <v>#VALUE!</v>
      </c>
      <c r="ET8" t="e">
        <f>India!E32+"$K%t!/t"</f>
        <v>#VALUE!</v>
      </c>
      <c r="EU8" t="e">
        <f>India!F32+"$K%t!/u"</f>
        <v>#VALUE!</v>
      </c>
      <c r="EV8" t="e">
        <f>India!G32+"$K%t!/v"</f>
        <v>#VALUE!</v>
      </c>
      <c r="EW8" t="e">
        <f>India!H32+"$K%t!/w"</f>
        <v>#VALUE!</v>
      </c>
      <c r="EX8" t="e">
        <f>India!A33+"$K%t!/x"</f>
        <v>#VALUE!</v>
      </c>
      <c r="EY8" t="e">
        <f>India!B33+"$K%t!/y"</f>
        <v>#VALUE!</v>
      </c>
      <c r="EZ8" t="e">
        <f>India!C33+"$K%t!/z"</f>
        <v>#VALUE!</v>
      </c>
      <c r="FA8" t="e">
        <f>India!D33+"$K%t!/{"</f>
        <v>#VALUE!</v>
      </c>
      <c r="FB8" t="e">
        <f>India!E33+"$K%t!/|"</f>
        <v>#VALUE!</v>
      </c>
      <c r="FC8" t="e">
        <f>India!F33+"$K%t!/}"</f>
        <v>#VALUE!</v>
      </c>
      <c r="FD8" t="e">
        <f>India!G33+"$K%t!/~"</f>
        <v>#VALUE!</v>
      </c>
      <c r="FE8" t="e">
        <f>India!H33+"$K%t!0#"</f>
        <v>#VALUE!</v>
      </c>
      <c r="FF8" t="e">
        <f>India!A34+"$K%t!0$"</f>
        <v>#VALUE!</v>
      </c>
      <c r="FG8" t="e">
        <f>India!B34+"$K%t!0%"</f>
        <v>#VALUE!</v>
      </c>
      <c r="FH8" t="e">
        <f>India!C34+"$K%t!0&amp;"</f>
        <v>#VALUE!</v>
      </c>
      <c r="FI8" t="e">
        <f>India!D34+"$K%t!0'"</f>
        <v>#VALUE!</v>
      </c>
      <c r="FJ8" t="e">
        <f>India!E34+"$K%t!0("</f>
        <v>#VALUE!</v>
      </c>
      <c r="FK8" t="e">
        <f>India!F34+"$K%t!0)"</f>
        <v>#VALUE!</v>
      </c>
      <c r="FL8" t="e">
        <f>India!G34+"$K%t!0."</f>
        <v>#VALUE!</v>
      </c>
      <c r="FM8" t="e">
        <f>India!H34+"$K%t!0/"</f>
        <v>#VALUE!</v>
      </c>
      <c r="FN8" t="e">
        <f>India!A35+"$K%t!00"</f>
        <v>#VALUE!</v>
      </c>
      <c r="FO8" t="e">
        <f>India!B35+"$K%t!01"</f>
        <v>#VALUE!</v>
      </c>
      <c r="FP8" t="e">
        <f>India!C35+"$K%t!02"</f>
        <v>#VALUE!</v>
      </c>
      <c r="FQ8" t="e">
        <f>India!D35+"$K%t!03"</f>
        <v>#VALUE!</v>
      </c>
      <c r="FR8" t="e">
        <f>India!E35+"$K%t!04"</f>
        <v>#VALUE!</v>
      </c>
      <c r="FS8" t="e">
        <f>India!F35+"$K%t!05"</f>
        <v>#VALUE!</v>
      </c>
      <c r="FT8" t="e">
        <f>India!G35+"$K%t!06"</f>
        <v>#VALUE!</v>
      </c>
      <c r="FU8" t="e">
        <f>India!H35+"$K%t!07"</f>
        <v>#VALUE!</v>
      </c>
      <c r="FV8" t="e">
        <f>India!A36+"$K%t!08"</f>
        <v>#VALUE!</v>
      </c>
      <c r="FW8" t="e">
        <f>India!B36+"$K%t!09"</f>
        <v>#VALUE!</v>
      </c>
      <c r="FX8" t="e">
        <f>India!C36+"$K%t!0:"</f>
        <v>#VALUE!</v>
      </c>
      <c r="FY8" t="e">
        <f>India!D36+"$K%t!0;"</f>
        <v>#VALUE!</v>
      </c>
      <c r="FZ8" t="e">
        <f>India!E36+"$K%t!0&lt;"</f>
        <v>#VALUE!</v>
      </c>
      <c r="GA8" t="e">
        <f>India!F36+"$K%t!0="</f>
        <v>#VALUE!</v>
      </c>
      <c r="GB8" t="e">
        <f>India!G36+"$K%t!0&gt;"</f>
        <v>#VALUE!</v>
      </c>
      <c r="GC8" t="e">
        <f>India!H36+"$K%t!0?"</f>
        <v>#VALUE!</v>
      </c>
      <c r="GD8" t="e">
        <f>India!A37+"$K%t!0@"</f>
        <v>#VALUE!</v>
      </c>
      <c r="GE8" t="e">
        <f>India!B37+"$K%t!0A"</f>
        <v>#VALUE!</v>
      </c>
      <c r="GF8" t="e">
        <f>India!C37+"$K%t!0B"</f>
        <v>#VALUE!</v>
      </c>
      <c r="GG8" t="e">
        <f>India!D37+"$K%t!0C"</f>
        <v>#VALUE!</v>
      </c>
      <c r="GH8" t="e">
        <f>India!E37+"$K%t!0D"</f>
        <v>#VALUE!</v>
      </c>
      <c r="GI8" t="e">
        <f>India!F37+"$K%t!0E"</f>
        <v>#VALUE!</v>
      </c>
      <c r="GJ8" t="e">
        <f>India!G37+"$K%t!0F"</f>
        <v>#VALUE!</v>
      </c>
      <c r="GK8" t="e">
        <f>India!H37+"$K%t!0G"</f>
        <v>#VALUE!</v>
      </c>
      <c r="GL8" t="e">
        <f>India!A38+"$K%t!0H"</f>
        <v>#VALUE!</v>
      </c>
      <c r="GM8" t="e">
        <f>India!B38+"$K%t!0I"</f>
        <v>#VALUE!</v>
      </c>
      <c r="GN8" t="e">
        <f>India!C38+"$K%t!0J"</f>
        <v>#VALUE!</v>
      </c>
      <c r="GO8" t="e">
        <f>India!D38+"$K%t!0K"</f>
        <v>#VALUE!</v>
      </c>
      <c r="GP8" t="e">
        <f>India!E38+"$K%t!0L"</f>
        <v>#VALUE!</v>
      </c>
      <c r="GQ8" t="e">
        <f>India!F38+"$K%t!0M"</f>
        <v>#VALUE!</v>
      </c>
      <c r="GR8" t="e">
        <f>India!G38+"$K%t!0N"</f>
        <v>#VALUE!</v>
      </c>
      <c r="GS8" t="e">
        <f>India!H38+"$K%t!0O"</f>
        <v>#VALUE!</v>
      </c>
      <c r="GT8" t="e">
        <f>India!A39+"$K%t!0P"</f>
        <v>#VALUE!</v>
      </c>
      <c r="GU8" t="e">
        <f>India!B39+"$K%t!0Q"</f>
        <v>#VALUE!</v>
      </c>
      <c r="GV8" t="e">
        <f>India!C39+"$K%t!0R"</f>
        <v>#VALUE!</v>
      </c>
      <c r="GW8" t="e">
        <f>India!D39+"$K%t!0S"</f>
        <v>#VALUE!</v>
      </c>
      <c r="GX8" t="e">
        <f>India!E39+"$K%t!0T"</f>
        <v>#VALUE!</v>
      </c>
      <c r="GY8" t="e">
        <f>India!F39+"$K%t!0U"</f>
        <v>#VALUE!</v>
      </c>
      <c r="GZ8" t="e">
        <f>India!G39+"$K%t!0V"</f>
        <v>#VALUE!</v>
      </c>
      <c r="HA8" t="e">
        <f>India!H39+"$K%t!0W"</f>
        <v>#VALUE!</v>
      </c>
      <c r="HB8" t="e">
        <f>India!I39+"$K%t!0X"</f>
        <v>#VALUE!</v>
      </c>
      <c r="HC8" t="e">
        <f>India!K39+"$K%t!0Y"</f>
        <v>#VALUE!</v>
      </c>
      <c r="HD8" t="e">
        <f>India!M39+"$K%t!0Z"</f>
        <v>#VALUE!</v>
      </c>
      <c r="HE8" t="e">
        <f>India!O39+"$K%t!0["</f>
        <v>#VALUE!</v>
      </c>
      <c r="HF8" t="e">
        <f>India!Q39+"$K%t!0\"</f>
        <v>#VALUE!</v>
      </c>
      <c r="HG8" t="e">
        <f>India!S39+"$K%t!0]"</f>
        <v>#VALUE!</v>
      </c>
      <c r="HH8" t="e">
        <f>India!U39+"$K%t!0^"</f>
        <v>#VALUE!</v>
      </c>
      <c r="HI8" t="e">
        <f>India!W39+"$K%t!0_"</f>
        <v>#VALUE!</v>
      </c>
      <c r="HJ8" t="e">
        <f>India!Y39+"$K%t!0`"</f>
        <v>#VALUE!</v>
      </c>
      <c r="HK8" t="e">
        <f>India!AA39+"$K%t!0a"</f>
        <v>#VALUE!</v>
      </c>
      <c r="HL8" t="e">
        <f>India!AC39+"$K%t!0b"</f>
        <v>#VALUE!</v>
      </c>
      <c r="HM8" t="e">
        <f>India!AE39+"$K%t!0c"</f>
        <v>#VALUE!</v>
      </c>
      <c r="HN8" t="e">
        <f>India!AG39+"$K%t!0d"</f>
        <v>#VALUE!</v>
      </c>
      <c r="HO8" t="e">
        <f>India!AH39+"$K%t!0e"</f>
        <v>#VALUE!</v>
      </c>
      <c r="HP8" t="e">
        <f>India!AI39+"$K%t!0f"</f>
        <v>#VALUE!</v>
      </c>
      <c r="HQ8" t="e">
        <f>India!AK39+"$K%t!0g"</f>
        <v>#VALUE!</v>
      </c>
      <c r="HR8" t="e">
        <f>India!AM39+"$K%t!0h"</f>
        <v>#VALUE!</v>
      </c>
      <c r="HS8" t="e">
        <f>India!A40+"$K%t!0i"</f>
        <v>#VALUE!</v>
      </c>
      <c r="HT8" t="e">
        <f>India!B40+"$K%t!0j"</f>
        <v>#VALUE!</v>
      </c>
      <c r="HU8" t="e">
        <f>India!C40+"$K%t!0k"</f>
        <v>#VALUE!</v>
      </c>
      <c r="HV8" t="e">
        <f>India!D40+"$K%t!0l"</f>
        <v>#VALUE!</v>
      </c>
      <c r="HW8" t="e">
        <f>India!E40+"$K%t!0m"</f>
        <v>#VALUE!</v>
      </c>
      <c r="HX8" t="e">
        <f>India!F40+"$K%t!0n"</f>
        <v>#VALUE!</v>
      </c>
      <c r="HY8" t="e">
        <f>India!G40+"$K%t!0o"</f>
        <v>#VALUE!</v>
      </c>
      <c r="HZ8" t="e">
        <f>India!H40+"$K%t!0p"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India</vt:lpstr>
      <vt:lpstr>Sheet3</vt:lpstr>
    </vt:vector>
  </TitlesOfParts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SALADIN Mohamed OBS/OGSB</dc:creator>
  <cp:lastModifiedBy>GUPTA Akriti Ext OBS/OCB</cp:lastModifiedBy>
  <dcterms:created xsi:type="dcterms:W3CDTF">2018-01-11T11:32:48Z</dcterms:created>
  <dcterms:modified xsi:type="dcterms:W3CDTF">2018-07-06T04:54:25Z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ffisync_ServerID">
    <vt:lpwstr>1abe28f6-4eb5-42e6-bbff-1356c852cf7b</vt:lpwstr>
  </property>
  <property fmtid="{D5CDD505-2E9C-101B-9397-08002B2CF9AE}" pid="3" name="Jive_VersionGuid">
    <vt:lpwstr>947ef692b5fb499e8c3e71fe1571678a</vt:lpwstr>
  </property>
  <property fmtid="{D5CDD505-2E9C-101B-9397-08002B2CF9AE}" pid="4" name="Offisync_UniqueId">
    <vt:lpwstr>687640</vt:lpwstr>
  </property>
  <property fmtid="{D5CDD505-2E9C-101B-9397-08002B2CF9AE}" pid="5" name="Offisync_UpdateToken">
    <vt:lpwstr>14</vt:lpwstr>
  </property>
  <property fmtid="{D5CDD505-2E9C-101B-9397-08002B2CF9AE}" pid="6" name="Offisync_ProviderInitializationData">
    <vt:lpwstr>https://plazza.orange.com</vt:lpwstr>
  </property>
  <property fmtid="{D5CDD505-2E9C-101B-9397-08002B2CF9AE}" pid="7" name="Jive_LatestUserAccountName">
    <vt:lpwstr>vikas.kathuria@orange.com</vt:lpwstr>
  </property>
  <property fmtid="{D5CDD505-2E9C-101B-9397-08002B2CF9AE}" pid="8" name="Jive_LatestFileFullName">
    <vt:lpwstr/>
  </property>
  <property fmtid="{D5CDD505-2E9C-101B-9397-08002B2CF9AE}" pid="9" name="Jive_ModifiedButNotPublished">
    <vt:lpwstr>True</vt:lpwstr>
  </property>
  <property fmtid="{D5CDD505-2E9C-101B-9397-08002B2CF9AE}" pid="10" name="Jive_PrevVersionNumber">
    <vt:lpwstr/>
  </property>
  <property fmtid="{D5CDD505-2E9C-101B-9397-08002B2CF9AE}" pid="11" name="Jive_VersionGuid_v2.5">
    <vt:lpwstr/>
  </property>
</Properties>
</file>