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drian/Documents/Campervan/"/>
    </mc:Choice>
  </mc:AlternateContent>
  <xr:revisionPtr revIDLastSave="0" documentId="13_ncr:1_{B48F4A77-2840-3949-8B81-A8B30A820F60}" xr6:coauthVersionLast="47" xr6:coauthVersionMax="47" xr10:uidLastSave="{00000000-0000-0000-0000-000000000000}"/>
  <bookViews>
    <workbookView xWindow="0" yWindow="780" windowWidth="34200" windowHeight="21360" activeTab="6" xr2:uid="{32DB9825-7707-5644-AF59-E2F85CFFFB5B}"/>
  </bookViews>
  <sheets>
    <sheet name="Summary" sheetId="1" r:id="rId1"/>
    <sheet name="Sheet1" sheetId="8" r:id="rId2"/>
    <sheet name="Van Specs" sheetId="3" r:id="rId3"/>
    <sheet name="SofaBed" sheetId="4" r:id="rId4"/>
    <sheet name="Ply" sheetId="6" r:id="rId5"/>
    <sheet name="Electrical" sheetId="7" r:id="rId6"/>
    <sheet name="Circuit"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9" l="1"/>
  <c r="D12" i="9"/>
  <c r="D6" i="9"/>
  <c r="D7" i="9"/>
  <c r="D5" i="9"/>
  <c r="H43" i="1"/>
  <c r="H37" i="1"/>
  <c r="A52" i="7"/>
  <c r="F52" i="7" s="1"/>
  <c r="H52" i="7" s="1"/>
  <c r="A51" i="7"/>
  <c r="A53" i="7"/>
  <c r="D53" i="7" s="1"/>
  <c r="D52" i="7"/>
  <c r="D51" i="7"/>
  <c r="I50" i="7"/>
  <c r="F51" i="7"/>
  <c r="H51" i="7" s="1"/>
  <c r="I51" i="7" s="1"/>
  <c r="C53" i="7"/>
  <c r="C52" i="7"/>
  <c r="H8" i="1"/>
  <c r="E52" i="7" l="1"/>
  <c r="E51" i="7"/>
  <c r="I52" i="7"/>
  <c r="G52" i="7"/>
  <c r="G51" i="7"/>
  <c r="E5" i="8"/>
  <c r="E6" i="8"/>
  <c r="E4" i="8"/>
  <c r="E7" i="8"/>
  <c r="H28" i="1"/>
  <c r="H64" i="1"/>
  <c r="H71" i="1"/>
  <c r="H72" i="1"/>
  <c r="H73" i="1"/>
  <c r="H62" i="1"/>
  <c r="H63" i="1"/>
  <c r="H68" i="1"/>
  <c r="H69" i="1"/>
  <c r="H70" i="1"/>
  <c r="H61" i="1"/>
  <c r="H38" i="1"/>
  <c r="H25" i="1"/>
  <c r="H17" i="1"/>
  <c r="H4" i="1"/>
  <c r="H36" i="1"/>
  <c r="H9" i="1"/>
  <c r="H7" i="1"/>
  <c r="H41" i="1"/>
  <c r="H53" i="1"/>
  <c r="H52" i="1"/>
  <c r="H10" i="1"/>
  <c r="H18" i="1"/>
  <c r="G34" i="1"/>
  <c r="H34" i="1" s="1"/>
  <c r="H23" i="1"/>
  <c r="H24" i="1"/>
  <c r="H29" i="1"/>
  <c r="H45" i="1"/>
  <c r="H32" i="1"/>
  <c r="H33" i="1"/>
  <c r="H31" i="1"/>
  <c r="J31" i="1"/>
  <c r="H6" i="1"/>
  <c r="H39" i="1"/>
  <c r="D2" i="7"/>
  <c r="E2" i="7"/>
  <c r="F2" i="7" s="1"/>
  <c r="F5" i="7"/>
  <c r="G5" i="7"/>
  <c r="D6" i="7"/>
  <c r="F6" i="7"/>
  <c r="D7" i="7"/>
  <c r="G7" i="7" s="1"/>
  <c r="F7" i="7"/>
  <c r="D8" i="7"/>
  <c r="G8" i="7" s="1"/>
  <c r="F8" i="7"/>
  <c r="F9" i="7"/>
  <c r="G9" i="7"/>
  <c r="F10" i="7"/>
  <c r="G10" i="7"/>
  <c r="D11" i="7"/>
  <c r="G11" i="7" s="1"/>
  <c r="F11" i="7"/>
  <c r="H60" i="1" l="1"/>
  <c r="G2" i="7"/>
  <c r="F13" i="7"/>
  <c r="L2" i="7"/>
  <c r="H67" i="1"/>
  <c r="G6" i="7"/>
  <c r="G13" i="7" s="1"/>
  <c r="L19" i="4"/>
  <c r="L21" i="4" s="1"/>
  <c r="M21" i="4"/>
  <c r="H19" i="4"/>
  <c r="H18" i="4"/>
  <c r="L18" i="4"/>
  <c r="H15" i="4"/>
  <c r="H21" i="4" s="1"/>
  <c r="L5" i="4"/>
  <c r="L8" i="4" s="1"/>
  <c r="I8" i="4"/>
  <c r="I6" i="4"/>
  <c r="I9" i="4"/>
  <c r="J6" i="4"/>
  <c r="C28" i="4"/>
  <c r="C17" i="4"/>
  <c r="C16" i="4"/>
  <c r="C6" i="4"/>
  <c r="C7" i="4" s="1"/>
  <c r="C21" i="4" s="1"/>
  <c r="C23" i="4"/>
  <c r="C29" i="4" s="1"/>
  <c r="J34" i="1"/>
  <c r="D7" i="3"/>
  <c r="E7" i="3" s="1"/>
  <c r="C3" i="3"/>
  <c r="B3" i="3"/>
  <c r="N15" i="7" l="1"/>
  <c r="G15" i="7"/>
  <c r="N16" i="7"/>
  <c r="L6" i="4"/>
  <c r="C8" i="4"/>
  <c r="C19" i="4" s="1"/>
  <c r="H16" i="1"/>
  <c r="H15" i="1"/>
  <c r="H11" i="1"/>
  <c r="H5" i="1" s="1"/>
  <c r="H56" i="1"/>
  <c r="H47" i="1"/>
  <c r="H35" i="1"/>
  <c r="H30" i="1" s="1"/>
  <c r="H42" i="1"/>
  <c r="H55" i="1"/>
  <c r="H13" i="1"/>
  <c r="D17" i="7" l="1"/>
  <c r="D18" i="7"/>
  <c r="G18" i="7" s="1"/>
  <c r="C20" i="4"/>
  <c r="D26" i="4" s="1"/>
  <c r="D20" i="4"/>
  <c r="D25" i="4" s="1"/>
  <c r="C24" i="4"/>
  <c r="C25" i="4" s="1"/>
  <c r="H12" i="1"/>
  <c r="H14" i="1"/>
  <c r="H46" i="1"/>
  <c r="H40" i="1"/>
  <c r="H3" i="1" l="1"/>
  <c r="H2" i="1" s="1"/>
  <c r="E26" i="4"/>
  <c r="E28" i="4" s="1"/>
  <c r="D28" i="4"/>
  <c r="C26" i="4"/>
  <c r="C30" i="4" s="1"/>
</calcChain>
</file>

<file path=xl/sharedStrings.xml><?xml version="1.0" encoding="utf-8"?>
<sst xmlns="http://schemas.openxmlformats.org/spreadsheetml/2006/main" count="315" uniqueCount="265">
  <si>
    <t>Item</t>
  </si>
  <si>
    <t>Qty</t>
  </si>
  <si>
    <t>Cost</t>
  </si>
  <si>
    <t>Model</t>
  </si>
  <si>
    <t>Toilet</t>
  </si>
  <si>
    <t>Dometic</t>
  </si>
  <si>
    <t>Total</t>
  </si>
  <si>
    <t>Shower</t>
  </si>
  <si>
    <t>Fridge</t>
  </si>
  <si>
    <t>Sink with lid</t>
  </si>
  <si>
    <t>Fan</t>
  </si>
  <si>
    <t>Sirocco</t>
  </si>
  <si>
    <t>Elite</t>
  </si>
  <si>
    <t>Site</t>
  </si>
  <si>
    <t>Duoetto</t>
  </si>
  <si>
    <t>Mk2 digital 10L storage water heater</t>
  </si>
  <si>
    <t>Solar Panel</t>
  </si>
  <si>
    <t>Pump</t>
  </si>
  <si>
    <t>11l/min</t>
  </si>
  <si>
    <t>Electrical and Solar</t>
  </si>
  <si>
    <t>Van</t>
  </si>
  <si>
    <t>Kitchen</t>
  </si>
  <si>
    <t>Shower and Toilet</t>
  </si>
  <si>
    <t>General</t>
  </si>
  <si>
    <t>Safiery</t>
  </si>
  <si>
    <t>Sleeping</t>
  </si>
  <si>
    <t>Bed</t>
  </si>
  <si>
    <t>DIY</t>
  </si>
  <si>
    <t>Fitout</t>
  </si>
  <si>
    <t>Driving Lights</t>
  </si>
  <si>
    <t>Telco modem and antenna</t>
  </si>
  <si>
    <t>https://www.telcoantennas.com.au/telco-x1-pro/</t>
  </si>
  <si>
    <t>Induction Stove</t>
  </si>
  <si>
    <t>CRX80 - 78l</t>
  </si>
  <si>
    <t>640x475x538</t>
  </si>
  <si>
    <t>Bushman</t>
  </si>
  <si>
    <t>https://bushman.com.au/product/dc85x/</t>
  </si>
  <si>
    <t>DC85-X</t>
  </si>
  <si>
    <t>625x475x550</t>
  </si>
  <si>
    <t>Single</t>
  </si>
  <si>
    <t>https://kombilife.com.au/products/vw-transporter-24-2-litre-wheel-arch-water-tank</t>
  </si>
  <si>
    <t>Tailgate Tent</t>
  </si>
  <si>
    <t>https://kombilife.com.au/collections/vw-transporter-swb-lwb-camping-4motion-accessories/products/vanshower-space-premium-tent-for-volkswagen-t5-t6-2004-2021</t>
  </si>
  <si>
    <t>Mattress Topper</t>
  </si>
  <si>
    <t>1350x1880 (double)</t>
  </si>
  <si>
    <t>Internal dimensions (LxW)</t>
  </si>
  <si>
    <t>Double Bed</t>
  </si>
  <si>
    <t>Balance</t>
  </si>
  <si>
    <t>Couch (Depth, Height)</t>
  </si>
  <si>
    <t>Depth</t>
  </si>
  <si>
    <t>Height</t>
  </si>
  <si>
    <t xml:space="preserve">Additional </t>
  </si>
  <si>
    <t>Couch Seat height</t>
  </si>
  <si>
    <t>Side Arms</t>
  </si>
  <si>
    <t xml:space="preserve">Mattress Thickness </t>
  </si>
  <si>
    <t>Pop Up</t>
  </si>
  <si>
    <t>Pop Top</t>
  </si>
  <si>
    <t>Smallest Bed</t>
  </si>
  <si>
    <t>ozstrut</t>
  </si>
  <si>
    <t>agm electrical</t>
  </si>
  <si>
    <t>NewEntor</t>
  </si>
  <si>
    <t>Water storage</t>
  </si>
  <si>
    <t>SNG 4244, VA8006</t>
  </si>
  <si>
    <t>Thetford</t>
  </si>
  <si>
    <t>330x383x427</t>
  </si>
  <si>
    <t>Vetus</t>
  </si>
  <si>
    <t>40l</t>
  </si>
  <si>
    <t>364x472x362</t>
  </si>
  <si>
    <t>60l</t>
  </si>
  <si>
    <t>364x682x362</t>
  </si>
  <si>
    <t>CAN-SB</t>
  </si>
  <si>
    <t>https://www.theboatwarehouse.com.au/plumbing-sinks-toilets-pumps/waste-fresh-water-tanks/can-sb-drinking-water-tank-fittings/</t>
  </si>
  <si>
    <t>39l</t>
  </si>
  <si>
    <t>550x390x200</t>
  </si>
  <si>
    <t>57l</t>
  </si>
  <si>
    <t>550x390x290</t>
  </si>
  <si>
    <t>Renogy</t>
  </si>
  <si>
    <t>https://au.renogy.com/core-12v-24v-48v-100ah-deep-cycle-lithium-iron-phosphate-battery/?irclickid=Wj9z3x0gwxycWx514LQo4Q7kUks3GnSlqzlfSc0&amp;irgwc=1&amp;partner=JourneyVanBuilds&amp;mpid=5804032&amp;group=</t>
  </si>
  <si>
    <t>bed length</t>
  </si>
  <si>
    <t>mattress width</t>
  </si>
  <si>
    <t>seat width</t>
  </si>
  <si>
    <t>467x212x208</t>
  </si>
  <si>
    <t>d</t>
  </si>
  <si>
    <t>f</t>
  </si>
  <si>
    <t>a</t>
  </si>
  <si>
    <t>w</t>
  </si>
  <si>
    <t>g</t>
  </si>
  <si>
    <t>b</t>
  </si>
  <si>
    <t>sw</t>
  </si>
  <si>
    <t>angle</t>
  </si>
  <si>
    <t>sin</t>
  </si>
  <si>
    <t>cos</t>
  </si>
  <si>
    <t>e</t>
  </si>
  <si>
    <t>c</t>
  </si>
  <si>
    <t>b+c</t>
  </si>
  <si>
    <t>x1</t>
  </si>
  <si>
    <t>x2</t>
  </si>
  <si>
    <t>radians</t>
  </si>
  <si>
    <t>x</t>
  </si>
  <si>
    <t>Known</t>
  </si>
  <si>
    <t>y1</t>
  </si>
  <si>
    <t>width</t>
  </si>
  <si>
    <t>https://www.bunnings.com.au/click-2-outlet-power-board-with-usb-charger_p0625543</t>
  </si>
  <si>
    <t>GPO</t>
  </si>
  <si>
    <t>gap</t>
  </si>
  <si>
    <t>radius</t>
  </si>
  <si>
    <t>n</t>
  </si>
  <si>
    <t>2r+g</t>
  </si>
  <si>
    <t>2*n*(r+g)</t>
  </si>
  <si>
    <t>offset</t>
  </si>
  <si>
    <t>y</t>
  </si>
  <si>
    <t>r</t>
  </si>
  <si>
    <t>38+15</t>
  </si>
  <si>
    <t>m</t>
  </si>
  <si>
    <t>LC = L * W * MP</t>
  </si>
  <si>
    <t>F17</t>
  </si>
  <si>
    <t>Mpa</t>
  </si>
  <si>
    <t>Ply</t>
  </si>
  <si>
    <t>Weight</t>
  </si>
  <si>
    <t>Birch</t>
  </si>
  <si>
    <t>size</t>
  </si>
  <si>
    <t>Black lightweight</t>
  </si>
  <si>
    <t>In practice I found that not all batteries seem to give their 'C rating', so I didn't use this figure.</t>
  </si>
  <si>
    <t>In my example my minimum battery rating would be 0.4. As they are actually rated 1 then I am well within…</t>
  </si>
  <si>
    <t xml:space="preserve"> the battery can deliver as a constant current, rated from 0 to 1 , with 1 being 100% </t>
  </si>
  <si>
    <r>
      <t>The 'Min C Rating' is basically giving the same information as the 'hourly current draw'. I may have misunderstood this bit, but</t>
    </r>
    <r>
      <rPr>
        <b/>
        <sz val="11"/>
        <color theme="1"/>
        <rFont val="Calibri"/>
        <family val="2"/>
        <scheme val="minor"/>
      </rPr>
      <t xml:space="preserve"> I think</t>
    </r>
    <r>
      <rPr>
        <sz val="12"/>
        <color theme="1"/>
        <rFont val="Calibri"/>
        <family val="2"/>
        <scheme val="minor"/>
      </rPr>
      <t xml:space="preserve"> the 'C' rating is the proportion of its rated capacity</t>
    </r>
  </si>
  <si>
    <t>and this heavily influenced my battery choice.</t>
  </si>
  <si>
    <t xml:space="preserve">though they would be run flat in a couple of hours if this was the case. In my case this figure is high because of the microwave (remove that and it drops considerably), </t>
  </si>
  <si>
    <t>My Renogy batteries can apparently provide 100 amps of constant draw each (and because there are two in parallel this means 200 amps),</t>
  </si>
  <si>
    <t>Max Hourly Current Draw' (on the top right) is the draw should all of the appliances be used at once. The batteries needs to be able to handle that draw. The battery specs should state their constant current capabilities.</t>
  </si>
  <si>
    <t>Alternatively you can enter the battery size you are considering in the blue or brown boxes and it will give you an estimate of how long they will last before charging.</t>
  </si>
  <si>
    <t>Battery size calculation is based on Lithium providing 80% of its capacity (which may be conservative), and 50% of AGM.</t>
  </si>
  <si>
    <t>The battery size required for both AGM and Lithium will be shown in the orange and green boxes. By adjusting the figure in the yellow box up or down will alter the battery size required..</t>
  </si>
  <si>
    <t>Enter how many days power you require without charging in the yellow box.</t>
  </si>
  <si>
    <t>Put in hours/day the componant will be used, in worse case scenario (eg, I put in that the Maxxair fan could be running all night on low)</t>
  </si>
  <si>
    <t>Add and take away relevent Componants and their Watt ratings, the Amp value will work out automatically</t>
  </si>
  <si>
    <t>(Current draw)</t>
  </si>
  <si>
    <t>Min C Rating:</t>
  </si>
  <si>
    <t>Amp Hours</t>
  </si>
  <si>
    <t>Lithium</t>
  </si>
  <si>
    <t>AGM</t>
  </si>
  <si>
    <t>Battery Size Required</t>
  </si>
  <si>
    <t xml:space="preserve">Battery Size envisaged </t>
  </si>
  <si>
    <t>Total Amp Hours needed</t>
  </si>
  <si>
    <t># Days' Power (without charge)</t>
  </si>
  <si>
    <t># Days' Power</t>
  </si>
  <si>
    <t>Amp Hrs</t>
  </si>
  <si>
    <t>(2 Phones charging 5 hours)</t>
  </si>
  <si>
    <t>USB Outlets</t>
  </si>
  <si>
    <t>LED Lights</t>
  </si>
  <si>
    <t>10 mins</t>
  </si>
  <si>
    <t>Coffee Machine</t>
  </si>
  <si>
    <t>15 mins</t>
  </si>
  <si>
    <t>Hob</t>
  </si>
  <si>
    <t>20 mins</t>
  </si>
  <si>
    <t>AirFryer</t>
  </si>
  <si>
    <t>(Low Speed all night)</t>
  </si>
  <si>
    <t>Amps</t>
  </si>
  <si>
    <t>(Cycling 25%)</t>
  </si>
  <si>
    <t>Dometic CRX80 Fridge</t>
  </si>
  <si>
    <t>Max Hourly Current Draw</t>
  </si>
  <si>
    <t>Amp Hours/Day</t>
  </si>
  <si>
    <t>Watt Hours/Day</t>
  </si>
  <si>
    <t>Use (Hours of a day)</t>
  </si>
  <si>
    <t>Watts</t>
  </si>
  <si>
    <t>Jacana</t>
  </si>
  <si>
    <t>Swivel Seat</t>
  </si>
  <si>
    <t>200W Panel</t>
  </si>
  <si>
    <t>200W Sinewave Inverter</t>
  </si>
  <si>
    <t>200A Battery</t>
  </si>
  <si>
    <t>DC-DC Battery Charger</t>
  </si>
  <si>
    <t>Shipping Costs</t>
  </si>
  <si>
    <t>Table</t>
  </si>
  <si>
    <t>Lagun</t>
  </si>
  <si>
    <t>https://www.bcaaust.com.au/product/lagun-folding-caravan-tables/</t>
  </si>
  <si>
    <t>Fire Extinguisher</t>
  </si>
  <si>
    <t>Sound System</t>
  </si>
  <si>
    <t>Tea Towel rack</t>
  </si>
  <si>
    <t>LED headlights</t>
  </si>
  <si>
    <t>Fly Screen</t>
  </si>
  <si>
    <t>Side Door</t>
  </si>
  <si>
    <t>https://www.sscampervans.com/shop/#!/Hiace-06-2019-on-LWB/c/38008111</t>
  </si>
  <si>
    <t>Solar Screen</t>
  </si>
  <si>
    <t>USB C</t>
  </si>
  <si>
    <t>Vans and Utes</t>
  </si>
  <si>
    <t>409x269x267</t>
  </si>
  <si>
    <t>k</t>
  </si>
  <si>
    <t>Bull Bar</t>
  </si>
  <si>
    <t>Window</t>
  </si>
  <si>
    <t>https://aussietraveller.com.au/collections/eurovision-windows/products/eurovision-window-2</t>
  </si>
  <si>
    <t>Eurovision2</t>
  </si>
  <si>
    <t>300x700</t>
  </si>
  <si>
    <t>BusBar</t>
  </si>
  <si>
    <t>https://www.switchboss.com.au/products/6-gang-m8-power-distribution-block-bus-bar?variant=42865450877095&amp;country=AU&amp;currency=AUD&amp;cmc_adid=ga__18385255562</t>
  </si>
  <si>
    <t>150, 28, 36</t>
  </si>
  <si>
    <t>https://dunnandwatson.com.au/shop/water-tanks/automotive-ute-tray-water-tanks/4x4-water-tank-20ltr/</t>
  </si>
  <si>
    <t>Dunn &amp; Watson</t>
  </si>
  <si>
    <t>500x240x221</t>
  </si>
  <si>
    <t>20l</t>
  </si>
  <si>
    <t>https://www.marinedirect.com.au/water-fuel-tanks-rigid-marine-quality/~-150</t>
  </si>
  <si>
    <t>Water Storage</t>
  </si>
  <si>
    <t>Custom Size</t>
  </si>
  <si>
    <t>https://www.bnrsydney.com.au/products/</t>
  </si>
  <si>
    <t>ECB</t>
  </si>
  <si>
    <t>Water Gauge</t>
  </si>
  <si>
    <t>Topargee</t>
  </si>
  <si>
    <t>https://www.rvonline.com.au/products/topargee-flush-mount-water-gauge-package-with-3m-sender-lead?variant=45926602506489&amp;country=AU&amp;currency=AUD</t>
  </si>
  <si>
    <t>Water Filter</t>
  </si>
  <si>
    <t>SeaFlo</t>
  </si>
  <si>
    <t>FSA</t>
  </si>
  <si>
    <t>https://safiery.com/product/smart-rv-induction-cooktop-2000w-single-built-in-portable-with-smooth-control-scratch-resistant-black-crystal-top-energy-efficient-safety-features-and-precise-cooking-suitable-for-indoor-and-o/</t>
  </si>
  <si>
    <t>Narva</t>
  </si>
  <si>
    <t>Materials</t>
  </si>
  <si>
    <t>Tools</t>
  </si>
  <si>
    <t>Jigsaw</t>
  </si>
  <si>
    <t>Clamps and Squares</t>
  </si>
  <si>
    <t>Bunnings</t>
  </si>
  <si>
    <t>Wood and Tape</t>
  </si>
  <si>
    <t>Sydney Tools</t>
  </si>
  <si>
    <t>9mm Ply</t>
  </si>
  <si>
    <t>Misc</t>
  </si>
  <si>
    <t>DMK</t>
  </si>
  <si>
    <t>Squares and countersink</t>
  </si>
  <si>
    <t>Table Saw &amp; Calipers</t>
  </si>
  <si>
    <t>Aluminium</t>
  </si>
  <si>
    <t>Smoke Alarm</t>
  </si>
  <si>
    <t>Input Voltage</t>
  </si>
  <si>
    <t>Component</t>
  </si>
  <si>
    <t>SeaFlo Pump</t>
  </si>
  <si>
    <t>Hot Water</t>
  </si>
  <si>
    <t>Sirocco Fan</t>
  </si>
  <si>
    <t>Fuses</t>
  </si>
  <si>
    <t>Switches</t>
  </si>
  <si>
    <t>Battery On/Off</t>
  </si>
  <si>
    <t>Sound Deadener</t>
  </si>
  <si>
    <t>Coverage</t>
  </si>
  <si>
    <t>Van Liner</t>
  </si>
  <si>
    <t>Van Liner Tape</t>
  </si>
  <si>
    <t>Application Kit</t>
  </si>
  <si>
    <t xml:space="preserve">Aluminium Foil Tape </t>
  </si>
  <si>
    <t>Package</t>
  </si>
  <si>
    <t>Van Seal</t>
  </si>
  <si>
    <t>NO</t>
  </si>
  <si>
    <t>https://www.water-filter-sentry.com.au/collections/filters-caravan/products/caravan-boat-mobile-home-water-filter-chemical-carbon-filters?variant=48068248436904</t>
  </si>
  <si>
    <t>Sentry</t>
  </si>
  <si>
    <t>Seat Covers</t>
  </si>
  <si>
    <t>Ah</t>
  </si>
  <si>
    <t>Charge Time</t>
  </si>
  <si>
    <t>kWh</t>
  </si>
  <si>
    <t>Hours</t>
  </si>
  <si>
    <t>% Charge</t>
  </si>
  <si>
    <t>Various</t>
  </si>
  <si>
    <t>https://www.bluebottlemarine.com/products/premium-compact-transom-shower-and-mixer-tap-combined-sets.html?sku=RWB8283&amp;gbraid=0AAAAAB4-pTfbvOHYJoPiuGa-2N3N82QRO</t>
  </si>
  <si>
    <t>Warranty</t>
  </si>
  <si>
    <t>Low Pass Filter Calculations</t>
  </si>
  <si>
    <t>Butter Worth 2 Pole</t>
  </si>
  <si>
    <t>K</t>
  </si>
  <si>
    <t>F</t>
  </si>
  <si>
    <t>C</t>
  </si>
  <si>
    <t>R</t>
  </si>
  <si>
    <t>Voltage Divider Calculations</t>
  </si>
  <si>
    <t>Vin</t>
  </si>
  <si>
    <t>Vout</t>
  </si>
  <si>
    <t>R2</t>
  </si>
  <si>
    <t>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</si>
</sst>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2" x14ac:knownFonts="1">
    <font>
      <sz val="12"/>
      <color theme="1"/>
      <name val="Calibri"/>
      <family val="2"/>
      <scheme val="minor"/>
    </font>
    <font>
      <b/>
      <sz val="12"/>
      <color theme="1"/>
      <name val="Calibri"/>
      <family val="2"/>
      <scheme val="minor"/>
    </font>
    <font>
      <u/>
      <sz val="12"/>
      <color theme="10"/>
      <name val="Calibri"/>
      <family val="2"/>
      <scheme val="minor"/>
    </font>
    <font>
      <sz val="22"/>
      <color theme="1"/>
      <name val="Calibri"/>
      <family val="2"/>
      <scheme val="minor"/>
    </font>
    <font>
      <sz val="8"/>
      <name val="Calibri"/>
      <family val="2"/>
      <scheme val="minor"/>
    </font>
    <font>
      <sz val="12"/>
      <color rgb="FF00610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2"/>
      <color rgb="FF9C5700"/>
      <name val="Calibri"/>
      <family val="2"/>
      <scheme val="minor"/>
    </font>
    <font>
      <b/>
      <sz val="14"/>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C6EFCE"/>
      </patternFill>
    </fill>
    <fill>
      <patternFill patternType="solid">
        <fgColor rgb="FFFFC00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EB9C"/>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5" fillId="3" borderId="0" applyNumberFormat="0" applyBorder="0" applyAlignment="0" applyProtection="0"/>
    <xf numFmtId="0" fontId="6" fillId="0" borderId="0"/>
    <xf numFmtId="0" fontId="10" fillId="8" borderId="0" applyNumberFormat="0" applyBorder="0" applyAlignment="0" applyProtection="0"/>
  </cellStyleXfs>
  <cellXfs count="42">
    <xf numFmtId="0" fontId="0" fillId="0" borderId="0" xfId="0"/>
    <xf numFmtId="0" fontId="2" fillId="0" borderId="0" xfId="1"/>
    <xf numFmtId="0" fontId="3" fillId="2" borderId="0" xfId="0" applyFont="1" applyFill="1"/>
    <xf numFmtId="0" fontId="0" fillId="2" borderId="0" xfId="0" applyFill="1"/>
    <xf numFmtId="0" fontId="2" fillId="2" borderId="0" xfId="1" applyFill="1"/>
    <xf numFmtId="164" fontId="1" fillId="0" borderId="0" xfId="0" applyNumberFormat="1" applyFont="1"/>
    <xf numFmtId="0" fontId="1" fillId="2" borderId="0" xfId="0" applyFont="1" applyFill="1"/>
    <xf numFmtId="0" fontId="5" fillId="3" borderId="0" xfId="2"/>
    <xf numFmtId="1" fontId="0" fillId="0" borderId="0" xfId="0" applyNumberFormat="1"/>
    <xf numFmtId="165" fontId="0" fillId="0" borderId="0" xfId="0" applyNumberFormat="1"/>
    <xf numFmtId="165" fontId="5" fillId="3" borderId="0" xfId="2" applyNumberFormat="1"/>
    <xf numFmtId="0" fontId="6" fillId="0" borderId="0" xfId="3"/>
    <xf numFmtId="0" fontId="6" fillId="0" borderId="0" xfId="3" quotePrefix="1"/>
    <xf numFmtId="0" fontId="8" fillId="0" borderId="0" xfId="3" applyFont="1"/>
    <xf numFmtId="165" fontId="6" fillId="0" borderId="0" xfId="3" applyNumberFormat="1"/>
    <xf numFmtId="0" fontId="6" fillId="0" borderId="0" xfId="3" applyAlignment="1">
      <alignment horizontal="left"/>
    </xf>
    <xf numFmtId="0" fontId="7" fillId="2" borderId="0" xfId="3" applyFont="1" applyFill="1"/>
    <xf numFmtId="0" fontId="7" fillId="4" borderId="0" xfId="3" applyFont="1" applyFill="1"/>
    <xf numFmtId="165" fontId="9" fillId="0" borderId="0" xfId="3" applyNumberFormat="1" applyFont="1"/>
    <xf numFmtId="0" fontId="7" fillId="5" borderId="0" xfId="3" applyFont="1" applyFill="1"/>
    <xf numFmtId="0" fontId="7" fillId="6" borderId="0" xfId="3" applyFont="1" applyFill="1"/>
    <xf numFmtId="0" fontId="6" fillId="0" borderId="0" xfId="3" applyAlignment="1">
      <alignment horizontal="right"/>
    </xf>
    <xf numFmtId="2" fontId="7" fillId="0" borderId="0" xfId="3" applyNumberFormat="1" applyFont="1"/>
    <xf numFmtId="0" fontId="7" fillId="0" borderId="0" xfId="3" applyFont="1" applyAlignment="1">
      <alignment horizontal="right"/>
    </xf>
    <xf numFmtId="0" fontId="7" fillId="7" borderId="0" xfId="3" applyFont="1" applyFill="1"/>
    <xf numFmtId="0" fontId="9" fillId="0" borderId="0" xfId="3" applyFont="1"/>
    <xf numFmtId="2" fontId="7" fillId="0" borderId="1" xfId="3" applyNumberFormat="1" applyFont="1" applyBorder="1"/>
    <xf numFmtId="0" fontId="7" fillId="0" borderId="0" xfId="3" applyFont="1"/>
    <xf numFmtId="0" fontId="6" fillId="0" borderId="1" xfId="3" applyBorder="1"/>
    <xf numFmtId="2" fontId="6" fillId="0" borderId="1" xfId="3" applyNumberFormat="1" applyBorder="1"/>
    <xf numFmtId="1" fontId="6" fillId="0" borderId="1" xfId="3" applyNumberFormat="1" applyBorder="1"/>
    <xf numFmtId="2" fontId="6" fillId="0" borderId="0" xfId="3" applyNumberFormat="1"/>
    <xf numFmtId="0" fontId="7" fillId="0" borderId="1" xfId="3" applyFont="1" applyBorder="1"/>
    <xf numFmtId="0" fontId="10" fillId="8" borderId="0" xfId="4"/>
    <xf numFmtId="165" fontId="10" fillId="8" borderId="0" xfId="4" applyNumberFormat="1"/>
    <xf numFmtId="0" fontId="1" fillId="0" borderId="0" xfId="0" applyFont="1"/>
    <xf numFmtId="9" fontId="6" fillId="0" borderId="0" xfId="3" applyNumberFormat="1"/>
    <xf numFmtId="1" fontId="6" fillId="0" borderId="0" xfId="3" applyNumberFormat="1"/>
    <xf numFmtId="11" fontId="0" fillId="0" borderId="0" xfId="0" applyNumberFormat="1"/>
    <xf numFmtId="0" fontId="11" fillId="9" borderId="0" xfId="0" applyFont="1" applyFill="1"/>
    <xf numFmtId="0" fontId="0" fillId="9" borderId="0" xfId="0" applyFill="1"/>
    <xf numFmtId="0" fontId="1" fillId="9" borderId="0" xfId="0" applyFont="1" applyFill="1"/>
  </cellXfs>
  <cellStyles count="5">
    <cellStyle name="Good" xfId="2" builtinId="26"/>
    <cellStyle name="Hyperlink" xfId="1" builtinId="8"/>
    <cellStyle name="Neutral" xfId="4" builtinId="28"/>
    <cellStyle name="Normal" xfId="0" builtinId="0"/>
    <cellStyle name="Normal 2" xfId="3" xr:uid="{123B9C09-DBF4-C94E-B00F-92A47902B4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heboatwarehouse.com.au/plumbing-sinks-toilets-pumps/waste-fresh-water-tanks/can-sb-drinking-water-tank-fittings/" TargetMode="External"/><Relationship Id="rId3" Type="http://schemas.openxmlformats.org/officeDocument/2006/relationships/hyperlink" Target="https://kombilife.com.au/products/vw-transporter-24-2-litre-wheel-arch-water-tank" TargetMode="External"/><Relationship Id="rId7" Type="http://schemas.openxmlformats.org/officeDocument/2006/relationships/hyperlink" Target="https://dunnandwatson.com.au/shop/water-tanks/automotive-ute-tray-water-tanks/4x4-water-tank-20ltr/" TargetMode="External"/><Relationship Id="rId2" Type="http://schemas.openxmlformats.org/officeDocument/2006/relationships/hyperlink" Target="https://bushman.com.au/product/dc85x/" TargetMode="External"/><Relationship Id="rId1" Type="http://schemas.openxmlformats.org/officeDocument/2006/relationships/hyperlink" Target="https://www.telcoantennas.com.au/telco-x1-pro/" TargetMode="External"/><Relationship Id="rId6" Type="http://schemas.openxmlformats.org/officeDocument/2006/relationships/hyperlink" Target="https://au.renogy.com/core-12v-24v-48v-100ah-deep-cycle-lithium-iron-phosphate-battery/?irclickid=Wj9z3x0gwxycWx514LQo4Q7kUks3GnSlqzlfSc0&amp;irgwc=1&amp;partner=JourneyVanBuilds&amp;mpid=5804032&amp;group=" TargetMode="External"/><Relationship Id="rId5" Type="http://schemas.openxmlformats.org/officeDocument/2006/relationships/hyperlink" Target="https://www.bunnings.com.au/click-2-outlet-power-board-with-usb-charger_p0625543" TargetMode="External"/><Relationship Id="rId10" Type="http://schemas.openxmlformats.org/officeDocument/2006/relationships/hyperlink" Target="https://aussietraveller.com.au/collections/eurovision-windows/products/eurovision-window-2" TargetMode="External"/><Relationship Id="rId4" Type="http://schemas.openxmlformats.org/officeDocument/2006/relationships/hyperlink" Target="https://www.theboatwarehouse.com.au/plumbing-sinks-toilets-pumps/waste-fresh-water-tanks/can-sb-drinking-water-tank-fittings/" TargetMode="External"/><Relationship Id="rId9" Type="http://schemas.openxmlformats.org/officeDocument/2006/relationships/hyperlink" Target="https://www.bnrsydney.com.au/produc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DC715-C7C4-1749-ABD4-2BCA46FA3CE6}">
  <dimension ref="A1:J73"/>
  <sheetViews>
    <sheetView workbookViewId="0">
      <selection activeCell="F25" sqref="F25"/>
    </sheetView>
  </sheetViews>
  <sheetFormatPr baseColWidth="10" defaultRowHeight="16" x14ac:dyDescent="0.2"/>
  <cols>
    <col min="1" max="1" width="19.83203125" customWidth="1"/>
    <col min="2" max="2" width="12.33203125" bestFit="1" customWidth="1"/>
    <col min="3" max="4" width="28" customWidth="1"/>
    <col min="5" max="5" width="8.83203125" bestFit="1" customWidth="1"/>
    <col min="9" max="9" width="104.1640625" customWidth="1"/>
  </cols>
  <sheetData>
    <row r="1" spans="1:9" ht="29" x14ac:dyDescent="0.35">
      <c r="A1" s="2" t="s">
        <v>0</v>
      </c>
      <c r="B1" s="3"/>
      <c r="C1" s="3" t="s">
        <v>3</v>
      </c>
      <c r="D1" s="3"/>
      <c r="E1" s="3" t="s">
        <v>253</v>
      </c>
      <c r="F1" s="3" t="s">
        <v>1</v>
      </c>
      <c r="G1" s="3" t="s">
        <v>2</v>
      </c>
      <c r="H1" s="6" t="s">
        <v>6</v>
      </c>
      <c r="I1" s="3" t="s">
        <v>13</v>
      </c>
    </row>
    <row r="2" spans="1:9" x14ac:dyDescent="0.2">
      <c r="A2" t="s">
        <v>6</v>
      </c>
      <c r="H2" s="5">
        <f>H3+H4</f>
        <v>83823.19</v>
      </c>
    </row>
    <row r="3" spans="1:9" x14ac:dyDescent="0.2">
      <c r="A3" t="s">
        <v>28</v>
      </c>
      <c r="H3" s="5">
        <f>H5+H12+H14+H30+H40+H46+H56</f>
        <v>29323.190000000002</v>
      </c>
    </row>
    <row r="4" spans="1:9" x14ac:dyDescent="0.2">
      <c r="A4" t="s">
        <v>20</v>
      </c>
      <c r="G4" s="7">
        <v>54500</v>
      </c>
      <c r="H4" s="5">
        <f>G4</f>
        <v>54500</v>
      </c>
    </row>
    <row r="5" spans="1:9" ht="29" x14ac:dyDescent="0.35">
      <c r="A5" s="2" t="s">
        <v>20</v>
      </c>
      <c r="B5" s="3"/>
      <c r="C5" s="3"/>
      <c r="D5" s="3"/>
      <c r="E5" s="3"/>
      <c r="F5" s="3"/>
      <c r="G5" s="3"/>
      <c r="H5" s="6">
        <f>SUM(H6:H11)</f>
        <v>8218.09</v>
      </c>
      <c r="I5" s="3"/>
    </row>
    <row r="6" spans="1:9" x14ac:dyDescent="0.2">
      <c r="A6" t="s">
        <v>166</v>
      </c>
      <c r="F6">
        <v>1</v>
      </c>
      <c r="G6" s="7">
        <v>1609.09</v>
      </c>
      <c r="H6">
        <f t="shared" ref="H6:H11" si="0">F6*G6</f>
        <v>1609.09</v>
      </c>
      <c r="I6" t="s">
        <v>184</v>
      </c>
    </row>
    <row r="7" spans="1:9" x14ac:dyDescent="0.2">
      <c r="A7" t="s">
        <v>187</v>
      </c>
      <c r="B7" t="s">
        <v>203</v>
      </c>
      <c r="F7">
        <v>1</v>
      </c>
      <c r="G7">
        <v>4550</v>
      </c>
      <c r="H7">
        <f t="shared" si="0"/>
        <v>4550</v>
      </c>
      <c r="I7" s="1" t="s">
        <v>202</v>
      </c>
    </row>
    <row r="8" spans="1:9" x14ac:dyDescent="0.2">
      <c r="A8" t="s">
        <v>245</v>
      </c>
      <c r="F8">
        <v>1</v>
      </c>
      <c r="G8" s="7">
        <v>339</v>
      </c>
      <c r="H8">
        <f t="shared" si="0"/>
        <v>339</v>
      </c>
      <c r="I8" s="1"/>
    </row>
    <row r="9" spans="1:9" x14ac:dyDescent="0.2">
      <c r="A9" t="s">
        <v>188</v>
      </c>
      <c r="C9" t="s">
        <v>190</v>
      </c>
      <c r="D9" t="s">
        <v>191</v>
      </c>
      <c r="F9">
        <v>1</v>
      </c>
      <c r="G9">
        <v>465</v>
      </c>
      <c r="H9">
        <f t="shared" si="0"/>
        <v>465</v>
      </c>
      <c r="I9" s="1" t="s">
        <v>189</v>
      </c>
    </row>
    <row r="10" spans="1:9" x14ac:dyDescent="0.2">
      <c r="A10" t="s">
        <v>178</v>
      </c>
      <c r="F10">
        <v>1</v>
      </c>
      <c r="G10" s="7">
        <v>155</v>
      </c>
      <c r="H10">
        <f t="shared" si="0"/>
        <v>155</v>
      </c>
    </row>
    <row r="11" spans="1:9" x14ac:dyDescent="0.2">
      <c r="A11" t="s">
        <v>29</v>
      </c>
      <c r="B11" t="s">
        <v>211</v>
      </c>
      <c r="F11">
        <v>1</v>
      </c>
      <c r="G11">
        <v>1100</v>
      </c>
      <c r="H11">
        <f t="shared" si="0"/>
        <v>1100</v>
      </c>
    </row>
    <row r="12" spans="1:9" ht="29" x14ac:dyDescent="0.35">
      <c r="A12" s="2" t="s">
        <v>55</v>
      </c>
      <c r="B12" s="3"/>
      <c r="C12" s="3"/>
      <c r="D12" s="3"/>
      <c r="E12" s="3"/>
      <c r="F12" s="3"/>
      <c r="G12" s="3"/>
      <c r="H12" s="6">
        <f>SUM(H13:H13)</f>
        <v>11450</v>
      </c>
      <c r="I12" s="3"/>
    </row>
    <row r="13" spans="1:9" x14ac:dyDescent="0.2">
      <c r="A13" t="s">
        <v>56</v>
      </c>
      <c r="B13" t="s">
        <v>165</v>
      </c>
      <c r="C13">
        <v>21075</v>
      </c>
      <c r="F13">
        <v>1</v>
      </c>
      <c r="G13">
        <v>11450</v>
      </c>
      <c r="H13">
        <f>F13*G13</f>
        <v>11450</v>
      </c>
    </row>
    <row r="14" spans="1:9" ht="29" x14ac:dyDescent="0.35">
      <c r="A14" s="2" t="s">
        <v>21</v>
      </c>
      <c r="B14" s="3"/>
      <c r="C14" s="3"/>
      <c r="D14" s="3"/>
      <c r="E14" s="3"/>
      <c r="F14" s="3"/>
      <c r="G14" s="3"/>
      <c r="H14" s="6">
        <f>SUM(H15:H29)</f>
        <v>3181.11</v>
      </c>
      <c r="I14" s="3"/>
    </row>
    <row r="15" spans="1:9" x14ac:dyDescent="0.2">
      <c r="A15" t="s">
        <v>8</v>
      </c>
      <c r="B15" t="s">
        <v>5</v>
      </c>
      <c r="C15" t="s">
        <v>33</v>
      </c>
      <c r="D15" t="s">
        <v>34</v>
      </c>
      <c r="F15">
        <v>0</v>
      </c>
      <c r="G15">
        <v>1809</v>
      </c>
      <c r="H15">
        <f t="shared" ref="H15" si="1">F15*G15</f>
        <v>0</v>
      </c>
    </row>
    <row r="16" spans="1:9" x14ac:dyDescent="0.2">
      <c r="A16" t="s">
        <v>8</v>
      </c>
      <c r="B16" t="s">
        <v>35</v>
      </c>
      <c r="C16" t="s">
        <v>37</v>
      </c>
      <c r="D16" t="s">
        <v>38</v>
      </c>
      <c r="F16">
        <v>1</v>
      </c>
      <c r="G16">
        <v>1495</v>
      </c>
      <c r="H16">
        <f>F16*G16</f>
        <v>1495</v>
      </c>
      <c r="I16" s="1" t="s">
        <v>36</v>
      </c>
    </row>
    <row r="17" spans="1:10" x14ac:dyDescent="0.2">
      <c r="A17" t="s">
        <v>32</v>
      </c>
      <c r="B17" t="s">
        <v>24</v>
      </c>
      <c r="C17" t="s">
        <v>39</v>
      </c>
      <c r="F17">
        <v>1</v>
      </c>
      <c r="G17" s="7">
        <v>275</v>
      </c>
      <c r="H17">
        <f t="shared" ref="H17:H18" si="2">F17*G17</f>
        <v>275</v>
      </c>
      <c r="I17" t="s">
        <v>210</v>
      </c>
    </row>
    <row r="18" spans="1:10" x14ac:dyDescent="0.2">
      <c r="A18" t="s">
        <v>172</v>
      </c>
      <c r="B18" t="s">
        <v>173</v>
      </c>
      <c r="F18">
        <v>1</v>
      </c>
      <c r="G18">
        <v>352</v>
      </c>
      <c r="H18">
        <f t="shared" si="2"/>
        <v>352</v>
      </c>
      <c r="I18" s="1" t="s">
        <v>174</v>
      </c>
    </row>
    <row r="19" spans="1:10" x14ac:dyDescent="0.2">
      <c r="A19" t="s">
        <v>61</v>
      </c>
      <c r="B19" t="s">
        <v>65</v>
      </c>
      <c r="C19" t="s">
        <v>66</v>
      </c>
      <c r="D19" t="s">
        <v>67</v>
      </c>
    </row>
    <row r="20" spans="1:10" x14ac:dyDescent="0.2">
      <c r="A20" t="s">
        <v>61</v>
      </c>
      <c r="B20" t="s">
        <v>65</v>
      </c>
      <c r="C20" t="s">
        <v>68</v>
      </c>
      <c r="D20" t="s">
        <v>69</v>
      </c>
    </row>
    <row r="21" spans="1:10" x14ac:dyDescent="0.2">
      <c r="A21" t="s">
        <v>61</v>
      </c>
      <c r="B21" t="s">
        <v>196</v>
      </c>
      <c r="C21" t="s">
        <v>198</v>
      </c>
      <c r="D21" t="s">
        <v>197</v>
      </c>
      <c r="I21" s="1" t="s">
        <v>195</v>
      </c>
    </row>
    <row r="22" spans="1:10" x14ac:dyDescent="0.2">
      <c r="A22" t="s">
        <v>61</v>
      </c>
      <c r="B22" t="s">
        <v>70</v>
      </c>
      <c r="C22" t="s">
        <v>72</v>
      </c>
      <c r="D22" t="s">
        <v>73</v>
      </c>
      <c r="I22" s="1" t="s">
        <v>71</v>
      </c>
    </row>
    <row r="23" spans="1:10" x14ac:dyDescent="0.2">
      <c r="A23" t="s">
        <v>61</v>
      </c>
      <c r="B23" t="s">
        <v>70</v>
      </c>
      <c r="C23" t="s">
        <v>74</v>
      </c>
      <c r="D23" t="s">
        <v>75</v>
      </c>
      <c r="F23">
        <v>0</v>
      </c>
      <c r="G23">
        <v>273.41000000000003</v>
      </c>
      <c r="H23">
        <f t="shared" ref="H23:H29" si="3">F23*G23</f>
        <v>0</v>
      </c>
      <c r="I23" s="1" t="s">
        <v>71</v>
      </c>
    </row>
    <row r="24" spans="1:10" x14ac:dyDescent="0.2">
      <c r="A24" t="s">
        <v>61</v>
      </c>
      <c r="H24">
        <f t="shared" si="3"/>
        <v>0</v>
      </c>
      <c r="I24" s="1" t="s">
        <v>40</v>
      </c>
    </row>
    <row r="25" spans="1:10" x14ac:dyDescent="0.2">
      <c r="A25" t="s">
        <v>200</v>
      </c>
      <c r="C25" t="s">
        <v>201</v>
      </c>
      <c r="F25">
        <v>1</v>
      </c>
      <c r="G25">
        <v>625</v>
      </c>
      <c r="H25">
        <f t="shared" si="3"/>
        <v>625</v>
      </c>
      <c r="I25" s="1" t="s">
        <v>199</v>
      </c>
    </row>
    <row r="26" spans="1:10" x14ac:dyDescent="0.2">
      <c r="A26" t="s">
        <v>207</v>
      </c>
      <c r="B26" t="s">
        <v>209</v>
      </c>
      <c r="I26" s="1"/>
    </row>
    <row r="27" spans="1:10" x14ac:dyDescent="0.2">
      <c r="B27" t="s">
        <v>244</v>
      </c>
      <c r="I27" s="1" t="s">
        <v>243</v>
      </c>
    </row>
    <row r="28" spans="1:10" x14ac:dyDescent="0.2">
      <c r="A28" t="s">
        <v>204</v>
      </c>
      <c r="B28" t="s">
        <v>205</v>
      </c>
      <c r="F28">
        <v>1</v>
      </c>
      <c r="G28" s="7">
        <v>116.81</v>
      </c>
      <c r="H28">
        <f t="shared" si="3"/>
        <v>116.81</v>
      </c>
      <c r="I28" s="1" t="s">
        <v>206</v>
      </c>
    </row>
    <row r="29" spans="1:10" x14ac:dyDescent="0.2">
      <c r="A29" t="s">
        <v>9</v>
      </c>
      <c r="B29" t="s">
        <v>5</v>
      </c>
      <c r="C29" t="s">
        <v>62</v>
      </c>
      <c r="F29">
        <v>1</v>
      </c>
      <c r="G29" s="7">
        <v>317.3</v>
      </c>
      <c r="H29">
        <f t="shared" si="3"/>
        <v>317.3</v>
      </c>
    </row>
    <row r="30" spans="1:10" ht="29" x14ac:dyDescent="0.35">
      <c r="A30" s="2" t="s">
        <v>19</v>
      </c>
      <c r="B30" s="3"/>
      <c r="C30" s="3"/>
      <c r="D30" s="3"/>
      <c r="E30" s="3"/>
      <c r="F30" s="3"/>
      <c r="G30" s="3"/>
      <c r="H30" s="6">
        <f>SUM(H31:H39)</f>
        <v>3996.36</v>
      </c>
      <c r="I30" s="3"/>
    </row>
    <row r="31" spans="1:10" x14ac:dyDescent="0.2">
      <c r="B31" t="s">
        <v>76</v>
      </c>
      <c r="C31" t="s">
        <v>169</v>
      </c>
      <c r="D31" t="s">
        <v>81</v>
      </c>
      <c r="E31" s="7"/>
      <c r="F31">
        <v>2</v>
      </c>
      <c r="G31" s="7">
        <v>958.99</v>
      </c>
      <c r="H31">
        <f t="shared" ref="H31:H55" si="4">F31*G31</f>
        <v>1917.98</v>
      </c>
      <c r="I31" s="1" t="s">
        <v>77</v>
      </c>
      <c r="J31">
        <f>21.1*16.9*26</f>
        <v>9271.34</v>
      </c>
    </row>
    <row r="32" spans="1:10" x14ac:dyDescent="0.2">
      <c r="B32" t="s">
        <v>76</v>
      </c>
      <c r="C32" t="s">
        <v>168</v>
      </c>
      <c r="E32" s="7"/>
      <c r="F32">
        <v>1</v>
      </c>
      <c r="G32" s="7">
        <v>334.99</v>
      </c>
      <c r="H32">
        <f t="shared" si="4"/>
        <v>334.99</v>
      </c>
      <c r="I32" s="1"/>
    </row>
    <row r="33" spans="1:10" x14ac:dyDescent="0.2">
      <c r="B33" t="s">
        <v>76</v>
      </c>
      <c r="C33" t="s">
        <v>170</v>
      </c>
      <c r="E33" s="7"/>
      <c r="F33">
        <v>1</v>
      </c>
      <c r="G33" s="7">
        <v>649.99</v>
      </c>
      <c r="H33">
        <f t="shared" si="4"/>
        <v>649.99</v>
      </c>
      <c r="I33" s="1"/>
    </row>
    <row r="34" spans="1:10" x14ac:dyDescent="0.2">
      <c r="B34" t="s">
        <v>76</v>
      </c>
      <c r="C34" t="s">
        <v>171</v>
      </c>
      <c r="F34">
        <v>1</v>
      </c>
      <c r="G34" s="7">
        <f>72.71+26.37</f>
        <v>99.08</v>
      </c>
      <c r="H34">
        <f t="shared" si="4"/>
        <v>99.08</v>
      </c>
      <c r="I34" s="1"/>
      <c r="J34">
        <f>46.7*21.2*20.8</f>
        <v>20592.832000000002</v>
      </c>
    </row>
    <row r="35" spans="1:10" x14ac:dyDescent="0.2">
      <c r="A35" t="s">
        <v>16</v>
      </c>
      <c r="B35" t="s">
        <v>76</v>
      </c>
      <c r="C35" t="s">
        <v>167</v>
      </c>
      <c r="E35" s="7"/>
      <c r="F35">
        <v>2</v>
      </c>
      <c r="G35" s="7">
        <v>349.99</v>
      </c>
      <c r="H35">
        <f>F35*G35</f>
        <v>699.98</v>
      </c>
      <c r="I35" s="1"/>
    </row>
    <row r="36" spans="1:10" x14ac:dyDescent="0.2">
      <c r="A36" t="s">
        <v>192</v>
      </c>
      <c r="D36" t="s">
        <v>194</v>
      </c>
      <c r="F36">
        <v>1</v>
      </c>
      <c r="G36">
        <v>58</v>
      </c>
      <c r="H36">
        <f>F36*G36</f>
        <v>58</v>
      </c>
      <c r="I36" s="1" t="s">
        <v>193</v>
      </c>
    </row>
    <row r="37" spans="1:10" x14ac:dyDescent="0.2">
      <c r="A37" t="s">
        <v>251</v>
      </c>
      <c r="F37">
        <v>1</v>
      </c>
      <c r="G37" s="7">
        <v>150.44</v>
      </c>
      <c r="H37">
        <f>F37*G37</f>
        <v>150.44</v>
      </c>
      <c r="I37" s="1"/>
    </row>
    <row r="38" spans="1:10" x14ac:dyDescent="0.2">
      <c r="A38" t="s">
        <v>183</v>
      </c>
      <c r="F38">
        <v>2</v>
      </c>
      <c r="G38" s="7">
        <v>22.95</v>
      </c>
      <c r="H38">
        <f>F38*G38</f>
        <v>45.9</v>
      </c>
      <c r="I38" s="1"/>
    </row>
    <row r="39" spans="1:10" x14ac:dyDescent="0.2">
      <c r="A39" t="s">
        <v>103</v>
      </c>
      <c r="F39">
        <v>2</v>
      </c>
      <c r="G39" s="7">
        <v>20</v>
      </c>
      <c r="H39">
        <f>F39*G39</f>
        <v>40</v>
      </c>
      <c r="I39" s="1" t="s">
        <v>102</v>
      </c>
    </row>
    <row r="40" spans="1:10" ht="29" x14ac:dyDescent="0.35">
      <c r="A40" s="2" t="s">
        <v>22</v>
      </c>
      <c r="B40" s="3"/>
      <c r="C40" s="3"/>
      <c r="D40" s="3"/>
      <c r="E40" s="3"/>
      <c r="F40" s="3"/>
      <c r="G40" s="3"/>
      <c r="H40" s="6">
        <f>SUM(H41:H45)</f>
        <v>1014.63</v>
      </c>
      <c r="I40" s="4"/>
    </row>
    <row r="41" spans="1:10" x14ac:dyDescent="0.2">
      <c r="B41" t="s">
        <v>14</v>
      </c>
      <c r="C41" t="s">
        <v>15</v>
      </c>
      <c r="D41" t="s">
        <v>185</v>
      </c>
      <c r="F41">
        <v>1</v>
      </c>
      <c r="G41" s="7">
        <v>425</v>
      </c>
      <c r="H41">
        <f t="shared" ref="H41" si="5">F41*G41</f>
        <v>425</v>
      </c>
    </row>
    <row r="42" spans="1:10" x14ac:dyDescent="0.2">
      <c r="A42" t="s">
        <v>17</v>
      </c>
      <c r="B42" t="s">
        <v>208</v>
      </c>
      <c r="C42" t="s">
        <v>18</v>
      </c>
      <c r="E42" s="7"/>
      <c r="F42">
        <v>1</v>
      </c>
      <c r="G42" s="7">
        <v>263</v>
      </c>
      <c r="H42">
        <f t="shared" si="4"/>
        <v>263</v>
      </c>
    </row>
    <row r="43" spans="1:10" x14ac:dyDescent="0.2">
      <c r="A43" t="s">
        <v>7</v>
      </c>
      <c r="F43">
        <v>1</v>
      </c>
      <c r="G43" s="7">
        <v>167.63</v>
      </c>
      <c r="H43">
        <f t="shared" si="4"/>
        <v>167.63</v>
      </c>
      <c r="I43" s="1" t="s">
        <v>252</v>
      </c>
    </row>
    <row r="44" spans="1:10" x14ac:dyDescent="0.2">
      <c r="A44" t="s">
        <v>41</v>
      </c>
      <c r="I44" t="s">
        <v>42</v>
      </c>
    </row>
    <row r="45" spans="1:10" x14ac:dyDescent="0.2">
      <c r="A45" t="s">
        <v>4</v>
      </c>
      <c r="B45" t="s">
        <v>63</v>
      </c>
      <c r="C45">
        <v>345</v>
      </c>
      <c r="D45" t="s">
        <v>64</v>
      </c>
      <c r="F45">
        <v>1</v>
      </c>
      <c r="G45">
        <v>159</v>
      </c>
      <c r="H45">
        <f t="shared" ref="H45" si="6">F45*G45</f>
        <v>159</v>
      </c>
    </row>
    <row r="46" spans="1:10" ht="29" x14ac:dyDescent="0.35">
      <c r="A46" s="2" t="s">
        <v>23</v>
      </c>
      <c r="B46" s="3"/>
      <c r="C46" s="3"/>
      <c r="D46" s="3"/>
      <c r="E46" s="3"/>
      <c r="F46" s="3"/>
      <c r="G46" s="3"/>
      <c r="H46" s="6">
        <f>SUM(H47:H55)</f>
        <v>1463</v>
      </c>
      <c r="I46" s="3"/>
    </row>
    <row r="47" spans="1:10" x14ac:dyDescent="0.2">
      <c r="A47" t="s">
        <v>10</v>
      </c>
      <c r="B47" t="s">
        <v>11</v>
      </c>
      <c r="C47" t="s">
        <v>12</v>
      </c>
      <c r="F47">
        <v>1</v>
      </c>
      <c r="G47">
        <v>395</v>
      </c>
      <c r="H47">
        <f>F47*G47</f>
        <v>395</v>
      </c>
    </row>
    <row r="48" spans="1:10" x14ac:dyDescent="0.2">
      <c r="A48" t="s">
        <v>30</v>
      </c>
      <c r="F48">
        <v>1</v>
      </c>
      <c r="H48">
        <v>450</v>
      </c>
      <c r="I48" s="1" t="s">
        <v>31</v>
      </c>
    </row>
    <row r="49" spans="1:9" x14ac:dyDescent="0.2">
      <c r="A49" t="s">
        <v>175</v>
      </c>
      <c r="I49" s="1"/>
    </row>
    <row r="50" spans="1:9" x14ac:dyDescent="0.2">
      <c r="A50" t="s">
        <v>176</v>
      </c>
      <c r="I50" s="1"/>
    </row>
    <row r="51" spans="1:9" x14ac:dyDescent="0.2">
      <c r="A51" t="s">
        <v>177</v>
      </c>
      <c r="I51" s="1"/>
    </row>
    <row r="52" spans="1:9" x14ac:dyDescent="0.2">
      <c r="A52" t="s">
        <v>179</v>
      </c>
      <c r="C52" t="s">
        <v>180</v>
      </c>
      <c r="F52">
        <v>1</v>
      </c>
      <c r="G52">
        <v>279</v>
      </c>
      <c r="H52">
        <f>F52*G52</f>
        <v>279</v>
      </c>
      <c r="I52" s="1" t="s">
        <v>181</v>
      </c>
    </row>
    <row r="53" spans="1:9" x14ac:dyDescent="0.2">
      <c r="A53" t="s">
        <v>182</v>
      </c>
      <c r="F53">
        <v>1</v>
      </c>
      <c r="G53">
        <v>339</v>
      </c>
      <c r="H53">
        <f>F53*G53</f>
        <v>339</v>
      </c>
      <c r="I53" s="1"/>
    </row>
    <row r="54" spans="1:9" x14ac:dyDescent="0.2">
      <c r="A54" t="s">
        <v>225</v>
      </c>
      <c r="I54" s="1"/>
    </row>
    <row r="55" spans="1:9" x14ac:dyDescent="0.2">
      <c r="H55">
        <f t="shared" si="4"/>
        <v>0</v>
      </c>
    </row>
    <row r="56" spans="1:9" ht="29" x14ac:dyDescent="0.35">
      <c r="A56" s="2" t="s">
        <v>25</v>
      </c>
      <c r="B56" s="3"/>
      <c r="C56" s="3"/>
      <c r="D56" s="3"/>
      <c r="E56" s="3"/>
      <c r="F56" s="3"/>
      <c r="G56" s="3"/>
      <c r="H56" s="6">
        <f>SUM(H57:H59)</f>
        <v>0</v>
      </c>
      <c r="I56" s="3"/>
    </row>
    <row r="57" spans="1:9" x14ac:dyDescent="0.2">
      <c r="A57" t="s">
        <v>26</v>
      </c>
      <c r="C57" t="s">
        <v>27</v>
      </c>
      <c r="D57" t="s">
        <v>44</v>
      </c>
    </row>
    <row r="58" spans="1:9" x14ac:dyDescent="0.2">
      <c r="B58" t="s">
        <v>60</v>
      </c>
    </row>
    <row r="59" spans="1:9" x14ac:dyDescent="0.2">
      <c r="A59" t="s">
        <v>43</v>
      </c>
    </row>
    <row r="60" spans="1:9" ht="29" x14ac:dyDescent="0.35">
      <c r="A60" s="2" t="s">
        <v>212</v>
      </c>
      <c r="B60" s="3"/>
      <c r="C60" s="3"/>
      <c r="D60" s="3"/>
      <c r="E60" s="3"/>
      <c r="F60" s="3"/>
      <c r="G60" s="3"/>
      <c r="H60" s="6">
        <f>SUM(H61:H65)</f>
        <v>391.15</v>
      </c>
      <c r="I60" s="3"/>
    </row>
    <row r="61" spans="1:9" x14ac:dyDescent="0.2">
      <c r="A61" t="s">
        <v>217</v>
      </c>
      <c r="B61" t="s">
        <v>216</v>
      </c>
      <c r="F61">
        <v>1</v>
      </c>
      <c r="G61" s="7">
        <v>16.2</v>
      </c>
      <c r="H61">
        <f>F61*G61</f>
        <v>16.2</v>
      </c>
    </row>
    <row r="62" spans="1:9" x14ac:dyDescent="0.2">
      <c r="A62" t="s">
        <v>219</v>
      </c>
      <c r="B62" t="s">
        <v>221</v>
      </c>
      <c r="F62">
        <v>1</v>
      </c>
      <c r="G62" s="7">
        <v>294.7</v>
      </c>
      <c r="H62">
        <f t="shared" ref="H62:H64" si="7">F62*G62</f>
        <v>294.7</v>
      </c>
    </row>
    <row r="63" spans="1:9" x14ac:dyDescent="0.2">
      <c r="A63" t="s">
        <v>220</v>
      </c>
      <c r="B63" t="s">
        <v>216</v>
      </c>
      <c r="F63">
        <v>1</v>
      </c>
      <c r="G63" s="7">
        <v>44.1</v>
      </c>
      <c r="H63">
        <f t="shared" si="7"/>
        <v>44.1</v>
      </c>
    </row>
    <row r="64" spans="1:9" x14ac:dyDescent="0.2">
      <c r="A64" t="s">
        <v>224</v>
      </c>
      <c r="F64">
        <v>1</v>
      </c>
      <c r="G64" s="7">
        <v>36.15</v>
      </c>
      <c r="H64">
        <f t="shared" si="7"/>
        <v>36.15</v>
      </c>
    </row>
    <row r="65" spans="1:9" x14ac:dyDescent="0.2">
      <c r="B65" s="7" t="s">
        <v>58</v>
      </c>
    </row>
    <row r="66" spans="1:9" x14ac:dyDescent="0.2">
      <c r="B66" t="s">
        <v>59</v>
      </c>
    </row>
    <row r="67" spans="1:9" ht="29" x14ac:dyDescent="0.35">
      <c r="A67" s="2" t="s">
        <v>213</v>
      </c>
      <c r="B67" s="3"/>
      <c r="C67" s="3"/>
      <c r="D67" s="3"/>
      <c r="E67" s="3"/>
      <c r="F67" s="3"/>
      <c r="G67" s="3"/>
      <c r="H67" s="6">
        <f>SUM(H68:H70)</f>
        <v>1043.6400000000001</v>
      </c>
      <c r="I67" s="3"/>
    </row>
    <row r="68" spans="1:9" x14ac:dyDescent="0.2">
      <c r="A68" t="s">
        <v>223</v>
      </c>
      <c r="B68" t="s">
        <v>218</v>
      </c>
      <c r="F68">
        <v>1</v>
      </c>
      <c r="G68" s="7">
        <v>729.7</v>
      </c>
      <c r="H68">
        <f t="shared" ref="H68:H69" si="8">F68*G68</f>
        <v>729.7</v>
      </c>
    </row>
    <row r="69" spans="1:9" x14ac:dyDescent="0.2">
      <c r="A69" t="s">
        <v>214</v>
      </c>
      <c r="B69" t="s">
        <v>216</v>
      </c>
      <c r="F69">
        <v>1</v>
      </c>
      <c r="G69" s="7">
        <v>249</v>
      </c>
      <c r="H69">
        <f t="shared" si="8"/>
        <v>249</v>
      </c>
    </row>
    <row r="70" spans="1:9" x14ac:dyDescent="0.2">
      <c r="A70" t="s">
        <v>215</v>
      </c>
      <c r="B70" t="s">
        <v>216</v>
      </c>
      <c r="F70">
        <v>1</v>
      </c>
      <c r="G70" s="7">
        <v>64.94</v>
      </c>
      <c r="H70">
        <f>F70*G70</f>
        <v>64.94</v>
      </c>
    </row>
    <row r="71" spans="1:9" x14ac:dyDescent="0.2">
      <c r="A71" t="s">
        <v>222</v>
      </c>
      <c r="B71" t="s">
        <v>218</v>
      </c>
      <c r="F71">
        <v>1</v>
      </c>
      <c r="G71" s="7">
        <v>59</v>
      </c>
      <c r="H71">
        <f t="shared" ref="H71" si="9">F71*G71</f>
        <v>59</v>
      </c>
    </row>
    <row r="72" spans="1:9" x14ac:dyDescent="0.2">
      <c r="F72">
        <v>1</v>
      </c>
      <c r="G72">
        <v>0</v>
      </c>
      <c r="H72">
        <f>F72*G72</f>
        <v>0</v>
      </c>
    </row>
    <row r="73" spans="1:9" x14ac:dyDescent="0.2">
      <c r="F73">
        <v>1</v>
      </c>
      <c r="G73">
        <v>0</v>
      </c>
      <c r="H73">
        <f>F73*G73</f>
        <v>0</v>
      </c>
    </row>
  </sheetData>
  <phoneticPr fontId="4" type="noConversion"/>
  <hyperlinks>
    <hyperlink ref="I48" r:id="rId1" xr:uid="{C9BD59CA-0FA7-AF4E-887B-109C3195202B}"/>
    <hyperlink ref="I16" r:id="rId2" xr:uid="{7C7AF172-CEB1-1B47-9EB1-73DFDE6FEC27}"/>
    <hyperlink ref="I24" r:id="rId3" xr:uid="{36350184-3FA6-4047-B2D3-2D4CC5CCA0EA}"/>
    <hyperlink ref="I23" r:id="rId4" xr:uid="{8EBFA46D-EEE3-E84C-BDAF-11467856F064}"/>
    <hyperlink ref="I39" r:id="rId5" xr:uid="{A1B91415-6F99-3E42-B2E7-8D9C9BF603EC}"/>
    <hyperlink ref="I31" r:id="rId6" xr:uid="{A27BC14D-826D-3343-BC7A-0EC571317CAE}"/>
    <hyperlink ref="I21" r:id="rId7" xr:uid="{8753A510-BA1A-AD4A-A048-E690AB8D7642}"/>
    <hyperlink ref="I22" r:id="rId8" xr:uid="{318BA0BA-BBE9-F949-8FF6-546E94C35AF4}"/>
    <hyperlink ref="I7" r:id="rId9" xr:uid="{F0E82427-4638-FB44-8D1F-B3C8C1636471}"/>
    <hyperlink ref="I9" r:id="rId10" xr:uid="{8301E35B-C67A-DF45-B513-9E1D1FC1B51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0D95-D95B-A341-A18C-0ED78105334C}">
  <dimension ref="A1:G8"/>
  <sheetViews>
    <sheetView workbookViewId="0">
      <selection activeCell="G15" sqref="G15"/>
    </sheetView>
  </sheetViews>
  <sheetFormatPr baseColWidth="10" defaultRowHeight="16" x14ac:dyDescent="0.2"/>
  <cols>
    <col min="1" max="1" width="18.83203125" bestFit="1" customWidth="1"/>
    <col min="2" max="2" width="14.5" customWidth="1"/>
  </cols>
  <sheetData>
    <row r="1" spans="1:7" x14ac:dyDescent="0.2">
      <c r="A1" t="s">
        <v>0</v>
      </c>
      <c r="B1" t="s">
        <v>235</v>
      </c>
      <c r="C1" t="s">
        <v>1</v>
      </c>
      <c r="D1" t="s">
        <v>2</v>
      </c>
      <c r="E1" t="s">
        <v>6</v>
      </c>
      <c r="F1" t="s">
        <v>240</v>
      </c>
    </row>
    <row r="2" spans="1:7" x14ac:dyDescent="0.2">
      <c r="A2" t="s">
        <v>234</v>
      </c>
      <c r="B2">
        <v>1.8</v>
      </c>
      <c r="C2">
        <v>4</v>
      </c>
      <c r="D2">
        <v>104.99</v>
      </c>
      <c r="E2">
        <v>379.99</v>
      </c>
    </row>
    <row r="3" spans="1:7" x14ac:dyDescent="0.2">
      <c r="A3" t="s">
        <v>236</v>
      </c>
      <c r="B3">
        <v>5</v>
      </c>
      <c r="C3">
        <v>2</v>
      </c>
      <c r="D3">
        <v>159.99</v>
      </c>
      <c r="E3">
        <v>304.99</v>
      </c>
    </row>
    <row r="4" spans="1:7" x14ac:dyDescent="0.2">
      <c r="A4" t="s">
        <v>237</v>
      </c>
      <c r="C4">
        <v>2</v>
      </c>
      <c r="D4">
        <v>9.99</v>
      </c>
      <c r="E4">
        <f>C4*D4</f>
        <v>19.98</v>
      </c>
    </row>
    <row r="5" spans="1:7" x14ac:dyDescent="0.2">
      <c r="A5" t="s">
        <v>239</v>
      </c>
      <c r="C5">
        <v>2</v>
      </c>
      <c r="D5">
        <v>9.99</v>
      </c>
      <c r="E5">
        <f t="shared" ref="E5:E6" si="0">C5*D5</f>
        <v>19.98</v>
      </c>
    </row>
    <row r="6" spans="1:7" x14ac:dyDescent="0.2">
      <c r="A6" t="s">
        <v>238</v>
      </c>
      <c r="C6">
        <v>1</v>
      </c>
      <c r="D6">
        <v>39.99</v>
      </c>
      <c r="E6">
        <f t="shared" si="0"/>
        <v>39.99</v>
      </c>
    </row>
    <row r="7" spans="1:7" x14ac:dyDescent="0.2">
      <c r="E7" s="35">
        <f>SUM(E2:E6)</f>
        <v>764.93000000000006</v>
      </c>
      <c r="F7">
        <v>776</v>
      </c>
    </row>
    <row r="8" spans="1:7" x14ac:dyDescent="0.2">
      <c r="A8" t="s">
        <v>241</v>
      </c>
      <c r="C8">
        <v>2</v>
      </c>
      <c r="D8">
        <v>119.99</v>
      </c>
      <c r="E8">
        <v>199.99</v>
      </c>
      <c r="F8">
        <v>998</v>
      </c>
      <c r="G8" t="s">
        <v>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60678-F9C4-BD46-8BEC-9D1E6786F941}">
  <dimension ref="A1:E10"/>
  <sheetViews>
    <sheetView workbookViewId="0">
      <selection activeCell="E7" sqref="E7"/>
    </sheetView>
  </sheetViews>
  <sheetFormatPr baseColWidth="10" defaultRowHeight="16" x14ac:dyDescent="0.2"/>
  <cols>
    <col min="1" max="1" width="23" bestFit="1" customWidth="1"/>
  </cols>
  <sheetData>
    <row r="1" spans="1:5" x14ac:dyDescent="0.2">
      <c r="A1" t="s">
        <v>45</v>
      </c>
      <c r="B1">
        <v>2700</v>
      </c>
      <c r="C1">
        <v>1740</v>
      </c>
    </row>
    <row r="2" spans="1:5" x14ac:dyDescent="0.2">
      <c r="A2" t="s">
        <v>46</v>
      </c>
      <c r="B2">
        <v>1880</v>
      </c>
      <c r="C2">
        <v>1350</v>
      </c>
    </row>
    <row r="3" spans="1:5" x14ac:dyDescent="0.2">
      <c r="A3" t="s">
        <v>47</v>
      </c>
      <c r="B3">
        <f>B1-B2</f>
        <v>820</v>
      </c>
      <c r="C3">
        <f>C1-C2</f>
        <v>390</v>
      </c>
    </row>
    <row r="4" spans="1:5" x14ac:dyDescent="0.2">
      <c r="A4" t="s">
        <v>57</v>
      </c>
      <c r="B4">
        <v>1830</v>
      </c>
      <c r="C4">
        <v>1040</v>
      </c>
    </row>
    <row r="6" spans="1:5" x14ac:dyDescent="0.2">
      <c r="B6" t="s">
        <v>49</v>
      </c>
      <c r="C6" t="s">
        <v>50</v>
      </c>
      <c r="D6" t="s">
        <v>6</v>
      </c>
      <c r="E6" t="s">
        <v>51</v>
      </c>
    </row>
    <row r="7" spans="1:5" x14ac:dyDescent="0.2">
      <c r="A7" t="s">
        <v>48</v>
      </c>
      <c r="B7">
        <v>800</v>
      </c>
      <c r="C7">
        <v>540</v>
      </c>
      <c r="D7">
        <f>B7+C7</f>
        <v>1340</v>
      </c>
      <c r="E7">
        <f>B2-D7</f>
        <v>540</v>
      </c>
    </row>
    <row r="8" spans="1:5" x14ac:dyDescent="0.2">
      <c r="A8" t="s">
        <v>53</v>
      </c>
      <c r="B8">
        <v>800</v>
      </c>
      <c r="C8">
        <v>420</v>
      </c>
    </row>
    <row r="9" spans="1:5" x14ac:dyDescent="0.2">
      <c r="A9" t="s">
        <v>52</v>
      </c>
      <c r="C9">
        <v>470</v>
      </c>
    </row>
    <row r="10" spans="1:5" x14ac:dyDescent="0.2">
      <c r="A10" t="s">
        <v>54</v>
      </c>
      <c r="B10">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AA1E-D28C-794B-B941-CF0F5A839224}">
  <dimension ref="A1:M47"/>
  <sheetViews>
    <sheetView workbookViewId="0">
      <selection activeCell="H38" sqref="H38"/>
    </sheetView>
  </sheetViews>
  <sheetFormatPr baseColWidth="10" defaultRowHeight="16" x14ac:dyDescent="0.2"/>
  <cols>
    <col min="1" max="1" width="13.6640625" bestFit="1" customWidth="1"/>
    <col min="2" max="2" width="13.6640625" customWidth="1"/>
    <col min="5" max="5" width="10.1640625" customWidth="1"/>
  </cols>
  <sheetData>
    <row r="1" spans="1:13" x14ac:dyDescent="0.2">
      <c r="A1" t="s">
        <v>78</v>
      </c>
      <c r="C1">
        <v>1840</v>
      </c>
      <c r="G1" t="s">
        <v>85</v>
      </c>
      <c r="I1">
        <v>1240</v>
      </c>
      <c r="J1">
        <v>1860</v>
      </c>
      <c r="L1">
        <v>553.5</v>
      </c>
    </row>
    <row r="2" spans="1:13" x14ac:dyDescent="0.2">
      <c r="A2" t="s">
        <v>79</v>
      </c>
      <c r="C2">
        <v>100</v>
      </c>
      <c r="G2" t="s">
        <v>104</v>
      </c>
      <c r="I2">
        <v>15</v>
      </c>
      <c r="J2">
        <v>10</v>
      </c>
      <c r="L2">
        <v>15</v>
      </c>
    </row>
    <row r="3" spans="1:13" x14ac:dyDescent="0.2">
      <c r="G3" t="s">
        <v>105</v>
      </c>
      <c r="I3">
        <v>38</v>
      </c>
      <c r="J3">
        <v>33</v>
      </c>
      <c r="L3">
        <v>38</v>
      </c>
    </row>
    <row r="4" spans="1:13" x14ac:dyDescent="0.2">
      <c r="G4" t="s">
        <v>109</v>
      </c>
      <c r="I4">
        <v>127.99999999999997</v>
      </c>
      <c r="J4">
        <v>21</v>
      </c>
      <c r="L4">
        <v>28.485999999999947</v>
      </c>
    </row>
    <row r="5" spans="1:13" x14ac:dyDescent="0.2">
      <c r="B5" t="s">
        <v>89</v>
      </c>
      <c r="C5">
        <v>14</v>
      </c>
      <c r="K5" t="s">
        <v>110</v>
      </c>
      <c r="L5">
        <f>3.464*L3</f>
        <v>131.63200000000001</v>
      </c>
    </row>
    <row r="6" spans="1:13" x14ac:dyDescent="0.2">
      <c r="B6" t="s">
        <v>97</v>
      </c>
      <c r="C6">
        <f>C5/360*2*PI()</f>
        <v>0.24434609527920614</v>
      </c>
      <c r="G6" t="s">
        <v>106</v>
      </c>
      <c r="H6">
        <v>10</v>
      </c>
      <c r="I6">
        <f>(I1-2*(I4-I2))/2/(I3+I2)</f>
        <v>9.566037735849056</v>
      </c>
      <c r="J6">
        <f>(J1-2*J3)/(J3+J2)-2</f>
        <v>39.720930232558139</v>
      </c>
      <c r="L6">
        <f>(L1-2*(L4-L2))/2/L5</f>
        <v>2.0000000000000004</v>
      </c>
      <c r="M6">
        <v>2</v>
      </c>
    </row>
    <row r="7" spans="1:13" x14ac:dyDescent="0.2">
      <c r="B7" t="s">
        <v>90</v>
      </c>
      <c r="C7">
        <f>SIN(C6)</f>
        <v>0.24192189559966773</v>
      </c>
    </row>
    <row r="8" spans="1:13" x14ac:dyDescent="0.2">
      <c r="B8" t="s">
        <v>91</v>
      </c>
      <c r="C8">
        <f>COS(C6)</f>
        <v>0.97029572627599647</v>
      </c>
      <c r="G8" t="s">
        <v>108</v>
      </c>
      <c r="I8">
        <f>2*FLOOR(H6,1)*(I3+I2)+2*(I4-I3)</f>
        <v>1240</v>
      </c>
      <c r="L8">
        <f>2*(L4-L2)+2*M6*L5</f>
        <v>553.49999999999989</v>
      </c>
    </row>
    <row r="9" spans="1:13" x14ac:dyDescent="0.2">
      <c r="G9" t="s">
        <v>107</v>
      </c>
      <c r="I9">
        <f>2*I3+I2</f>
        <v>91</v>
      </c>
    </row>
    <row r="10" spans="1:13" x14ac:dyDescent="0.2">
      <c r="A10" s="7" t="s">
        <v>99</v>
      </c>
      <c r="B10" s="7"/>
      <c r="C10" s="7"/>
    </row>
    <row r="11" spans="1:13" x14ac:dyDescent="0.2">
      <c r="A11" t="s">
        <v>80</v>
      </c>
      <c r="B11" t="s">
        <v>84</v>
      </c>
      <c r="C11" s="33">
        <v>513.57118938116514</v>
      </c>
    </row>
    <row r="12" spans="1:13" x14ac:dyDescent="0.2">
      <c r="B12" t="s">
        <v>82</v>
      </c>
      <c r="C12">
        <v>100</v>
      </c>
    </row>
    <row r="13" spans="1:13" x14ac:dyDescent="0.2">
      <c r="B13" t="s">
        <v>85</v>
      </c>
      <c r="C13">
        <v>800</v>
      </c>
    </row>
    <row r="14" spans="1:13" x14ac:dyDescent="0.2">
      <c r="B14" t="s">
        <v>86</v>
      </c>
      <c r="C14">
        <v>3</v>
      </c>
      <c r="G14" t="s">
        <v>85</v>
      </c>
      <c r="H14">
        <v>1240</v>
      </c>
      <c r="K14" t="s">
        <v>82</v>
      </c>
      <c r="L14">
        <v>553.5</v>
      </c>
    </row>
    <row r="15" spans="1:13" x14ac:dyDescent="0.2">
      <c r="B15" t="s">
        <v>88</v>
      </c>
      <c r="C15">
        <v>14</v>
      </c>
      <c r="G15" t="s">
        <v>111</v>
      </c>
      <c r="H15">
        <f>38+15</f>
        <v>53</v>
      </c>
      <c r="I15" t="s">
        <v>112</v>
      </c>
      <c r="K15" t="s">
        <v>111</v>
      </c>
      <c r="L15">
        <v>53</v>
      </c>
    </row>
    <row r="16" spans="1:13" x14ac:dyDescent="0.2">
      <c r="B16" t="s">
        <v>98</v>
      </c>
      <c r="C16">
        <f>C13-(C11+C12+2*C14)</f>
        <v>180.42881061883486</v>
      </c>
      <c r="G16" t="s">
        <v>98</v>
      </c>
      <c r="H16">
        <v>53</v>
      </c>
      <c r="K16" t="s">
        <v>110</v>
      </c>
      <c r="L16">
        <v>53</v>
      </c>
    </row>
    <row r="17" spans="2:13" x14ac:dyDescent="0.2">
      <c r="B17" t="s">
        <v>85</v>
      </c>
      <c r="C17">
        <f>C13-C11-C12</f>
        <v>186.42881061883486</v>
      </c>
    </row>
    <row r="18" spans="2:13" x14ac:dyDescent="0.2">
      <c r="G18" t="s">
        <v>106</v>
      </c>
      <c r="H18">
        <f>(H14-2*H15)/2/H15</f>
        <v>10.69811320754717</v>
      </c>
      <c r="I18">
        <v>10</v>
      </c>
      <c r="K18" t="s">
        <v>113</v>
      </c>
      <c r="L18">
        <f>(L14-2*L16-2*L15)/3.464/L15</f>
        <v>1.8601028367249119</v>
      </c>
      <c r="M18">
        <v>2</v>
      </c>
    </row>
    <row r="19" spans="2:13" x14ac:dyDescent="0.2">
      <c r="B19" t="s">
        <v>95</v>
      </c>
      <c r="C19" s="9">
        <f>C15*C8</f>
        <v>13.58414016786395</v>
      </c>
      <c r="G19" t="s">
        <v>98</v>
      </c>
      <c r="H19">
        <f>(H14-2*FLOOR(H18,1)*H15)/2</f>
        <v>90</v>
      </c>
      <c r="K19" t="s">
        <v>110</v>
      </c>
      <c r="L19">
        <f>(L14-2*(ROUND(L18,0)*1.732+1)*L15)/2</f>
        <v>40.157999999999987</v>
      </c>
    </row>
    <row r="20" spans="2:13" x14ac:dyDescent="0.2">
      <c r="B20" t="s">
        <v>96</v>
      </c>
      <c r="C20" s="9">
        <f>C17-C19-C15-3*C14</f>
        <v>149.84467045097091</v>
      </c>
      <c r="D20" s="8">
        <f>C16-C15-C14-C19</f>
        <v>149.84467045097091</v>
      </c>
    </row>
    <row r="21" spans="2:13" x14ac:dyDescent="0.2">
      <c r="B21" t="s">
        <v>100</v>
      </c>
      <c r="C21" s="9">
        <f>C15*C7</f>
        <v>3.3869065383953481</v>
      </c>
      <c r="D21" s="8"/>
      <c r="G21" t="s">
        <v>85</v>
      </c>
      <c r="H21">
        <f>2*I18*H15+2*H16</f>
        <v>1166</v>
      </c>
      <c r="K21" t="s">
        <v>82</v>
      </c>
      <c r="L21">
        <f>2*L19+2*ROUND(L18,0)*L15*1.732+2*L15</f>
        <v>553.5</v>
      </c>
      <c r="M21">
        <f>ROUND(L18,0)</f>
        <v>2</v>
      </c>
    </row>
    <row r="23" spans="2:13" x14ac:dyDescent="0.2">
      <c r="B23" t="s">
        <v>83</v>
      </c>
      <c r="C23" s="8">
        <f>C11+C12+3*C14</f>
        <v>622.57118938116514</v>
      </c>
    </row>
    <row r="24" spans="2:13" x14ac:dyDescent="0.2">
      <c r="B24" t="s">
        <v>92</v>
      </c>
      <c r="C24" s="8">
        <f>C13-C23-C15*(1+C8)</f>
        <v>149.84467045097091</v>
      </c>
    </row>
    <row r="25" spans="2:13" x14ac:dyDescent="0.2">
      <c r="B25" t="s">
        <v>87</v>
      </c>
      <c r="C25" s="8">
        <f>C24/C7</f>
        <v>619.39275930167901</v>
      </c>
      <c r="D25" s="8">
        <f>D20/C7</f>
        <v>619.39275930167901</v>
      </c>
    </row>
    <row r="26" spans="2:13" x14ac:dyDescent="0.2">
      <c r="B26" t="s">
        <v>93</v>
      </c>
      <c r="C26" s="8">
        <f>C1-C23-C25</f>
        <v>598.03605131715585</v>
      </c>
      <c r="D26" s="8">
        <f>C1-C11-C12-3*C14-C20/C7</f>
        <v>598.03605131715585</v>
      </c>
      <c r="E26" s="9">
        <f>SQRT(D25*D25-D20*D20)-C21</f>
        <v>597.60724069832077</v>
      </c>
    </row>
    <row r="28" spans="2:13" x14ac:dyDescent="0.2">
      <c r="B28" t="s">
        <v>94</v>
      </c>
      <c r="C28" s="10">
        <f>C1-C11-C12-3*C14</f>
        <v>1217.4288106188349</v>
      </c>
      <c r="D28" s="8">
        <f>D25+D26</f>
        <v>1217.4288106188349</v>
      </c>
      <c r="E28" s="34">
        <f>D25+E26</f>
        <v>1216.9999999999998</v>
      </c>
    </row>
    <row r="29" spans="2:13" x14ac:dyDescent="0.2">
      <c r="B29" t="s">
        <v>94</v>
      </c>
      <c r="C29" s="8">
        <f>C1-C23</f>
        <v>1217.4288106188349</v>
      </c>
    </row>
    <row r="30" spans="2:13" x14ac:dyDescent="0.2">
      <c r="B30" t="s">
        <v>26</v>
      </c>
      <c r="C30">
        <f>C11+C25+C26+C12+3*C14</f>
        <v>1840</v>
      </c>
    </row>
    <row r="34" spans="2:8" x14ac:dyDescent="0.2">
      <c r="B34" t="s">
        <v>78</v>
      </c>
      <c r="C34">
        <v>1880</v>
      </c>
      <c r="D34">
        <v>1880</v>
      </c>
      <c r="E34">
        <v>1860</v>
      </c>
      <c r="F34">
        <v>1860</v>
      </c>
      <c r="G34">
        <v>1840</v>
      </c>
      <c r="H34">
        <v>1840</v>
      </c>
    </row>
    <row r="35" spans="2:8" x14ac:dyDescent="0.2">
      <c r="B35" t="s">
        <v>89</v>
      </c>
      <c r="C35">
        <v>15</v>
      </c>
      <c r="D35">
        <v>14</v>
      </c>
      <c r="E35">
        <v>14</v>
      </c>
      <c r="F35">
        <v>15</v>
      </c>
      <c r="G35">
        <v>15</v>
      </c>
      <c r="H35">
        <v>14</v>
      </c>
    </row>
    <row r="36" spans="2:8" x14ac:dyDescent="0.2">
      <c r="B36" t="s">
        <v>101</v>
      </c>
      <c r="C36">
        <v>541</v>
      </c>
      <c r="D36">
        <v>553.5</v>
      </c>
      <c r="E36">
        <v>565.5</v>
      </c>
      <c r="F36">
        <v>553.5</v>
      </c>
      <c r="G36">
        <v>556.5</v>
      </c>
      <c r="H36">
        <v>513.5</v>
      </c>
    </row>
    <row r="37" spans="2:8" x14ac:dyDescent="0.2">
      <c r="B37" t="s">
        <v>85</v>
      </c>
      <c r="C37">
        <v>850</v>
      </c>
      <c r="D37">
        <v>850</v>
      </c>
      <c r="E37">
        <v>850</v>
      </c>
      <c r="F37">
        <v>850</v>
      </c>
      <c r="G37">
        <v>850</v>
      </c>
      <c r="H37">
        <v>800</v>
      </c>
    </row>
    <row r="47" spans="2:8" x14ac:dyDescent="0.2">
      <c r="E47" t="s">
        <v>186</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8F671-4B8F-8E42-AD55-8286FE3612F4}">
  <dimension ref="A1:C10"/>
  <sheetViews>
    <sheetView workbookViewId="0">
      <selection activeCell="A3" sqref="A3"/>
    </sheetView>
  </sheetViews>
  <sheetFormatPr baseColWidth="10" defaultRowHeight="16" x14ac:dyDescent="0.2"/>
  <cols>
    <col min="1" max="1" width="15.33203125" bestFit="1" customWidth="1"/>
  </cols>
  <sheetData>
    <row r="1" spans="1:3" x14ac:dyDescent="0.2">
      <c r="A1" t="s">
        <v>114</v>
      </c>
    </row>
    <row r="5" spans="1:3" x14ac:dyDescent="0.2">
      <c r="C5" t="s">
        <v>116</v>
      </c>
    </row>
    <row r="6" spans="1:3" x14ac:dyDescent="0.2">
      <c r="A6" t="s">
        <v>115</v>
      </c>
      <c r="C6">
        <v>17</v>
      </c>
    </row>
    <row r="8" spans="1:3" x14ac:dyDescent="0.2">
      <c r="A8" t="s">
        <v>117</v>
      </c>
      <c r="B8" t="s">
        <v>120</v>
      </c>
      <c r="C8" t="s">
        <v>118</v>
      </c>
    </row>
    <row r="9" spans="1:3" x14ac:dyDescent="0.2">
      <c r="A9" t="s">
        <v>119</v>
      </c>
      <c r="B9">
        <v>16</v>
      </c>
      <c r="C9">
        <v>38</v>
      </c>
    </row>
    <row r="10" spans="1:3" x14ac:dyDescent="0.2">
      <c r="A10" t="s">
        <v>121</v>
      </c>
      <c r="B10">
        <v>16</v>
      </c>
      <c r="C10">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BE156-1049-9F4E-8884-932E892468D1}">
  <dimension ref="A1:N53"/>
  <sheetViews>
    <sheetView workbookViewId="0">
      <selection activeCell="G53" sqref="G53"/>
    </sheetView>
  </sheetViews>
  <sheetFormatPr baseColWidth="10" defaultColWidth="8.83203125" defaultRowHeight="15" x14ac:dyDescent="0.2"/>
  <cols>
    <col min="1" max="1" width="19.1640625" style="11" bestFit="1" customWidth="1"/>
    <col min="2" max="2" width="11.6640625" style="11" bestFit="1" customWidth="1"/>
    <col min="3" max="3" width="7.5" style="11" bestFit="1" customWidth="1"/>
    <col min="4" max="4" width="6.83203125" style="11" bestFit="1" customWidth="1"/>
    <col min="5" max="5" width="18" style="11" bestFit="1" customWidth="1"/>
    <col min="6" max="6" width="14.6640625" style="11" bestFit="1" customWidth="1"/>
    <col min="7" max="7" width="14.5" style="11" bestFit="1" customWidth="1"/>
    <col min="8" max="16384" width="8.83203125" style="11"/>
  </cols>
  <sheetData>
    <row r="1" spans="1:14" x14ac:dyDescent="0.2">
      <c r="A1" s="32" t="s">
        <v>227</v>
      </c>
      <c r="B1" s="32" t="s">
        <v>226</v>
      </c>
      <c r="C1" s="32" t="s">
        <v>164</v>
      </c>
      <c r="D1" s="32" t="s">
        <v>157</v>
      </c>
      <c r="E1" s="32" t="s">
        <v>163</v>
      </c>
      <c r="F1" s="32" t="s">
        <v>162</v>
      </c>
      <c r="G1" s="32" t="s">
        <v>161</v>
      </c>
      <c r="L1" s="11" t="s">
        <v>160</v>
      </c>
    </row>
    <row r="2" spans="1:14" x14ac:dyDescent="0.2">
      <c r="A2" s="28" t="s">
        <v>159</v>
      </c>
      <c r="B2" s="28">
        <v>12</v>
      </c>
      <c r="C2" s="30">
        <v>45</v>
      </c>
      <c r="D2" s="29">
        <f>C2/12</f>
        <v>3.75</v>
      </c>
      <c r="E2" s="29">
        <f>SUM(24*0.25)</f>
        <v>6</v>
      </c>
      <c r="F2" s="30">
        <f t="shared" ref="F2:F11" si="0">C2*E2</f>
        <v>270</v>
      </c>
      <c r="G2" s="29">
        <f t="shared" ref="G2:G11" si="1">D2*E2</f>
        <v>22.5</v>
      </c>
      <c r="H2" s="11" t="s">
        <v>158</v>
      </c>
      <c r="L2" s="31">
        <f>SUM(D2:D12)</f>
        <v>363.78333333333336</v>
      </c>
      <c r="M2" s="11" t="s">
        <v>157</v>
      </c>
    </row>
    <row r="3" spans="1:14" x14ac:dyDescent="0.2">
      <c r="A3" s="28" t="s">
        <v>228</v>
      </c>
      <c r="B3" s="28">
        <v>12</v>
      </c>
      <c r="C3" s="30"/>
      <c r="D3" s="29"/>
      <c r="E3" s="29"/>
      <c r="F3" s="30"/>
      <c r="G3" s="29"/>
      <c r="L3" s="31"/>
    </row>
    <row r="4" spans="1:14" x14ac:dyDescent="0.2">
      <c r="A4" s="28" t="s">
        <v>229</v>
      </c>
      <c r="B4" s="28">
        <v>12</v>
      </c>
      <c r="C4" s="30"/>
      <c r="D4" s="29"/>
      <c r="E4" s="29"/>
      <c r="F4" s="30"/>
      <c r="G4" s="29"/>
      <c r="L4" s="31"/>
    </row>
    <row r="5" spans="1:14" x14ac:dyDescent="0.2">
      <c r="A5" s="28" t="s">
        <v>230</v>
      </c>
      <c r="B5" s="28">
        <v>12</v>
      </c>
      <c r="C5" s="30">
        <v>12</v>
      </c>
      <c r="D5" s="29">
        <v>0.6</v>
      </c>
      <c r="E5" s="29">
        <v>8</v>
      </c>
      <c r="F5" s="30">
        <f t="shared" si="0"/>
        <v>96</v>
      </c>
      <c r="G5" s="29">
        <f t="shared" si="1"/>
        <v>4.8</v>
      </c>
      <c r="H5" s="11" t="s">
        <v>156</v>
      </c>
    </row>
    <row r="6" spans="1:14" x14ac:dyDescent="0.2">
      <c r="A6" s="28" t="s">
        <v>155</v>
      </c>
      <c r="B6" s="28">
        <v>240</v>
      </c>
      <c r="C6" s="30">
        <v>1700</v>
      </c>
      <c r="D6" s="29">
        <f>C6/12</f>
        <v>141.66666666666666</v>
      </c>
      <c r="E6" s="29">
        <v>0.33</v>
      </c>
      <c r="F6" s="30">
        <f t="shared" si="0"/>
        <v>561</v>
      </c>
      <c r="G6" s="29">
        <f t="shared" si="1"/>
        <v>46.75</v>
      </c>
      <c r="H6" s="11" t="s">
        <v>154</v>
      </c>
    </row>
    <row r="7" spans="1:14" x14ac:dyDescent="0.2">
      <c r="A7" s="28" t="s">
        <v>153</v>
      </c>
      <c r="B7" s="28">
        <v>240</v>
      </c>
      <c r="C7" s="30">
        <v>1800</v>
      </c>
      <c r="D7" s="29">
        <f>C7/12</f>
        <v>150</v>
      </c>
      <c r="E7" s="29">
        <v>0.25</v>
      </c>
      <c r="F7" s="30">
        <f t="shared" si="0"/>
        <v>450</v>
      </c>
      <c r="G7" s="29">
        <f t="shared" si="1"/>
        <v>37.5</v>
      </c>
      <c r="H7" s="11" t="s">
        <v>152</v>
      </c>
    </row>
    <row r="8" spans="1:14" x14ac:dyDescent="0.2">
      <c r="A8" s="28" t="s">
        <v>151</v>
      </c>
      <c r="B8" s="28">
        <v>240</v>
      </c>
      <c r="C8" s="30">
        <v>800</v>
      </c>
      <c r="D8" s="29">
        <f>C8/12</f>
        <v>66.666666666666671</v>
      </c>
      <c r="E8" s="29">
        <v>0.17</v>
      </c>
      <c r="F8" s="30">
        <f t="shared" si="0"/>
        <v>136</v>
      </c>
      <c r="G8" s="29">
        <f t="shared" si="1"/>
        <v>11.333333333333336</v>
      </c>
      <c r="H8" s="11" t="s">
        <v>150</v>
      </c>
    </row>
    <row r="9" spans="1:14" x14ac:dyDescent="0.2">
      <c r="A9" s="28" t="s">
        <v>149</v>
      </c>
      <c r="B9" s="28">
        <v>12</v>
      </c>
      <c r="C9" s="28">
        <v>6</v>
      </c>
      <c r="D9" s="28">
        <v>0.5</v>
      </c>
      <c r="E9" s="29">
        <v>6</v>
      </c>
      <c r="F9" s="30">
        <f t="shared" si="0"/>
        <v>36</v>
      </c>
      <c r="G9" s="29">
        <f t="shared" si="1"/>
        <v>3</v>
      </c>
    </row>
    <row r="10" spans="1:14" x14ac:dyDescent="0.2">
      <c r="A10" s="28" t="s">
        <v>148</v>
      </c>
      <c r="B10" s="28">
        <v>12</v>
      </c>
      <c r="C10" s="28">
        <v>7.5</v>
      </c>
      <c r="D10" s="28">
        <v>0.6</v>
      </c>
      <c r="E10" s="29">
        <v>10</v>
      </c>
      <c r="F10" s="28">
        <f t="shared" si="0"/>
        <v>75</v>
      </c>
      <c r="G10" s="28">
        <f t="shared" si="1"/>
        <v>6</v>
      </c>
      <c r="H10" s="11" t="s">
        <v>147</v>
      </c>
    </row>
    <row r="11" spans="1:14" x14ac:dyDescent="0.2">
      <c r="A11" s="28"/>
      <c r="B11" s="28"/>
      <c r="C11" s="30"/>
      <c r="D11" s="29">
        <f>C11/12</f>
        <v>0</v>
      </c>
      <c r="E11" s="29"/>
      <c r="F11" s="28">
        <f t="shared" si="0"/>
        <v>0</v>
      </c>
      <c r="G11" s="29">
        <f t="shared" si="1"/>
        <v>0</v>
      </c>
    </row>
    <row r="12" spans="1:14" x14ac:dyDescent="0.2">
      <c r="A12" s="28"/>
      <c r="B12" s="28"/>
      <c r="C12" s="28"/>
      <c r="D12" s="28"/>
      <c r="E12" s="28"/>
      <c r="F12" s="28"/>
      <c r="G12" s="28"/>
    </row>
    <row r="13" spans="1:14" x14ac:dyDescent="0.2">
      <c r="E13" s="23" t="s">
        <v>6</v>
      </c>
      <c r="F13" s="27">
        <f>SUM(F2:F12)</f>
        <v>1624</v>
      </c>
      <c r="G13" s="26">
        <f>SUM(G2:G12)</f>
        <v>131.88333333333333</v>
      </c>
    </row>
    <row r="14" spans="1:14" x14ac:dyDescent="0.2">
      <c r="M14" s="11" t="s">
        <v>146</v>
      </c>
      <c r="N14" s="25" t="s">
        <v>145</v>
      </c>
    </row>
    <row r="15" spans="1:14" x14ac:dyDescent="0.2">
      <c r="A15" s="11" t="s">
        <v>144</v>
      </c>
      <c r="D15" s="24">
        <v>3</v>
      </c>
      <c r="F15" s="23" t="s">
        <v>143</v>
      </c>
      <c r="G15" s="22">
        <f>G13*D15</f>
        <v>395.65</v>
      </c>
      <c r="K15" s="21" t="s">
        <v>142</v>
      </c>
      <c r="L15" s="11" t="s">
        <v>140</v>
      </c>
      <c r="M15" s="20">
        <v>140</v>
      </c>
      <c r="N15" s="18">
        <f>M15*0.5/G13</f>
        <v>0.53077214709970932</v>
      </c>
    </row>
    <row r="16" spans="1:14" x14ac:dyDescent="0.2">
      <c r="L16" s="11" t="s">
        <v>139</v>
      </c>
      <c r="M16" s="19">
        <v>400</v>
      </c>
      <c r="N16" s="18">
        <f>M16*0.8/G13</f>
        <v>2.4263869581701001</v>
      </c>
    </row>
    <row r="17" spans="1:7" x14ac:dyDescent="0.2">
      <c r="A17" s="11" t="s">
        <v>141</v>
      </c>
      <c r="C17" s="11" t="s">
        <v>140</v>
      </c>
      <c r="D17" s="17">
        <f>G15*2</f>
        <v>791.3</v>
      </c>
      <c r="E17" s="11" t="s">
        <v>138</v>
      </c>
    </row>
    <row r="18" spans="1:7" x14ac:dyDescent="0.2">
      <c r="C18" s="11" t="s">
        <v>139</v>
      </c>
      <c r="D18" s="16">
        <f>G15*10/8</f>
        <v>494.5625</v>
      </c>
      <c r="E18" s="11" t="s">
        <v>138</v>
      </c>
      <c r="F18" s="15" t="s">
        <v>137</v>
      </c>
      <c r="G18" s="14">
        <f>L2/D18</f>
        <v>0.73556594633303851</v>
      </c>
    </row>
    <row r="19" spans="1:7" x14ac:dyDescent="0.2">
      <c r="F19" s="11" t="s">
        <v>136</v>
      </c>
    </row>
    <row r="22" spans="1:7" x14ac:dyDescent="0.2">
      <c r="A22" s="11" t="s">
        <v>135</v>
      </c>
    </row>
    <row r="23" spans="1:7" x14ac:dyDescent="0.2">
      <c r="A23" s="11" t="s">
        <v>134</v>
      </c>
    </row>
    <row r="24" spans="1:7" x14ac:dyDescent="0.2">
      <c r="A24" s="11" t="s">
        <v>133</v>
      </c>
    </row>
    <row r="25" spans="1:7" x14ac:dyDescent="0.2">
      <c r="A25" s="11" t="s">
        <v>132</v>
      </c>
    </row>
    <row r="26" spans="1:7" x14ac:dyDescent="0.2">
      <c r="A26" s="11" t="s">
        <v>131</v>
      </c>
    </row>
    <row r="27" spans="1:7" x14ac:dyDescent="0.2">
      <c r="C27" s="13" t="s">
        <v>130</v>
      </c>
    </row>
    <row r="28" spans="1:7" x14ac:dyDescent="0.2">
      <c r="A28" s="12" t="s">
        <v>129</v>
      </c>
      <c r="B28" s="12"/>
    </row>
    <row r="29" spans="1:7" x14ac:dyDescent="0.2">
      <c r="C29" s="11" t="s">
        <v>128</v>
      </c>
    </row>
    <row r="30" spans="1:7" x14ac:dyDescent="0.2">
      <c r="D30" s="11" t="s">
        <v>127</v>
      </c>
    </row>
    <row r="31" spans="1:7" x14ac:dyDescent="0.2">
      <c r="D31" s="11" t="s">
        <v>126</v>
      </c>
    </row>
    <row r="33" spans="1:4" ht="16" x14ac:dyDescent="0.2">
      <c r="A33" s="12" t="s">
        <v>125</v>
      </c>
      <c r="B33" s="12"/>
    </row>
    <row r="34" spans="1:4" x14ac:dyDescent="0.2">
      <c r="D34" s="11" t="s">
        <v>124</v>
      </c>
    </row>
    <row r="35" spans="1:4" x14ac:dyDescent="0.2">
      <c r="D35" s="11" t="s">
        <v>123</v>
      </c>
    </row>
    <row r="36" spans="1:4" x14ac:dyDescent="0.2">
      <c r="D36" s="11" t="s">
        <v>122</v>
      </c>
    </row>
    <row r="40" spans="1:4" x14ac:dyDescent="0.2">
      <c r="A40" s="27" t="s">
        <v>231</v>
      </c>
    </row>
    <row r="46" spans="1:4" x14ac:dyDescent="0.2">
      <c r="A46" s="27" t="s">
        <v>232</v>
      </c>
      <c r="B46" s="11" t="s">
        <v>157</v>
      </c>
    </row>
    <row r="47" spans="1:4" x14ac:dyDescent="0.2">
      <c r="A47" s="11" t="s">
        <v>233</v>
      </c>
      <c r="B47" s="11">
        <v>400</v>
      </c>
    </row>
    <row r="48" spans="1:4" x14ac:dyDescent="0.2">
      <c r="A48" s="11" t="s">
        <v>16</v>
      </c>
    </row>
    <row r="49" spans="1:12" x14ac:dyDescent="0.2">
      <c r="F49" s="11" t="s">
        <v>249</v>
      </c>
      <c r="G49" s="11" t="s">
        <v>250</v>
      </c>
    </row>
    <row r="50" spans="1:12" x14ac:dyDescent="0.2">
      <c r="A50" s="11" t="s">
        <v>164</v>
      </c>
      <c r="B50" s="11" t="s">
        <v>246</v>
      </c>
      <c r="C50" s="11" t="s">
        <v>248</v>
      </c>
      <c r="D50" s="11" t="s">
        <v>247</v>
      </c>
      <c r="F50" s="11">
        <v>3.19</v>
      </c>
      <c r="I50" s="11">
        <f>F50</f>
        <v>3.19</v>
      </c>
      <c r="K50" s="31">
        <v>2.4</v>
      </c>
      <c r="L50" s="11">
        <v>2.35</v>
      </c>
    </row>
    <row r="51" spans="1:12" x14ac:dyDescent="0.2">
      <c r="A51" s="11">
        <f>300</f>
        <v>300</v>
      </c>
      <c r="B51" s="11">
        <v>200</v>
      </c>
      <c r="C51" s="11">
        <v>1200</v>
      </c>
      <c r="D51" s="14">
        <f>C51/A51</f>
        <v>4</v>
      </c>
      <c r="E51" s="36">
        <f>A51/A53</f>
        <v>0.29411764705882354</v>
      </c>
      <c r="F51" s="11">
        <f>A51*F50</f>
        <v>957</v>
      </c>
      <c r="G51" s="36">
        <f>F51/C51</f>
        <v>0.79749999999999999</v>
      </c>
      <c r="H51" s="11">
        <f>C51-F51</f>
        <v>243</v>
      </c>
      <c r="I51" s="31">
        <f>H51/A52</f>
        <v>0.33750000000000002</v>
      </c>
      <c r="K51" s="31">
        <v>2.3333333333333335</v>
      </c>
      <c r="L51" s="11">
        <v>2.3541666666666665</v>
      </c>
    </row>
    <row r="52" spans="1:12" x14ac:dyDescent="0.2">
      <c r="A52" s="11">
        <f>720</f>
        <v>720</v>
      </c>
      <c r="B52" s="11">
        <v>200</v>
      </c>
      <c r="C52" s="11">
        <f>B52*12</f>
        <v>2400</v>
      </c>
      <c r="D52" s="14">
        <f>C52/A52</f>
        <v>3.3333333333333335</v>
      </c>
      <c r="E52" s="36">
        <f>A52/A53</f>
        <v>0.70588235294117652</v>
      </c>
      <c r="F52" s="11">
        <f>A52*F50</f>
        <v>2296.8000000000002</v>
      </c>
      <c r="G52" s="36">
        <f>F52/C52</f>
        <v>0.95700000000000007</v>
      </c>
      <c r="H52" s="37">
        <f>C52-F52</f>
        <v>103.19999999999982</v>
      </c>
      <c r="I52" s="31">
        <f>H52/A51</f>
        <v>0.34399999999999942</v>
      </c>
      <c r="K52" s="31">
        <v>2.2400000000000002</v>
      </c>
      <c r="L52" s="11">
        <v>2.36</v>
      </c>
    </row>
    <row r="53" spans="1:12" x14ac:dyDescent="0.2">
      <c r="A53" s="11">
        <f>A51+A52</f>
        <v>1020</v>
      </c>
      <c r="B53" s="11">
        <v>400</v>
      </c>
      <c r="C53" s="11">
        <f>B53*12</f>
        <v>4800</v>
      </c>
      <c r="D53" s="14">
        <f>C53/A53/0.95</f>
        <v>4.9535603715170282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8F5A-BC8B-F640-840C-9460544731C9}">
  <dimension ref="A1:D13"/>
  <sheetViews>
    <sheetView tabSelected="1" workbookViewId="0">
      <selection activeCell="D22" sqref="D22"/>
    </sheetView>
  </sheetViews>
  <sheetFormatPr baseColWidth="10" defaultRowHeight="16" x14ac:dyDescent="0.2"/>
  <sheetData>
    <row r="1" spans="1:4" ht="19" x14ac:dyDescent="0.25">
      <c r="A1" s="39" t="s">
        <v>254</v>
      </c>
      <c r="B1" s="40"/>
      <c r="C1" s="40"/>
      <c r="D1" s="40"/>
    </row>
    <row r="3" spans="1:4" x14ac:dyDescent="0.2">
      <c r="A3" t="s">
        <v>255</v>
      </c>
    </row>
    <row r="4" spans="1:4" x14ac:dyDescent="0.2">
      <c r="A4" t="s">
        <v>256</v>
      </c>
      <c r="B4" t="s">
        <v>257</v>
      </c>
      <c r="C4" t="s">
        <v>258</v>
      </c>
      <c r="D4" t="s">
        <v>259</v>
      </c>
    </row>
    <row r="5" spans="1:4" x14ac:dyDescent="0.2">
      <c r="A5">
        <v>1.5860000000000001</v>
      </c>
      <c r="B5">
        <v>100</v>
      </c>
      <c r="C5" s="38">
        <v>1E-8</v>
      </c>
      <c r="D5" s="38">
        <f>1/(2*PI()*C5*B5)</f>
        <v>159154.94309189534</v>
      </c>
    </row>
    <row r="6" spans="1:4" x14ac:dyDescent="0.2">
      <c r="A6">
        <v>1.5860000000000001</v>
      </c>
      <c r="B6">
        <v>10</v>
      </c>
      <c r="C6" s="38">
        <v>9.9999999999999995E-8</v>
      </c>
      <c r="D6" s="38">
        <f t="shared" ref="D6:D7" si="0">1/(2*PI()*C6*B6)</f>
        <v>159154.94309189534</v>
      </c>
    </row>
    <row r="7" spans="1:4" x14ac:dyDescent="0.2">
      <c r="A7">
        <v>1.5860000000000001</v>
      </c>
      <c r="B7">
        <v>1</v>
      </c>
      <c r="C7" s="38">
        <v>1E-8</v>
      </c>
      <c r="D7" s="38">
        <f t="shared" si="0"/>
        <v>15915494.309189534</v>
      </c>
    </row>
    <row r="9" spans="1:4" x14ac:dyDescent="0.2">
      <c r="A9" s="41" t="s">
        <v>260</v>
      </c>
      <c r="B9" s="40"/>
      <c r="C9" s="40"/>
      <c r="D9" s="40"/>
    </row>
    <row r="11" spans="1:4" x14ac:dyDescent="0.2">
      <c r="A11" t="s">
        <v>261</v>
      </c>
      <c r="B11" t="s">
        <v>262</v>
      </c>
      <c r="C11" t="s">
        <v>263</v>
      </c>
      <c r="D11" t="s">
        <v>264</v>
      </c>
    </row>
    <row r="12" spans="1:4" x14ac:dyDescent="0.2">
      <c r="A12">
        <v>15</v>
      </c>
      <c r="B12">
        <v>3.3</v>
      </c>
      <c r="C12">
        <v>100</v>
      </c>
      <c r="D12">
        <f>(A12-B12)/B12*C12</f>
        <v>354.54545454545456</v>
      </c>
    </row>
    <row r="13" spans="1:4" x14ac:dyDescent="0.2">
      <c r="A13">
        <v>15</v>
      </c>
      <c r="B13">
        <v>5</v>
      </c>
      <c r="C13">
        <v>100</v>
      </c>
      <c r="D13">
        <f>(A13-B13)/B13*C13</f>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Sheet1</vt:lpstr>
      <vt:lpstr>Van Specs</vt:lpstr>
      <vt:lpstr>SofaBed</vt:lpstr>
      <vt:lpstr>Ply</vt:lpstr>
      <vt:lpstr>Electrical</vt:lpstr>
      <vt:lpstr>Circuit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Kladnig</dc:creator>
  <cp:lastModifiedBy>Adrian Kladnig</cp:lastModifiedBy>
  <dcterms:created xsi:type="dcterms:W3CDTF">2023-11-17T07:37:06Z</dcterms:created>
  <dcterms:modified xsi:type="dcterms:W3CDTF">2025-05-22T05:15:28Z</dcterms:modified>
</cp:coreProperties>
</file>