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drian/Documents/Campervan/"/>
    </mc:Choice>
  </mc:AlternateContent>
  <xr:revisionPtr revIDLastSave="0" documentId="13_ncr:1_{2EB07540-5D3D-A641-8CFB-E60E766882A7}" xr6:coauthVersionLast="47" xr6:coauthVersionMax="47" xr10:uidLastSave="{00000000-0000-0000-0000-000000000000}"/>
  <bookViews>
    <workbookView xWindow="0" yWindow="780" windowWidth="34200" windowHeight="21360" activeTab="10" xr2:uid="{32DB9825-7707-5644-AF59-E2F85CFFFB5B}"/>
  </bookViews>
  <sheets>
    <sheet name="Summary" sheetId="1" r:id="rId1"/>
    <sheet name="Sheet1" sheetId="8" r:id="rId2"/>
    <sheet name="Van Specs" sheetId="3" r:id="rId3"/>
    <sheet name="SofaBed" sheetId="4" r:id="rId4"/>
    <sheet name="Ply" sheetId="6" r:id="rId5"/>
    <sheet name="Electrical" sheetId="7" r:id="rId6"/>
    <sheet name="Circuit" sheetId="9" r:id="rId7"/>
    <sheet name="Resistor" sheetId="11" r:id="rId8"/>
    <sheet name="Cable" sheetId="12" r:id="rId9"/>
    <sheet name="Tanks" sheetId="10" r:id="rId10"/>
    <sheet name="Fans"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 i="13" l="1"/>
  <c r="H37" i="13"/>
  <c r="G36" i="13"/>
  <c r="H36" i="13"/>
  <c r="H34" i="13"/>
  <c r="H35" i="13"/>
  <c r="H33" i="13"/>
  <c r="G35" i="13"/>
  <c r="G34" i="13"/>
  <c r="G33" i="13"/>
  <c r="G29" i="13"/>
  <c r="H29" i="13"/>
  <c r="F29" i="13"/>
  <c r="A29" i="13"/>
  <c r="C29" i="13" s="1"/>
  <c r="B26" i="13"/>
  <c r="B24" i="13"/>
  <c r="B25" i="13"/>
  <c r="A15" i="13"/>
  <c r="C15" i="13" s="1"/>
  <c r="D15" i="13" s="1"/>
  <c r="B23" i="13"/>
  <c r="A19" i="13"/>
  <c r="A20" i="13"/>
  <c r="A18" i="13"/>
  <c r="C14" i="13"/>
  <c r="D14" i="13" s="1"/>
  <c r="C10" i="13"/>
  <c r="D10" i="13" s="1"/>
  <c r="C5" i="13"/>
  <c r="D5" i="13" s="1"/>
  <c r="C20" i="13"/>
  <c r="D20" i="13" s="1"/>
  <c r="C19" i="13"/>
  <c r="D19" i="13" s="1"/>
  <c r="C18" i="13"/>
  <c r="E18" i="13" s="1"/>
  <c r="B13" i="12"/>
  <c r="B14" i="12"/>
  <c r="B12" i="12"/>
  <c r="K5" i="12"/>
  <c r="L5" i="12"/>
  <c r="K6" i="12"/>
  <c r="L6" i="12"/>
  <c r="K7" i="12"/>
  <c r="L7" i="12"/>
  <c r="K8" i="12"/>
  <c r="L8" i="12"/>
  <c r="K9" i="12"/>
  <c r="L9" i="12"/>
  <c r="J9" i="12"/>
  <c r="J8" i="12"/>
  <c r="J7" i="12"/>
  <c r="J6" i="12"/>
  <c r="J5" i="12"/>
  <c r="I6" i="12"/>
  <c r="I7" i="12"/>
  <c r="I8" i="12"/>
  <c r="I9" i="12"/>
  <c r="I5" i="12"/>
  <c r="H9" i="12"/>
  <c r="H8" i="12"/>
  <c r="H7" i="12"/>
  <c r="H6" i="12"/>
  <c r="H5" i="12"/>
  <c r="G6" i="12"/>
  <c r="G7" i="12"/>
  <c r="G8" i="12"/>
  <c r="G9" i="12"/>
  <c r="G5" i="12"/>
  <c r="F9" i="12"/>
  <c r="F8" i="12"/>
  <c r="F7" i="12"/>
  <c r="F6" i="12"/>
  <c r="F5" i="12"/>
  <c r="E6" i="12"/>
  <c r="E7" i="12"/>
  <c r="E8" i="12"/>
  <c r="E9" i="12"/>
  <c r="E5" i="12"/>
  <c r="C34" i="9"/>
  <c r="C35" i="9"/>
  <c r="C33" i="9"/>
  <c r="K39" i="9"/>
  <c r="L39" i="9" s="1"/>
  <c r="J39" i="9"/>
  <c r="I39" i="9"/>
  <c r="K38" i="9"/>
  <c r="L38" i="9" s="1"/>
  <c r="J38" i="9"/>
  <c r="I38" i="9"/>
  <c r="K37" i="9"/>
  <c r="L37" i="9" s="1"/>
  <c r="J37" i="9"/>
  <c r="I37" i="9"/>
  <c r="K35" i="9"/>
  <c r="L35" i="9" s="1"/>
  <c r="J35" i="9"/>
  <c r="I35" i="9"/>
  <c r="D35" i="9"/>
  <c r="K34" i="9"/>
  <c r="L34" i="9" s="1"/>
  <c r="J34" i="9"/>
  <c r="I34" i="9"/>
  <c r="D34" i="9"/>
  <c r="K33" i="9"/>
  <c r="L33" i="9" s="1"/>
  <c r="J33" i="9"/>
  <c r="I33" i="9"/>
  <c r="D33" i="9"/>
  <c r="L27" i="9"/>
  <c r="L28" i="9"/>
  <c r="L29" i="9"/>
  <c r="K24" i="9"/>
  <c r="L24" i="9" s="1"/>
  <c r="K25" i="9"/>
  <c r="L25" i="9" s="1"/>
  <c r="K27" i="9"/>
  <c r="K28" i="9"/>
  <c r="K29" i="9"/>
  <c r="K23" i="9"/>
  <c r="L23" i="9" s="1"/>
  <c r="D24" i="9"/>
  <c r="J28" i="9"/>
  <c r="I28" i="9"/>
  <c r="J24" i="9"/>
  <c r="I24" i="9"/>
  <c r="J25" i="9"/>
  <c r="J27" i="9"/>
  <c r="J29" i="9"/>
  <c r="J23" i="9"/>
  <c r="I27" i="9"/>
  <c r="I29" i="9"/>
  <c r="I25" i="9"/>
  <c r="I23" i="9"/>
  <c r="D25" i="9"/>
  <c r="D23" i="9"/>
  <c r="B2" i="10"/>
  <c r="D50" i="9"/>
  <c r="D49" i="9"/>
  <c r="G64" i="9"/>
  <c r="I64" i="9" s="1"/>
  <c r="F87" i="9"/>
  <c r="F86" i="9"/>
  <c r="F85" i="9"/>
  <c r="F83" i="9"/>
  <c r="F82" i="9"/>
  <c r="F81" i="9"/>
  <c r="G62" i="9"/>
  <c r="I62" i="9" s="1"/>
  <c r="G63" i="9"/>
  <c r="I63" i="9"/>
  <c r="F75" i="9"/>
  <c r="F76" i="9"/>
  <c r="F77" i="9"/>
  <c r="F78" i="9"/>
  <c r="F79" i="9"/>
  <c r="F74" i="9"/>
  <c r="C58" i="9"/>
  <c r="C57" i="9"/>
  <c r="G58" i="9"/>
  <c r="G60" i="9"/>
  <c r="H60" i="9" s="1"/>
  <c r="G61" i="9"/>
  <c r="H61" i="9" s="1"/>
  <c r="G57" i="9"/>
  <c r="H57" i="9" s="1"/>
  <c r="H19" i="9"/>
  <c r="H18" i="9"/>
  <c r="D44" i="9"/>
  <c r="D43" i="9"/>
  <c r="C19" i="9"/>
  <c r="C18" i="9"/>
  <c r="D13" i="9"/>
  <c r="D12" i="9"/>
  <c r="D6" i="9"/>
  <c r="G6" i="9" s="1"/>
  <c r="D7" i="9"/>
  <c r="G7" i="9" s="1"/>
  <c r="D5" i="9"/>
  <c r="G5" i="9" s="1"/>
  <c r="H43" i="1"/>
  <c r="H37" i="1"/>
  <c r="A52" i="7"/>
  <c r="F52" i="7" s="1"/>
  <c r="H52" i="7" s="1"/>
  <c r="A51" i="7"/>
  <c r="A53" i="7"/>
  <c r="D53" i="7" s="1"/>
  <c r="D52" i="7"/>
  <c r="D51" i="7"/>
  <c r="I50" i="7"/>
  <c r="F51" i="7"/>
  <c r="H51" i="7" s="1"/>
  <c r="I51" i="7" s="1"/>
  <c r="C53" i="7"/>
  <c r="C52" i="7"/>
  <c r="H8" i="1"/>
  <c r="E29" i="13" l="1"/>
  <c r="D29" i="13"/>
  <c r="A8" i="13"/>
  <c r="C8" i="13" s="1"/>
  <c r="D8" i="13" s="1"/>
  <c r="A9" i="13"/>
  <c r="C9" i="13" s="1"/>
  <c r="D9" i="13" s="1"/>
  <c r="D18" i="13"/>
  <c r="E20" i="13"/>
  <c r="E19" i="13"/>
  <c r="I57" i="9"/>
  <c r="I60" i="9"/>
  <c r="I58" i="9"/>
  <c r="I61" i="9"/>
  <c r="E52" i="7"/>
  <c r="E51" i="7"/>
  <c r="I52" i="7"/>
  <c r="G52" i="7"/>
  <c r="G51" i="7"/>
  <c r="E5" i="8"/>
  <c r="E6" i="8"/>
  <c r="E4" i="8"/>
  <c r="E7" i="8"/>
  <c r="H28" i="1"/>
  <c r="H64" i="1"/>
  <c r="H71" i="1"/>
  <c r="H72" i="1"/>
  <c r="H73" i="1"/>
  <c r="H62" i="1"/>
  <c r="H63" i="1"/>
  <c r="H68" i="1"/>
  <c r="H69" i="1"/>
  <c r="H70" i="1"/>
  <c r="H61" i="1"/>
  <c r="H38" i="1"/>
  <c r="H25" i="1"/>
  <c r="H17" i="1"/>
  <c r="H4" i="1"/>
  <c r="H36" i="1"/>
  <c r="H9" i="1"/>
  <c r="H7" i="1"/>
  <c r="H41" i="1"/>
  <c r="H53" i="1"/>
  <c r="H52" i="1"/>
  <c r="H10" i="1"/>
  <c r="H18" i="1"/>
  <c r="G34" i="1"/>
  <c r="H34" i="1" s="1"/>
  <c r="H23" i="1"/>
  <c r="H24" i="1"/>
  <c r="H29" i="1"/>
  <c r="H45" i="1"/>
  <c r="H32" i="1"/>
  <c r="H33" i="1"/>
  <c r="H31" i="1"/>
  <c r="J31" i="1"/>
  <c r="H6" i="1"/>
  <c r="H39" i="1"/>
  <c r="D2" i="7"/>
  <c r="E2" i="7"/>
  <c r="F2" i="7" s="1"/>
  <c r="F5" i="7"/>
  <c r="G5" i="7"/>
  <c r="D6" i="7"/>
  <c r="F6" i="7"/>
  <c r="D7" i="7"/>
  <c r="G7" i="7" s="1"/>
  <c r="F7" i="7"/>
  <c r="D8" i="7"/>
  <c r="G8" i="7" s="1"/>
  <c r="F8" i="7"/>
  <c r="F9" i="7"/>
  <c r="G9" i="7"/>
  <c r="F10" i="7"/>
  <c r="G10" i="7"/>
  <c r="D11" i="7"/>
  <c r="G11" i="7" s="1"/>
  <c r="F11" i="7"/>
  <c r="H60" i="1" l="1"/>
  <c r="G2" i="7"/>
  <c r="F13" i="7"/>
  <c r="L2" i="7"/>
  <c r="H67" i="1"/>
  <c r="G6" i="7"/>
  <c r="G13" i="7" s="1"/>
  <c r="L19" i="4"/>
  <c r="L21" i="4" s="1"/>
  <c r="M21" i="4"/>
  <c r="H19" i="4"/>
  <c r="H18" i="4"/>
  <c r="L18" i="4"/>
  <c r="H15" i="4"/>
  <c r="H21" i="4" s="1"/>
  <c r="L5" i="4"/>
  <c r="L8" i="4" s="1"/>
  <c r="I8" i="4"/>
  <c r="I6" i="4"/>
  <c r="I9" i="4"/>
  <c r="J6" i="4"/>
  <c r="C28" i="4"/>
  <c r="C17" i="4"/>
  <c r="C16" i="4"/>
  <c r="C6" i="4"/>
  <c r="C7" i="4" s="1"/>
  <c r="C21" i="4" s="1"/>
  <c r="C23" i="4"/>
  <c r="C29" i="4" s="1"/>
  <c r="J34" i="1"/>
  <c r="D7" i="3"/>
  <c r="E7" i="3" s="1"/>
  <c r="C3" i="3"/>
  <c r="B3" i="3"/>
  <c r="N15" i="7" l="1"/>
  <c r="G15" i="7"/>
  <c r="N16" i="7"/>
  <c r="L6" i="4"/>
  <c r="C8" i="4"/>
  <c r="C19" i="4" s="1"/>
  <c r="H16" i="1"/>
  <c r="H15" i="1"/>
  <c r="H11" i="1"/>
  <c r="H5" i="1" s="1"/>
  <c r="H56" i="1"/>
  <c r="H47" i="1"/>
  <c r="H35" i="1"/>
  <c r="H30" i="1" s="1"/>
  <c r="H42" i="1"/>
  <c r="H55" i="1"/>
  <c r="H13" i="1"/>
  <c r="D17" i="7" l="1"/>
  <c r="D18" i="7"/>
  <c r="G18" i="7" s="1"/>
  <c r="C20" i="4"/>
  <c r="D26" i="4" s="1"/>
  <c r="D20" i="4"/>
  <c r="D25" i="4" s="1"/>
  <c r="C24" i="4"/>
  <c r="C25" i="4" s="1"/>
  <c r="H12" i="1"/>
  <c r="H14" i="1"/>
  <c r="H46" i="1"/>
  <c r="H40" i="1"/>
  <c r="H3" i="1" l="1"/>
  <c r="H2" i="1" s="1"/>
  <c r="E26" i="4"/>
  <c r="E28" i="4" s="1"/>
  <c r="D28" i="4"/>
  <c r="C26" i="4"/>
  <c r="C30" i="4" s="1"/>
</calcChain>
</file>

<file path=xl/sharedStrings.xml><?xml version="1.0" encoding="utf-8"?>
<sst xmlns="http://schemas.openxmlformats.org/spreadsheetml/2006/main" count="446" uniqueCount="336">
  <si>
    <t>Item</t>
  </si>
  <si>
    <t>Qty</t>
  </si>
  <si>
    <t>Cost</t>
  </si>
  <si>
    <t>Model</t>
  </si>
  <si>
    <t>Toilet</t>
  </si>
  <si>
    <t>Dometic</t>
  </si>
  <si>
    <t>Total</t>
  </si>
  <si>
    <t>Shower</t>
  </si>
  <si>
    <t>Fridge</t>
  </si>
  <si>
    <t>Sink with lid</t>
  </si>
  <si>
    <t>Fan</t>
  </si>
  <si>
    <t>Sirocco</t>
  </si>
  <si>
    <t>Elite</t>
  </si>
  <si>
    <t>Site</t>
  </si>
  <si>
    <t>Duoetto</t>
  </si>
  <si>
    <t>Mk2 digital 10L storage water heater</t>
  </si>
  <si>
    <t>Solar Panel</t>
  </si>
  <si>
    <t>Pump</t>
  </si>
  <si>
    <t>11l/min</t>
  </si>
  <si>
    <t>Electrical and Solar</t>
  </si>
  <si>
    <t>Van</t>
  </si>
  <si>
    <t>Kitchen</t>
  </si>
  <si>
    <t>Shower and Toilet</t>
  </si>
  <si>
    <t>General</t>
  </si>
  <si>
    <t>Safiery</t>
  </si>
  <si>
    <t>Sleeping</t>
  </si>
  <si>
    <t>Bed</t>
  </si>
  <si>
    <t>DIY</t>
  </si>
  <si>
    <t>Fitout</t>
  </si>
  <si>
    <t>Driving Lights</t>
  </si>
  <si>
    <t>Telco modem and antenna</t>
  </si>
  <si>
    <t>https://www.telcoantennas.com.au/telco-x1-pro/</t>
  </si>
  <si>
    <t>Induction Stove</t>
  </si>
  <si>
    <t>CRX80 - 78l</t>
  </si>
  <si>
    <t>640x475x538</t>
  </si>
  <si>
    <t>Bushman</t>
  </si>
  <si>
    <t>https://bushman.com.au/product/dc85x/</t>
  </si>
  <si>
    <t>DC85-X</t>
  </si>
  <si>
    <t>625x475x550</t>
  </si>
  <si>
    <t>Single</t>
  </si>
  <si>
    <t>https://kombilife.com.au/products/vw-transporter-24-2-litre-wheel-arch-water-tank</t>
  </si>
  <si>
    <t>Tailgate Tent</t>
  </si>
  <si>
    <t>https://kombilife.com.au/collections/vw-transporter-swb-lwb-camping-4motion-accessories/products/vanshower-space-premium-tent-for-volkswagen-t5-t6-2004-2021</t>
  </si>
  <si>
    <t>Mattress Topper</t>
  </si>
  <si>
    <t>1350x1880 (double)</t>
  </si>
  <si>
    <t>Internal dimensions (LxW)</t>
  </si>
  <si>
    <t>Double Bed</t>
  </si>
  <si>
    <t>Balance</t>
  </si>
  <si>
    <t>Couch (Depth, Height)</t>
  </si>
  <si>
    <t>Depth</t>
  </si>
  <si>
    <t>Height</t>
  </si>
  <si>
    <t xml:space="preserve">Additional </t>
  </si>
  <si>
    <t>Couch Seat height</t>
  </si>
  <si>
    <t>Side Arms</t>
  </si>
  <si>
    <t xml:space="preserve">Mattress Thickness </t>
  </si>
  <si>
    <t>Pop Up</t>
  </si>
  <si>
    <t>Pop Top</t>
  </si>
  <si>
    <t>Smallest Bed</t>
  </si>
  <si>
    <t>ozstrut</t>
  </si>
  <si>
    <t>agm electrical</t>
  </si>
  <si>
    <t>NewEntor</t>
  </si>
  <si>
    <t>Water storage</t>
  </si>
  <si>
    <t>SNG 4244, VA8006</t>
  </si>
  <si>
    <t>Thetford</t>
  </si>
  <si>
    <t>330x383x427</t>
  </si>
  <si>
    <t>Vetus</t>
  </si>
  <si>
    <t>40l</t>
  </si>
  <si>
    <t>364x472x362</t>
  </si>
  <si>
    <t>60l</t>
  </si>
  <si>
    <t>364x682x362</t>
  </si>
  <si>
    <t>CAN-SB</t>
  </si>
  <si>
    <t>https://www.theboatwarehouse.com.au/plumbing-sinks-toilets-pumps/waste-fresh-water-tanks/can-sb-drinking-water-tank-fittings/</t>
  </si>
  <si>
    <t>39l</t>
  </si>
  <si>
    <t>550x390x200</t>
  </si>
  <si>
    <t>57l</t>
  </si>
  <si>
    <t>550x390x290</t>
  </si>
  <si>
    <t>Renogy</t>
  </si>
  <si>
    <t>https://au.renogy.com/core-12v-24v-48v-100ah-deep-cycle-lithium-iron-phosphate-battery/?irclickid=Wj9z3x0gwxycWx514LQo4Q7kUks3GnSlqzlfSc0&amp;irgwc=1&amp;partner=JourneyVanBuilds&amp;mpid=5804032&amp;group=</t>
  </si>
  <si>
    <t>bed length</t>
  </si>
  <si>
    <t>mattress width</t>
  </si>
  <si>
    <t>seat width</t>
  </si>
  <si>
    <t>467x212x208</t>
  </si>
  <si>
    <t>d</t>
  </si>
  <si>
    <t>f</t>
  </si>
  <si>
    <t>a</t>
  </si>
  <si>
    <t>w</t>
  </si>
  <si>
    <t>g</t>
  </si>
  <si>
    <t>b</t>
  </si>
  <si>
    <t>sw</t>
  </si>
  <si>
    <t>angle</t>
  </si>
  <si>
    <t>sin</t>
  </si>
  <si>
    <t>cos</t>
  </si>
  <si>
    <t>e</t>
  </si>
  <si>
    <t>c</t>
  </si>
  <si>
    <t>b+c</t>
  </si>
  <si>
    <t>x1</t>
  </si>
  <si>
    <t>x2</t>
  </si>
  <si>
    <t>radians</t>
  </si>
  <si>
    <t>x</t>
  </si>
  <si>
    <t>Known</t>
  </si>
  <si>
    <t>y1</t>
  </si>
  <si>
    <t>width</t>
  </si>
  <si>
    <t>https://www.bunnings.com.au/click-2-outlet-power-board-with-usb-charger_p0625543</t>
  </si>
  <si>
    <t>GPO</t>
  </si>
  <si>
    <t>gap</t>
  </si>
  <si>
    <t>radius</t>
  </si>
  <si>
    <t>n</t>
  </si>
  <si>
    <t>2r+g</t>
  </si>
  <si>
    <t>2*n*(r+g)</t>
  </si>
  <si>
    <t>offset</t>
  </si>
  <si>
    <t>y</t>
  </si>
  <si>
    <t>r</t>
  </si>
  <si>
    <t>38+15</t>
  </si>
  <si>
    <t>m</t>
  </si>
  <si>
    <t>LC = L * W * MP</t>
  </si>
  <si>
    <t>F17</t>
  </si>
  <si>
    <t>Mpa</t>
  </si>
  <si>
    <t>Ply</t>
  </si>
  <si>
    <t>Weight</t>
  </si>
  <si>
    <t>Birch</t>
  </si>
  <si>
    <t>size</t>
  </si>
  <si>
    <t>Black lightweight</t>
  </si>
  <si>
    <t>In practice I found that not all batteries seem to give their 'C rating', so I didn't use this figure.</t>
  </si>
  <si>
    <t>In my example my minimum battery rating would be 0.4. As they are actually rated 1 then I am well within…</t>
  </si>
  <si>
    <t xml:space="preserve"> the battery can deliver as a constant current, rated from 0 to 1 , with 1 being 100% </t>
  </si>
  <si>
    <r>
      <t>The 'Min C Rating' is basically giving the same information as the 'hourly current draw'. I may have misunderstood this bit, but</t>
    </r>
    <r>
      <rPr>
        <b/>
        <sz val="11"/>
        <color theme="1"/>
        <rFont val="Calibri"/>
        <family val="2"/>
        <scheme val="minor"/>
      </rPr>
      <t xml:space="preserve"> I think</t>
    </r>
    <r>
      <rPr>
        <sz val="12"/>
        <color theme="1"/>
        <rFont val="Calibri"/>
        <family val="2"/>
        <scheme val="minor"/>
      </rPr>
      <t xml:space="preserve"> the 'C' rating is the proportion of its rated capacity</t>
    </r>
  </si>
  <si>
    <t>and this heavily influenced my battery choice.</t>
  </si>
  <si>
    <t xml:space="preserve">though they would be run flat in a couple of hours if this was the case. In my case this figure is high because of the microwave (remove that and it drops considerably), </t>
  </si>
  <si>
    <t>My Renogy batteries can apparently provide 100 amps of constant draw each (and because there are two in parallel this means 200 amps),</t>
  </si>
  <si>
    <t>Max Hourly Current Draw' (on the top right) is the draw should all of the appliances be used at once. The batteries needs to be able to handle that draw. The battery specs should state their constant current capabilities.</t>
  </si>
  <si>
    <t>Alternatively you can enter the battery size you are considering in the blue or brown boxes and it will give you an estimate of how long they will last before charging.</t>
  </si>
  <si>
    <t>Battery size calculation is based on Lithium providing 80% of its capacity (which may be conservative), and 50% of AGM.</t>
  </si>
  <si>
    <t>The battery size required for both AGM and Lithium will be shown in the orange and green boxes. By adjusting the figure in the yellow box up or down will alter the battery size required..</t>
  </si>
  <si>
    <t>Enter how many days power you require without charging in the yellow box.</t>
  </si>
  <si>
    <t>Put in hours/day the componant will be used, in worse case scenario (eg, I put in that the Maxxair fan could be running all night on low)</t>
  </si>
  <si>
    <t>Add and take away relevent Componants and their Watt ratings, the Amp value will work out automatically</t>
  </si>
  <si>
    <t>(Current draw)</t>
  </si>
  <si>
    <t>Min C Rating:</t>
  </si>
  <si>
    <t>Amp Hours</t>
  </si>
  <si>
    <t>Lithium</t>
  </si>
  <si>
    <t>AGM</t>
  </si>
  <si>
    <t>Battery Size Required</t>
  </si>
  <si>
    <t xml:space="preserve">Battery Size envisaged </t>
  </si>
  <si>
    <t>Total Amp Hours needed</t>
  </si>
  <si>
    <t># Days' Power (without charge)</t>
  </si>
  <si>
    <t># Days' Power</t>
  </si>
  <si>
    <t>Amp Hrs</t>
  </si>
  <si>
    <t>(2 Phones charging 5 hours)</t>
  </si>
  <si>
    <t>USB Outlets</t>
  </si>
  <si>
    <t>LED Lights</t>
  </si>
  <si>
    <t>10 mins</t>
  </si>
  <si>
    <t>Coffee Machine</t>
  </si>
  <si>
    <t>15 mins</t>
  </si>
  <si>
    <t>Hob</t>
  </si>
  <si>
    <t>20 mins</t>
  </si>
  <si>
    <t>AirFryer</t>
  </si>
  <si>
    <t>(Low Speed all night)</t>
  </si>
  <si>
    <t>Amps</t>
  </si>
  <si>
    <t>(Cycling 25%)</t>
  </si>
  <si>
    <t>Dometic CRX80 Fridge</t>
  </si>
  <si>
    <t>Max Hourly Current Draw</t>
  </si>
  <si>
    <t>Amp Hours/Day</t>
  </si>
  <si>
    <t>Watt Hours/Day</t>
  </si>
  <si>
    <t>Use (Hours of a day)</t>
  </si>
  <si>
    <t>Watts</t>
  </si>
  <si>
    <t>Jacana</t>
  </si>
  <si>
    <t>Swivel Seat</t>
  </si>
  <si>
    <t>200W Panel</t>
  </si>
  <si>
    <t>200W Sinewave Inverter</t>
  </si>
  <si>
    <t>200A Battery</t>
  </si>
  <si>
    <t>DC-DC Battery Charger</t>
  </si>
  <si>
    <t>Shipping Costs</t>
  </si>
  <si>
    <t>Table</t>
  </si>
  <si>
    <t>Lagun</t>
  </si>
  <si>
    <t>https://www.bcaaust.com.au/product/lagun-folding-caravan-tables/</t>
  </si>
  <si>
    <t>Fire Extinguisher</t>
  </si>
  <si>
    <t>Sound System</t>
  </si>
  <si>
    <t>Tea Towel rack</t>
  </si>
  <si>
    <t>LED headlights</t>
  </si>
  <si>
    <t>Fly Screen</t>
  </si>
  <si>
    <t>Side Door</t>
  </si>
  <si>
    <t>https://www.sscampervans.com/shop/#!/Hiace-06-2019-on-LWB/c/38008111</t>
  </si>
  <si>
    <t>Solar Screen</t>
  </si>
  <si>
    <t>USB C</t>
  </si>
  <si>
    <t>Vans and Utes</t>
  </si>
  <si>
    <t>409x269x267</t>
  </si>
  <si>
    <t>k</t>
  </si>
  <si>
    <t>Bull Bar</t>
  </si>
  <si>
    <t>Window</t>
  </si>
  <si>
    <t>https://aussietraveller.com.au/collections/eurovision-windows/products/eurovision-window-2</t>
  </si>
  <si>
    <t>Eurovision2</t>
  </si>
  <si>
    <t>300x700</t>
  </si>
  <si>
    <t>BusBar</t>
  </si>
  <si>
    <t>https://www.switchboss.com.au/products/6-gang-m8-power-distribution-block-bus-bar?variant=42865450877095&amp;country=AU&amp;currency=AUD&amp;cmc_adid=ga__18385255562</t>
  </si>
  <si>
    <t>150, 28, 36</t>
  </si>
  <si>
    <t>https://dunnandwatson.com.au/shop/water-tanks/automotive-ute-tray-water-tanks/4x4-water-tank-20ltr/</t>
  </si>
  <si>
    <t>Dunn &amp; Watson</t>
  </si>
  <si>
    <t>500x240x221</t>
  </si>
  <si>
    <t>20l</t>
  </si>
  <si>
    <t>https://www.marinedirect.com.au/water-fuel-tanks-rigid-marine-quality/~-150</t>
  </si>
  <si>
    <t>Water Storage</t>
  </si>
  <si>
    <t>Custom Size</t>
  </si>
  <si>
    <t>https://www.bnrsydney.com.au/products/</t>
  </si>
  <si>
    <t>ECB</t>
  </si>
  <si>
    <t>Water Gauge</t>
  </si>
  <si>
    <t>Topargee</t>
  </si>
  <si>
    <t>https://www.rvonline.com.au/products/topargee-flush-mount-water-gauge-package-with-3m-sender-lead?variant=45926602506489&amp;country=AU&amp;currency=AUD</t>
  </si>
  <si>
    <t>Water Filter</t>
  </si>
  <si>
    <t>SeaFlo</t>
  </si>
  <si>
    <t>FSA</t>
  </si>
  <si>
    <t>https://safiery.com/product/smart-rv-induction-cooktop-2000w-single-built-in-portable-with-smooth-control-scratch-resistant-black-crystal-top-energy-efficient-safety-features-and-precise-cooking-suitable-for-indoor-and-o/</t>
  </si>
  <si>
    <t>Narva</t>
  </si>
  <si>
    <t>Materials</t>
  </si>
  <si>
    <t>Tools</t>
  </si>
  <si>
    <t>Jigsaw</t>
  </si>
  <si>
    <t>Clamps and Squares</t>
  </si>
  <si>
    <t>Bunnings</t>
  </si>
  <si>
    <t>Wood and Tape</t>
  </si>
  <si>
    <t>Sydney Tools</t>
  </si>
  <si>
    <t>9mm Ply</t>
  </si>
  <si>
    <t>Misc</t>
  </si>
  <si>
    <t>DMK</t>
  </si>
  <si>
    <t>Squares and countersink</t>
  </si>
  <si>
    <t>Table Saw &amp; Calipers</t>
  </si>
  <si>
    <t>Aluminium</t>
  </si>
  <si>
    <t>Smoke Alarm</t>
  </si>
  <si>
    <t>Input Voltage</t>
  </si>
  <si>
    <t>Component</t>
  </si>
  <si>
    <t>SeaFlo Pump</t>
  </si>
  <si>
    <t>Hot Water</t>
  </si>
  <si>
    <t>Sirocco Fan</t>
  </si>
  <si>
    <t>Fuses</t>
  </si>
  <si>
    <t>Switches</t>
  </si>
  <si>
    <t>Battery On/Off</t>
  </si>
  <si>
    <t>Sound Deadener</t>
  </si>
  <si>
    <t>Coverage</t>
  </si>
  <si>
    <t>Van Liner</t>
  </si>
  <si>
    <t>Van Liner Tape</t>
  </si>
  <si>
    <t>Application Kit</t>
  </si>
  <si>
    <t xml:space="preserve">Aluminium Foil Tape </t>
  </si>
  <si>
    <t>Package</t>
  </si>
  <si>
    <t>Van Seal</t>
  </si>
  <si>
    <t>NO</t>
  </si>
  <si>
    <t>https://www.water-filter-sentry.com.au/collections/filters-caravan/products/caravan-boat-mobile-home-water-filter-chemical-carbon-filters?variant=48068248436904</t>
  </si>
  <si>
    <t>Sentry</t>
  </si>
  <si>
    <t>Seat Covers</t>
  </si>
  <si>
    <t>Ah</t>
  </si>
  <si>
    <t>Charge Time</t>
  </si>
  <si>
    <t>kWh</t>
  </si>
  <si>
    <t>Hours</t>
  </si>
  <si>
    <t>% Charge</t>
  </si>
  <si>
    <t>Various</t>
  </si>
  <si>
    <t>https://www.bluebottlemarine.com/products/premium-compact-transom-shower-and-mixer-tap-combined-sets.html?sku=RWB8283&amp;gbraid=0AAAAAB4-pTfbvOHYJoPiuGa-2N3N82QRO</t>
  </si>
  <si>
    <t>Warranty</t>
  </si>
  <si>
    <t>Low Pass Filter Calculations</t>
  </si>
  <si>
    <t>Butter Worth 2 Pole</t>
  </si>
  <si>
    <t>K</t>
  </si>
  <si>
    <t>F</t>
  </si>
  <si>
    <t>C</t>
  </si>
  <si>
    <t>R</t>
  </si>
  <si>
    <t>Voltage Divider Calculations</t>
  </si>
  <si>
    <t>Vin</t>
  </si>
  <si>
    <t>Vout</t>
  </si>
  <si>
    <t>R2</t>
  </si>
  <si>
    <t>R1</t>
  </si>
  <si>
    <t>Voltage Regulator Calculations</t>
  </si>
  <si>
    <t>Vo</t>
  </si>
  <si>
    <t>Vc</t>
  </si>
  <si>
    <t>If</t>
  </si>
  <si>
    <t>Vf</t>
  </si>
  <si>
    <t>V</t>
  </si>
  <si>
    <t>E12</t>
  </si>
  <si>
    <t>R (k)</t>
  </si>
  <si>
    <t>154k</t>
  </si>
  <si>
    <t>1uF</t>
  </si>
  <si>
    <t>Analogue Optocoupler Calculations - IL300</t>
  </si>
  <si>
    <t>K1</t>
  </si>
  <si>
    <t>K2</t>
  </si>
  <si>
    <t>K3</t>
  </si>
  <si>
    <t>Ip1</t>
  </si>
  <si>
    <t>Ip1 = K1*If</t>
  </si>
  <si>
    <t>Vin/Ip1</t>
  </si>
  <si>
    <t>R1*Vout/Vin/K3</t>
  </si>
  <si>
    <t>E96</t>
  </si>
  <si>
    <t>Bin D</t>
  </si>
  <si>
    <t>Bin E</t>
  </si>
  <si>
    <t>Bin F</t>
  </si>
  <si>
    <t>Bin G</t>
  </si>
  <si>
    <t>K3min</t>
  </si>
  <si>
    <t>K3max</t>
  </si>
  <si>
    <t>K3*R2/R1*Vin</t>
  </si>
  <si>
    <t>Digital Out Optocoupler Calculations</t>
  </si>
  <si>
    <t>Digital In Optocoupler Calculations</t>
  </si>
  <si>
    <t>Grey Water</t>
  </si>
  <si>
    <t>Relay Hold Resistor Calculations</t>
  </si>
  <si>
    <t>Vhold</t>
  </si>
  <si>
    <t>Rhold</t>
  </si>
  <si>
    <t>P</t>
  </si>
  <si>
    <t>PR</t>
  </si>
  <si>
    <t>i</t>
  </si>
  <si>
    <t>Dual Relay Hold Resistor Calculations</t>
  </si>
  <si>
    <t>AWG</t>
  </si>
  <si>
    <t>Ohms</t>
  </si>
  <si>
    <t>diameter</t>
  </si>
  <si>
    <t>XC</t>
  </si>
  <si>
    <t>2/0</t>
  </si>
  <si>
    <t>Voltage Drop</t>
  </si>
  <si>
    <t>m^3/min</t>
  </si>
  <si>
    <t>50A DC-DC convertor</t>
  </si>
  <si>
    <t>Wattage</t>
  </si>
  <si>
    <t>Q' = W/20deltaT</t>
  </si>
  <si>
    <t>delta T</t>
  </si>
  <si>
    <t>Q'</t>
  </si>
  <si>
    <t>Q</t>
  </si>
  <si>
    <t>Q (2*Q')</t>
  </si>
  <si>
    <t>200Ah Battery</t>
  </si>
  <si>
    <t>Q (1.5*Q')</t>
  </si>
  <si>
    <t>Output Power</t>
  </si>
  <si>
    <t>Efficiency</t>
  </si>
  <si>
    <t>Input Power</t>
  </si>
  <si>
    <t>Power Dissipation</t>
  </si>
  <si>
    <t>Q' (m3/min)</t>
  </si>
  <si>
    <t>Total System</t>
  </si>
  <si>
    <t>2x DC-DC Convertor</t>
  </si>
  <si>
    <t>Battery @ 200A</t>
  </si>
  <si>
    <t>Battery @ 50A</t>
  </si>
  <si>
    <t>9GA0412P3K01</t>
  </si>
  <si>
    <t>Frame</t>
  </si>
  <si>
    <t>40mm</t>
  </si>
  <si>
    <t>Quantity</t>
  </si>
  <si>
    <t>9GAX0412P3S001</t>
  </si>
  <si>
    <t>9S0612S4011</t>
  </si>
  <si>
    <t>9S0612S409</t>
  </si>
  <si>
    <t>60mm</t>
  </si>
  <si>
    <t>SPL</t>
  </si>
  <si>
    <t>9GA0612P7G01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</si>
</sst>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
    <numFmt numFmtId="166" formatCode="0.000"/>
  </numFmts>
  <fonts count="16">
    <font>
      <sz val="12"/>
      <color theme="1"/>
      <name val="Calibri"/>
      <family val="2"/>
      <scheme val="minor"/>
    </font>
    <font>
      <b/>
      <sz val="12"/>
      <color theme="1"/>
      <name val="Calibri"/>
      <family val="2"/>
      <scheme val="minor"/>
    </font>
    <font>
      <u/>
      <sz val="12"/>
      <color theme="10"/>
      <name val="Calibri"/>
      <family val="2"/>
      <scheme val="minor"/>
    </font>
    <font>
      <sz val="22"/>
      <color theme="1"/>
      <name val="Calibri"/>
      <family val="2"/>
      <scheme val="minor"/>
    </font>
    <font>
      <sz val="8"/>
      <name val="Calibri"/>
      <family val="2"/>
      <scheme val="minor"/>
    </font>
    <font>
      <sz val="12"/>
      <color rgb="FF00610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2"/>
      <color rgb="FF9C5700"/>
      <name val="Calibri"/>
      <family val="2"/>
      <scheme val="minor"/>
    </font>
    <font>
      <b/>
      <sz val="14"/>
      <color theme="1"/>
      <name val="Calibri"/>
      <family val="2"/>
      <scheme val="minor"/>
    </font>
    <font>
      <sz val="16"/>
      <color rgb="FF202122"/>
      <name val="Arial"/>
      <family val="2"/>
    </font>
    <font>
      <sz val="16"/>
      <color rgb="FF636363"/>
      <name val="Inter"/>
    </font>
    <font>
      <sz val="18"/>
      <color rgb="FF000000"/>
      <name val="MJXc-TeX-main-R"/>
    </font>
    <font>
      <sz val="12"/>
      <color rgb="FF9C0006"/>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C6EFCE"/>
      </patternFill>
    </fill>
    <fill>
      <patternFill patternType="solid">
        <fgColor rgb="FFFFC00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EB9C"/>
      </patternFill>
    </fill>
    <fill>
      <patternFill patternType="solid">
        <fgColor theme="4" tint="0.39997558519241921"/>
        <bgColor indexed="64"/>
      </patternFill>
    </fill>
    <fill>
      <patternFill patternType="solid">
        <fgColor rgb="FFFFC7CE"/>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6">
    <xf numFmtId="0" fontId="0" fillId="0" borderId="0"/>
    <xf numFmtId="0" fontId="2" fillId="0" borderId="0" applyNumberFormat="0" applyFill="0" applyBorder="0" applyAlignment="0" applyProtection="0"/>
    <xf numFmtId="0" fontId="5" fillId="3" borderId="0" applyNumberFormat="0" applyBorder="0" applyAlignment="0" applyProtection="0"/>
    <xf numFmtId="0" fontId="6" fillId="0" borderId="0"/>
    <xf numFmtId="0" fontId="10" fillId="8" borderId="0" applyNumberFormat="0" applyBorder="0" applyAlignment="0" applyProtection="0"/>
    <xf numFmtId="0" fontId="15" fillId="10" borderId="0" applyNumberFormat="0" applyBorder="0" applyAlignment="0" applyProtection="0"/>
  </cellStyleXfs>
  <cellXfs count="58">
    <xf numFmtId="0" fontId="0" fillId="0" borderId="0" xfId="0"/>
    <xf numFmtId="0" fontId="2" fillId="0" borderId="0" xfId="1"/>
    <xf numFmtId="0" fontId="3" fillId="2" borderId="0" xfId="0" applyFont="1" applyFill="1"/>
    <xf numFmtId="0" fontId="0" fillId="2" borderId="0" xfId="0" applyFill="1"/>
    <xf numFmtId="0" fontId="2" fillId="2" borderId="0" xfId="1" applyFill="1"/>
    <xf numFmtId="164" fontId="1" fillId="0" borderId="0" xfId="0" applyNumberFormat="1" applyFont="1"/>
    <xf numFmtId="0" fontId="1" fillId="2" borderId="0" xfId="0" applyFont="1" applyFill="1"/>
    <xf numFmtId="0" fontId="5" fillId="3" borderId="0" xfId="2"/>
    <xf numFmtId="1" fontId="0" fillId="0" borderId="0" xfId="0" applyNumberFormat="1"/>
    <xf numFmtId="165" fontId="0" fillId="0" borderId="0" xfId="0" applyNumberFormat="1"/>
    <xf numFmtId="165" fontId="5" fillId="3" borderId="0" xfId="2" applyNumberFormat="1"/>
    <xf numFmtId="0" fontId="6" fillId="0" borderId="0" xfId="3"/>
    <xf numFmtId="0" fontId="6" fillId="0" borderId="0" xfId="3" quotePrefix="1"/>
    <xf numFmtId="0" fontId="8" fillId="0" borderId="0" xfId="3" applyFont="1"/>
    <xf numFmtId="165" fontId="6" fillId="0" borderId="0" xfId="3" applyNumberFormat="1"/>
    <xf numFmtId="0" fontId="6" fillId="0" borderId="0" xfId="3" applyAlignment="1">
      <alignment horizontal="left"/>
    </xf>
    <xf numFmtId="0" fontId="7" fillId="2" borderId="0" xfId="3" applyFont="1" applyFill="1"/>
    <xf numFmtId="0" fontId="7" fillId="4" borderId="0" xfId="3" applyFont="1" applyFill="1"/>
    <xf numFmtId="165" fontId="9" fillId="0" borderId="0" xfId="3" applyNumberFormat="1" applyFont="1"/>
    <xf numFmtId="0" fontId="7" fillId="5" borderId="0" xfId="3" applyFont="1" applyFill="1"/>
    <xf numFmtId="0" fontId="7" fillId="6" borderId="0" xfId="3" applyFont="1" applyFill="1"/>
    <xf numFmtId="0" fontId="6" fillId="0" borderId="0" xfId="3" applyAlignment="1">
      <alignment horizontal="right"/>
    </xf>
    <xf numFmtId="2" fontId="7" fillId="0" borderId="0" xfId="3" applyNumberFormat="1" applyFont="1"/>
    <xf numFmtId="0" fontId="7" fillId="0" borderId="0" xfId="3" applyFont="1" applyAlignment="1">
      <alignment horizontal="right"/>
    </xf>
    <xf numFmtId="0" fontId="7" fillId="7" borderId="0" xfId="3" applyFont="1" applyFill="1"/>
    <xf numFmtId="0" fontId="9" fillId="0" borderId="0" xfId="3" applyFont="1"/>
    <xf numFmtId="2" fontId="7" fillId="0" borderId="1" xfId="3" applyNumberFormat="1" applyFont="1" applyBorder="1"/>
    <xf numFmtId="0" fontId="7" fillId="0" borderId="0" xfId="3" applyFont="1"/>
    <xf numFmtId="0" fontId="6" fillId="0" borderId="1" xfId="3" applyBorder="1"/>
    <xf numFmtId="2" fontId="6" fillId="0" borderId="1" xfId="3" applyNumberFormat="1" applyBorder="1"/>
    <xf numFmtId="1" fontId="6" fillId="0" borderId="1" xfId="3" applyNumberFormat="1" applyBorder="1"/>
    <xf numFmtId="2" fontId="6" fillId="0" borderId="0" xfId="3" applyNumberFormat="1"/>
    <xf numFmtId="0" fontId="7" fillId="0" borderId="1" xfId="3" applyFont="1" applyBorder="1"/>
    <xf numFmtId="0" fontId="10" fillId="8" borderId="0" xfId="4"/>
    <xf numFmtId="165" fontId="10" fillId="8" borderId="0" xfId="4" applyNumberFormat="1"/>
    <xf numFmtId="0" fontId="1" fillId="0" borderId="0" xfId="0" applyFont="1"/>
    <xf numFmtId="9" fontId="6" fillId="0" borderId="0" xfId="3" applyNumberFormat="1"/>
    <xf numFmtId="1" fontId="6" fillId="0" borderId="0" xfId="3" applyNumberFormat="1"/>
    <xf numFmtId="11" fontId="0" fillId="0" borderId="0" xfId="0" applyNumberFormat="1"/>
    <xf numFmtId="0" fontId="11" fillId="9" borderId="0" xfId="0" applyFont="1" applyFill="1"/>
    <xf numFmtId="0" fontId="0" fillId="9" borderId="0" xfId="0" applyFill="1"/>
    <xf numFmtId="0" fontId="1" fillId="9" borderId="0" xfId="0" applyFont="1" applyFill="1"/>
    <xf numFmtId="2" fontId="0" fillId="0" borderId="0" xfId="0" applyNumberFormat="1"/>
    <xf numFmtId="0" fontId="0" fillId="0" borderId="0" xfId="0" quotePrefix="1"/>
    <xf numFmtId="48" fontId="0" fillId="0" borderId="0" xfId="0" applyNumberFormat="1"/>
    <xf numFmtId="0" fontId="12" fillId="0" borderId="0" xfId="0" applyFont="1"/>
    <xf numFmtId="48" fontId="10" fillId="8" borderId="0" xfId="4" applyNumberFormat="1"/>
    <xf numFmtId="0" fontId="13" fillId="0" borderId="0" xfId="0" applyFont="1"/>
    <xf numFmtId="0" fontId="14" fillId="0" borderId="0" xfId="0" applyFont="1"/>
    <xf numFmtId="0" fontId="0" fillId="0" borderId="2" xfId="0" applyBorder="1"/>
    <xf numFmtId="0" fontId="0" fillId="0" borderId="3" xfId="0" applyBorder="1"/>
    <xf numFmtId="0" fontId="0" fillId="0" borderId="4" xfId="0" applyBorder="1"/>
    <xf numFmtId="0" fontId="0" fillId="0" borderId="5" xfId="0" applyBorder="1"/>
    <xf numFmtId="48" fontId="0" fillId="0" borderId="4" xfId="0" applyNumberFormat="1" applyBorder="1"/>
    <xf numFmtId="9" fontId="0" fillId="0" borderId="0" xfId="0" applyNumberFormat="1"/>
    <xf numFmtId="0" fontId="15" fillId="10" borderId="0" xfId="5"/>
    <xf numFmtId="0" fontId="1" fillId="9" borderId="0" xfId="0" applyFont="1" applyFill="1" applyAlignment="1">
      <alignment vertical="center"/>
    </xf>
    <xf numFmtId="166" fontId="0" fillId="0" borderId="0" xfId="0" applyNumberFormat="1"/>
  </cellXfs>
  <cellStyles count="6">
    <cellStyle name="Bad" xfId="5" builtinId="27"/>
    <cellStyle name="Good" xfId="2" builtinId="26"/>
    <cellStyle name="Hyperlink" xfId="1" builtinId="8"/>
    <cellStyle name="Neutral" xfId="4" builtinId="28"/>
    <cellStyle name="Normal" xfId="0" builtinId="0"/>
    <cellStyle name="Normal 2" xfId="3" xr:uid="{123B9C09-DBF4-C94E-B00F-92A47902B458}"/>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heboatwarehouse.com.au/plumbing-sinks-toilets-pumps/waste-fresh-water-tanks/can-sb-drinking-water-tank-fittings/" TargetMode="External"/><Relationship Id="rId3" Type="http://schemas.openxmlformats.org/officeDocument/2006/relationships/hyperlink" Target="https://kombilife.com.au/products/vw-transporter-24-2-litre-wheel-arch-water-tank" TargetMode="External"/><Relationship Id="rId7" Type="http://schemas.openxmlformats.org/officeDocument/2006/relationships/hyperlink" Target="https://dunnandwatson.com.au/shop/water-tanks/automotive-ute-tray-water-tanks/4x4-water-tank-20ltr/" TargetMode="External"/><Relationship Id="rId2" Type="http://schemas.openxmlformats.org/officeDocument/2006/relationships/hyperlink" Target="https://bushman.com.au/product/dc85x/" TargetMode="External"/><Relationship Id="rId1" Type="http://schemas.openxmlformats.org/officeDocument/2006/relationships/hyperlink" Target="https://www.telcoantennas.com.au/telco-x1-pro/" TargetMode="External"/><Relationship Id="rId6" Type="http://schemas.openxmlformats.org/officeDocument/2006/relationships/hyperlink" Target="https://au.renogy.com/core-12v-24v-48v-100ah-deep-cycle-lithium-iron-phosphate-battery/?irclickid=Wj9z3x0gwxycWx514LQo4Q7kUks3GnSlqzlfSc0&amp;irgwc=1&amp;partner=JourneyVanBuilds&amp;mpid=5804032&amp;group=" TargetMode="External"/><Relationship Id="rId5" Type="http://schemas.openxmlformats.org/officeDocument/2006/relationships/hyperlink" Target="https://www.bunnings.com.au/click-2-outlet-power-board-with-usb-charger_p0625543" TargetMode="External"/><Relationship Id="rId10" Type="http://schemas.openxmlformats.org/officeDocument/2006/relationships/hyperlink" Target="https://aussietraveller.com.au/collections/eurovision-windows/products/eurovision-window-2" TargetMode="External"/><Relationship Id="rId4" Type="http://schemas.openxmlformats.org/officeDocument/2006/relationships/hyperlink" Target="https://www.theboatwarehouse.com.au/plumbing-sinks-toilets-pumps/waste-fresh-water-tanks/can-sb-drinking-water-tank-fittings/" TargetMode="External"/><Relationship Id="rId9" Type="http://schemas.openxmlformats.org/officeDocument/2006/relationships/hyperlink" Target="https://www.bnrsydney.com.au/produc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DC715-C7C4-1749-ABD4-2BCA46FA3CE6}">
  <dimension ref="A1:J73"/>
  <sheetViews>
    <sheetView workbookViewId="0">
      <selection activeCell="F25" sqref="F25"/>
    </sheetView>
  </sheetViews>
  <sheetFormatPr baseColWidth="10" defaultRowHeight="16"/>
  <cols>
    <col min="1" max="1" width="19.83203125" customWidth="1"/>
    <col min="2" max="2" width="12.33203125" bestFit="1" customWidth="1"/>
    <col min="3" max="4" width="28" customWidth="1"/>
    <col min="5" max="5" width="8.83203125" bestFit="1" customWidth="1"/>
    <col min="9" max="9" width="104.1640625" customWidth="1"/>
  </cols>
  <sheetData>
    <row r="1" spans="1:9" ht="29">
      <c r="A1" s="2" t="s">
        <v>0</v>
      </c>
      <c r="B1" s="3"/>
      <c r="C1" s="3" t="s">
        <v>3</v>
      </c>
      <c r="D1" s="3"/>
      <c r="E1" s="3" t="s">
        <v>253</v>
      </c>
      <c r="F1" s="3" t="s">
        <v>1</v>
      </c>
      <c r="G1" s="3" t="s">
        <v>2</v>
      </c>
      <c r="H1" s="6" t="s">
        <v>6</v>
      </c>
      <c r="I1" s="3" t="s">
        <v>13</v>
      </c>
    </row>
    <row r="2" spans="1:9">
      <c r="A2" t="s">
        <v>6</v>
      </c>
      <c r="H2" s="5">
        <f>H3+H4</f>
        <v>83823.19</v>
      </c>
    </row>
    <row r="3" spans="1:9">
      <c r="A3" t="s">
        <v>28</v>
      </c>
      <c r="H3" s="5">
        <f>H5+H12+H14+H30+H40+H46+H56</f>
        <v>29323.190000000002</v>
      </c>
    </row>
    <row r="4" spans="1:9">
      <c r="A4" t="s">
        <v>20</v>
      </c>
      <c r="G4" s="7">
        <v>54500</v>
      </c>
      <c r="H4" s="5">
        <f>G4</f>
        <v>54500</v>
      </c>
    </row>
    <row r="5" spans="1:9" ht="29">
      <c r="A5" s="2" t="s">
        <v>20</v>
      </c>
      <c r="B5" s="3"/>
      <c r="C5" s="3"/>
      <c r="D5" s="3"/>
      <c r="E5" s="3"/>
      <c r="F5" s="3"/>
      <c r="G5" s="3"/>
      <c r="H5" s="6">
        <f>SUM(H6:H11)</f>
        <v>8218.09</v>
      </c>
      <c r="I5" s="3"/>
    </row>
    <row r="6" spans="1:9">
      <c r="A6" t="s">
        <v>166</v>
      </c>
      <c r="F6">
        <v>1</v>
      </c>
      <c r="G6" s="7">
        <v>1609.09</v>
      </c>
      <c r="H6">
        <f t="shared" ref="H6:H11" si="0">F6*G6</f>
        <v>1609.09</v>
      </c>
      <c r="I6" t="s">
        <v>184</v>
      </c>
    </row>
    <row r="7" spans="1:9">
      <c r="A7" t="s">
        <v>187</v>
      </c>
      <c r="B7" t="s">
        <v>203</v>
      </c>
      <c r="F7">
        <v>1</v>
      </c>
      <c r="G7">
        <v>4550</v>
      </c>
      <c r="H7">
        <f t="shared" si="0"/>
        <v>4550</v>
      </c>
      <c r="I7" s="1" t="s">
        <v>202</v>
      </c>
    </row>
    <row r="8" spans="1:9">
      <c r="A8" t="s">
        <v>245</v>
      </c>
      <c r="F8">
        <v>1</v>
      </c>
      <c r="G8" s="7">
        <v>339</v>
      </c>
      <c r="H8">
        <f t="shared" si="0"/>
        <v>339</v>
      </c>
      <c r="I8" s="1"/>
    </row>
    <row r="9" spans="1:9">
      <c r="A9" t="s">
        <v>188</v>
      </c>
      <c r="C9" t="s">
        <v>190</v>
      </c>
      <c r="D9" t="s">
        <v>191</v>
      </c>
      <c r="F9">
        <v>1</v>
      </c>
      <c r="G9">
        <v>465</v>
      </c>
      <c r="H9">
        <f t="shared" si="0"/>
        <v>465</v>
      </c>
      <c r="I9" s="1" t="s">
        <v>189</v>
      </c>
    </row>
    <row r="10" spans="1:9">
      <c r="A10" t="s">
        <v>178</v>
      </c>
      <c r="F10">
        <v>1</v>
      </c>
      <c r="G10" s="7">
        <v>155</v>
      </c>
      <c r="H10">
        <f t="shared" si="0"/>
        <v>155</v>
      </c>
    </row>
    <row r="11" spans="1:9">
      <c r="A11" t="s">
        <v>29</v>
      </c>
      <c r="B11" t="s">
        <v>211</v>
      </c>
      <c r="F11">
        <v>1</v>
      </c>
      <c r="G11">
        <v>1100</v>
      </c>
      <c r="H11">
        <f t="shared" si="0"/>
        <v>1100</v>
      </c>
    </row>
    <row r="12" spans="1:9" ht="29">
      <c r="A12" s="2" t="s">
        <v>55</v>
      </c>
      <c r="B12" s="3"/>
      <c r="C12" s="3"/>
      <c r="D12" s="3"/>
      <c r="E12" s="3"/>
      <c r="F12" s="3"/>
      <c r="G12" s="3"/>
      <c r="H12" s="6">
        <f>SUM(H13:H13)</f>
        <v>11450</v>
      </c>
      <c r="I12" s="3"/>
    </row>
    <row r="13" spans="1:9">
      <c r="A13" t="s">
        <v>56</v>
      </c>
      <c r="B13" t="s">
        <v>165</v>
      </c>
      <c r="C13">
        <v>21075</v>
      </c>
      <c r="F13">
        <v>1</v>
      </c>
      <c r="G13">
        <v>11450</v>
      </c>
      <c r="H13">
        <f>F13*G13</f>
        <v>11450</v>
      </c>
    </row>
    <row r="14" spans="1:9" ht="29">
      <c r="A14" s="2" t="s">
        <v>21</v>
      </c>
      <c r="B14" s="3"/>
      <c r="C14" s="3"/>
      <c r="D14" s="3"/>
      <c r="E14" s="3"/>
      <c r="F14" s="3"/>
      <c r="G14" s="3"/>
      <c r="H14" s="6">
        <f>SUM(H15:H29)</f>
        <v>3181.11</v>
      </c>
      <c r="I14" s="3"/>
    </row>
    <row r="15" spans="1:9">
      <c r="A15" t="s">
        <v>8</v>
      </c>
      <c r="B15" t="s">
        <v>5</v>
      </c>
      <c r="C15" t="s">
        <v>33</v>
      </c>
      <c r="D15" t="s">
        <v>34</v>
      </c>
      <c r="F15">
        <v>0</v>
      </c>
      <c r="G15">
        <v>1809</v>
      </c>
      <c r="H15">
        <f t="shared" ref="H15" si="1">F15*G15</f>
        <v>0</v>
      </c>
    </row>
    <row r="16" spans="1:9">
      <c r="A16" t="s">
        <v>8</v>
      </c>
      <c r="B16" t="s">
        <v>35</v>
      </c>
      <c r="C16" t="s">
        <v>37</v>
      </c>
      <c r="D16" t="s">
        <v>38</v>
      </c>
      <c r="F16">
        <v>1</v>
      </c>
      <c r="G16">
        <v>1495</v>
      </c>
      <c r="H16">
        <f>F16*G16</f>
        <v>1495</v>
      </c>
      <c r="I16" s="1" t="s">
        <v>36</v>
      </c>
    </row>
    <row r="17" spans="1:10">
      <c r="A17" t="s">
        <v>32</v>
      </c>
      <c r="B17" t="s">
        <v>24</v>
      </c>
      <c r="C17" t="s">
        <v>39</v>
      </c>
      <c r="F17">
        <v>1</v>
      </c>
      <c r="G17" s="7">
        <v>275</v>
      </c>
      <c r="H17">
        <f t="shared" ref="H17:H18" si="2">F17*G17</f>
        <v>275</v>
      </c>
      <c r="I17" t="s">
        <v>210</v>
      </c>
    </row>
    <row r="18" spans="1:10">
      <c r="A18" t="s">
        <v>172</v>
      </c>
      <c r="B18" t="s">
        <v>173</v>
      </c>
      <c r="F18">
        <v>1</v>
      </c>
      <c r="G18">
        <v>352</v>
      </c>
      <c r="H18">
        <f t="shared" si="2"/>
        <v>352</v>
      </c>
      <c r="I18" s="1" t="s">
        <v>174</v>
      </c>
    </row>
    <row r="19" spans="1:10">
      <c r="A19" t="s">
        <v>61</v>
      </c>
      <c r="B19" t="s">
        <v>65</v>
      </c>
      <c r="C19" t="s">
        <v>66</v>
      </c>
      <c r="D19" t="s">
        <v>67</v>
      </c>
    </row>
    <row r="20" spans="1:10">
      <c r="A20" t="s">
        <v>61</v>
      </c>
      <c r="B20" t="s">
        <v>65</v>
      </c>
      <c r="C20" t="s">
        <v>68</v>
      </c>
      <c r="D20" t="s">
        <v>69</v>
      </c>
    </row>
    <row r="21" spans="1:10">
      <c r="A21" t="s">
        <v>61</v>
      </c>
      <c r="B21" t="s">
        <v>196</v>
      </c>
      <c r="C21" t="s">
        <v>198</v>
      </c>
      <c r="D21" t="s">
        <v>197</v>
      </c>
      <c r="I21" s="1" t="s">
        <v>195</v>
      </c>
    </row>
    <row r="22" spans="1:10">
      <c r="A22" t="s">
        <v>61</v>
      </c>
      <c r="B22" t="s">
        <v>70</v>
      </c>
      <c r="C22" t="s">
        <v>72</v>
      </c>
      <c r="D22" t="s">
        <v>73</v>
      </c>
      <c r="I22" s="1" t="s">
        <v>71</v>
      </c>
    </row>
    <row r="23" spans="1:10">
      <c r="A23" t="s">
        <v>61</v>
      </c>
      <c r="B23" t="s">
        <v>70</v>
      </c>
      <c r="C23" t="s">
        <v>74</v>
      </c>
      <c r="D23" t="s">
        <v>75</v>
      </c>
      <c r="F23">
        <v>0</v>
      </c>
      <c r="G23">
        <v>273.41000000000003</v>
      </c>
      <c r="H23">
        <f t="shared" ref="H23:H29" si="3">F23*G23</f>
        <v>0</v>
      </c>
      <c r="I23" s="1" t="s">
        <v>71</v>
      </c>
    </row>
    <row r="24" spans="1:10">
      <c r="A24" t="s">
        <v>61</v>
      </c>
      <c r="H24">
        <f t="shared" si="3"/>
        <v>0</v>
      </c>
      <c r="I24" s="1" t="s">
        <v>40</v>
      </c>
    </row>
    <row r="25" spans="1:10">
      <c r="A25" t="s">
        <v>200</v>
      </c>
      <c r="C25" t="s">
        <v>201</v>
      </c>
      <c r="F25">
        <v>1</v>
      </c>
      <c r="G25">
        <v>625</v>
      </c>
      <c r="H25">
        <f t="shared" si="3"/>
        <v>625</v>
      </c>
      <c r="I25" s="1" t="s">
        <v>199</v>
      </c>
    </row>
    <row r="26" spans="1:10">
      <c r="A26" t="s">
        <v>207</v>
      </c>
      <c r="B26" t="s">
        <v>209</v>
      </c>
      <c r="I26" s="1"/>
    </row>
    <row r="27" spans="1:10">
      <c r="B27" t="s">
        <v>244</v>
      </c>
      <c r="I27" s="1" t="s">
        <v>243</v>
      </c>
    </row>
    <row r="28" spans="1:10">
      <c r="A28" t="s">
        <v>204</v>
      </c>
      <c r="B28" t="s">
        <v>205</v>
      </c>
      <c r="F28">
        <v>1</v>
      </c>
      <c r="G28" s="7">
        <v>116.81</v>
      </c>
      <c r="H28">
        <f t="shared" si="3"/>
        <v>116.81</v>
      </c>
      <c r="I28" s="1" t="s">
        <v>206</v>
      </c>
    </row>
    <row r="29" spans="1:10">
      <c r="A29" t="s">
        <v>9</v>
      </c>
      <c r="B29" t="s">
        <v>5</v>
      </c>
      <c r="C29" t="s">
        <v>62</v>
      </c>
      <c r="F29">
        <v>1</v>
      </c>
      <c r="G29" s="7">
        <v>317.3</v>
      </c>
      <c r="H29">
        <f t="shared" si="3"/>
        <v>317.3</v>
      </c>
    </row>
    <row r="30" spans="1:10" ht="29">
      <c r="A30" s="2" t="s">
        <v>19</v>
      </c>
      <c r="B30" s="3"/>
      <c r="C30" s="3"/>
      <c r="D30" s="3"/>
      <c r="E30" s="3"/>
      <c r="F30" s="3"/>
      <c r="G30" s="3"/>
      <c r="H30" s="6">
        <f>SUM(H31:H39)</f>
        <v>3996.36</v>
      </c>
      <c r="I30" s="3"/>
    </row>
    <row r="31" spans="1:10">
      <c r="B31" t="s">
        <v>76</v>
      </c>
      <c r="C31" t="s">
        <v>169</v>
      </c>
      <c r="D31" t="s">
        <v>81</v>
      </c>
      <c r="E31" s="7"/>
      <c r="F31">
        <v>2</v>
      </c>
      <c r="G31" s="7">
        <v>958.99</v>
      </c>
      <c r="H31">
        <f t="shared" ref="H31:H55" si="4">F31*G31</f>
        <v>1917.98</v>
      </c>
      <c r="I31" s="1" t="s">
        <v>77</v>
      </c>
      <c r="J31">
        <f>21.1*16.9*26</f>
        <v>9271.34</v>
      </c>
    </row>
    <row r="32" spans="1:10">
      <c r="B32" t="s">
        <v>76</v>
      </c>
      <c r="C32" t="s">
        <v>168</v>
      </c>
      <c r="E32" s="7"/>
      <c r="F32">
        <v>1</v>
      </c>
      <c r="G32" s="7">
        <v>334.99</v>
      </c>
      <c r="H32">
        <f t="shared" si="4"/>
        <v>334.99</v>
      </c>
      <c r="I32" s="1"/>
    </row>
    <row r="33" spans="1:10">
      <c r="B33" t="s">
        <v>76</v>
      </c>
      <c r="C33" t="s">
        <v>170</v>
      </c>
      <c r="E33" s="7"/>
      <c r="F33">
        <v>1</v>
      </c>
      <c r="G33" s="7">
        <v>649.99</v>
      </c>
      <c r="H33">
        <f t="shared" si="4"/>
        <v>649.99</v>
      </c>
      <c r="I33" s="1"/>
    </row>
    <row r="34" spans="1:10">
      <c r="B34" t="s">
        <v>76</v>
      </c>
      <c r="C34" t="s">
        <v>171</v>
      </c>
      <c r="F34">
        <v>1</v>
      </c>
      <c r="G34" s="7">
        <f>72.71+26.37</f>
        <v>99.08</v>
      </c>
      <c r="H34">
        <f t="shared" si="4"/>
        <v>99.08</v>
      </c>
      <c r="I34" s="1"/>
      <c r="J34">
        <f>46.7*21.2*20.8</f>
        <v>20592.832000000002</v>
      </c>
    </row>
    <row r="35" spans="1:10">
      <c r="A35" t="s">
        <v>16</v>
      </c>
      <c r="B35" t="s">
        <v>76</v>
      </c>
      <c r="C35" t="s">
        <v>167</v>
      </c>
      <c r="E35" s="7"/>
      <c r="F35">
        <v>2</v>
      </c>
      <c r="G35" s="7">
        <v>349.99</v>
      </c>
      <c r="H35">
        <f>F35*G35</f>
        <v>699.98</v>
      </c>
      <c r="I35" s="1"/>
    </row>
    <row r="36" spans="1:10">
      <c r="A36" t="s">
        <v>192</v>
      </c>
      <c r="D36" t="s">
        <v>194</v>
      </c>
      <c r="F36">
        <v>1</v>
      </c>
      <c r="G36">
        <v>58</v>
      </c>
      <c r="H36">
        <f>F36*G36</f>
        <v>58</v>
      </c>
      <c r="I36" s="1" t="s">
        <v>193</v>
      </c>
    </row>
    <row r="37" spans="1:10">
      <c r="A37" t="s">
        <v>251</v>
      </c>
      <c r="F37">
        <v>1</v>
      </c>
      <c r="G37" s="7">
        <v>150.44</v>
      </c>
      <c r="H37">
        <f>F37*G37</f>
        <v>150.44</v>
      </c>
      <c r="I37" s="1"/>
    </row>
    <row r="38" spans="1:10">
      <c r="A38" t="s">
        <v>183</v>
      </c>
      <c r="F38">
        <v>2</v>
      </c>
      <c r="G38" s="7">
        <v>22.95</v>
      </c>
      <c r="H38">
        <f>F38*G38</f>
        <v>45.9</v>
      </c>
      <c r="I38" s="1"/>
    </row>
    <row r="39" spans="1:10">
      <c r="A39" t="s">
        <v>103</v>
      </c>
      <c r="F39">
        <v>2</v>
      </c>
      <c r="G39" s="7">
        <v>20</v>
      </c>
      <c r="H39">
        <f>F39*G39</f>
        <v>40</v>
      </c>
      <c r="I39" s="1" t="s">
        <v>102</v>
      </c>
    </row>
    <row r="40" spans="1:10" ht="29">
      <c r="A40" s="2" t="s">
        <v>22</v>
      </c>
      <c r="B40" s="3"/>
      <c r="C40" s="3"/>
      <c r="D40" s="3"/>
      <c r="E40" s="3"/>
      <c r="F40" s="3"/>
      <c r="G40" s="3"/>
      <c r="H40" s="6">
        <f>SUM(H41:H45)</f>
        <v>1014.63</v>
      </c>
      <c r="I40" s="4"/>
    </row>
    <row r="41" spans="1:10">
      <c r="B41" t="s">
        <v>14</v>
      </c>
      <c r="C41" t="s">
        <v>15</v>
      </c>
      <c r="D41" t="s">
        <v>185</v>
      </c>
      <c r="F41">
        <v>1</v>
      </c>
      <c r="G41" s="7">
        <v>425</v>
      </c>
      <c r="H41">
        <f t="shared" ref="H41" si="5">F41*G41</f>
        <v>425</v>
      </c>
    </row>
    <row r="42" spans="1:10">
      <c r="A42" t="s">
        <v>17</v>
      </c>
      <c r="B42" t="s">
        <v>208</v>
      </c>
      <c r="C42" t="s">
        <v>18</v>
      </c>
      <c r="E42" s="7"/>
      <c r="F42">
        <v>1</v>
      </c>
      <c r="G42" s="7">
        <v>263</v>
      </c>
      <c r="H42">
        <f t="shared" si="4"/>
        <v>263</v>
      </c>
    </row>
    <row r="43" spans="1:10">
      <c r="A43" t="s">
        <v>7</v>
      </c>
      <c r="F43">
        <v>1</v>
      </c>
      <c r="G43" s="7">
        <v>167.63</v>
      </c>
      <c r="H43">
        <f t="shared" si="4"/>
        <v>167.63</v>
      </c>
      <c r="I43" s="1" t="s">
        <v>252</v>
      </c>
    </row>
    <row r="44" spans="1:10">
      <c r="A44" t="s">
        <v>41</v>
      </c>
      <c r="I44" t="s">
        <v>42</v>
      </c>
    </row>
    <row r="45" spans="1:10">
      <c r="A45" t="s">
        <v>4</v>
      </c>
      <c r="B45" t="s">
        <v>63</v>
      </c>
      <c r="C45">
        <v>345</v>
      </c>
      <c r="D45" t="s">
        <v>64</v>
      </c>
      <c r="F45">
        <v>1</v>
      </c>
      <c r="G45">
        <v>159</v>
      </c>
      <c r="H45">
        <f t="shared" ref="H45" si="6">F45*G45</f>
        <v>159</v>
      </c>
    </row>
    <row r="46" spans="1:10" ht="29">
      <c r="A46" s="2" t="s">
        <v>23</v>
      </c>
      <c r="B46" s="3"/>
      <c r="C46" s="3"/>
      <c r="D46" s="3"/>
      <c r="E46" s="3"/>
      <c r="F46" s="3"/>
      <c r="G46" s="3"/>
      <c r="H46" s="6">
        <f>SUM(H47:H55)</f>
        <v>1463</v>
      </c>
      <c r="I46" s="3"/>
    </row>
    <row r="47" spans="1:10">
      <c r="A47" t="s">
        <v>10</v>
      </c>
      <c r="B47" t="s">
        <v>11</v>
      </c>
      <c r="C47" t="s">
        <v>12</v>
      </c>
      <c r="F47">
        <v>1</v>
      </c>
      <c r="G47">
        <v>395</v>
      </c>
      <c r="H47">
        <f>F47*G47</f>
        <v>395</v>
      </c>
    </row>
    <row r="48" spans="1:10">
      <c r="A48" t="s">
        <v>30</v>
      </c>
      <c r="F48">
        <v>1</v>
      </c>
      <c r="H48">
        <v>450</v>
      </c>
      <c r="I48" s="1" t="s">
        <v>31</v>
      </c>
    </row>
    <row r="49" spans="1:9">
      <c r="A49" t="s">
        <v>175</v>
      </c>
      <c r="I49" s="1"/>
    </row>
    <row r="50" spans="1:9">
      <c r="A50" t="s">
        <v>176</v>
      </c>
      <c r="I50" s="1"/>
    </row>
    <row r="51" spans="1:9">
      <c r="A51" t="s">
        <v>177</v>
      </c>
      <c r="I51" s="1"/>
    </row>
    <row r="52" spans="1:9">
      <c r="A52" t="s">
        <v>179</v>
      </c>
      <c r="C52" t="s">
        <v>180</v>
      </c>
      <c r="F52">
        <v>1</v>
      </c>
      <c r="G52">
        <v>279</v>
      </c>
      <c r="H52">
        <f>F52*G52</f>
        <v>279</v>
      </c>
      <c r="I52" s="1" t="s">
        <v>181</v>
      </c>
    </row>
    <row r="53" spans="1:9">
      <c r="A53" t="s">
        <v>182</v>
      </c>
      <c r="F53">
        <v>1</v>
      </c>
      <c r="G53">
        <v>339</v>
      </c>
      <c r="H53">
        <f>F53*G53</f>
        <v>339</v>
      </c>
      <c r="I53" s="1"/>
    </row>
    <row r="54" spans="1:9">
      <c r="A54" t="s">
        <v>225</v>
      </c>
      <c r="I54" s="1"/>
    </row>
    <row r="55" spans="1:9">
      <c r="H55">
        <f t="shared" si="4"/>
        <v>0</v>
      </c>
    </row>
    <row r="56" spans="1:9" ht="29">
      <c r="A56" s="2" t="s">
        <v>25</v>
      </c>
      <c r="B56" s="3"/>
      <c r="C56" s="3"/>
      <c r="D56" s="3"/>
      <c r="E56" s="3"/>
      <c r="F56" s="3"/>
      <c r="G56" s="3"/>
      <c r="H56" s="6">
        <f>SUM(H57:H59)</f>
        <v>0</v>
      </c>
      <c r="I56" s="3"/>
    </row>
    <row r="57" spans="1:9">
      <c r="A57" t="s">
        <v>26</v>
      </c>
      <c r="C57" t="s">
        <v>27</v>
      </c>
      <c r="D57" t="s">
        <v>44</v>
      </c>
    </row>
    <row r="58" spans="1:9">
      <c r="B58" t="s">
        <v>60</v>
      </c>
    </row>
    <row r="59" spans="1:9">
      <c r="A59" t="s">
        <v>43</v>
      </c>
    </row>
    <row r="60" spans="1:9" ht="29">
      <c r="A60" s="2" t="s">
        <v>212</v>
      </c>
      <c r="B60" s="3"/>
      <c r="C60" s="3"/>
      <c r="D60" s="3"/>
      <c r="E60" s="3"/>
      <c r="F60" s="3"/>
      <c r="G60" s="3"/>
      <c r="H60" s="6">
        <f>SUM(H61:H65)</f>
        <v>391.15</v>
      </c>
      <c r="I60" s="3"/>
    </row>
    <row r="61" spans="1:9">
      <c r="A61" t="s">
        <v>217</v>
      </c>
      <c r="B61" t="s">
        <v>216</v>
      </c>
      <c r="F61">
        <v>1</v>
      </c>
      <c r="G61" s="7">
        <v>16.2</v>
      </c>
      <c r="H61">
        <f>F61*G61</f>
        <v>16.2</v>
      </c>
    </row>
    <row r="62" spans="1:9">
      <c r="A62" t="s">
        <v>219</v>
      </c>
      <c r="B62" t="s">
        <v>221</v>
      </c>
      <c r="F62">
        <v>1</v>
      </c>
      <c r="G62" s="7">
        <v>294.7</v>
      </c>
      <c r="H62">
        <f t="shared" ref="H62:H64" si="7">F62*G62</f>
        <v>294.7</v>
      </c>
    </row>
    <row r="63" spans="1:9">
      <c r="A63" t="s">
        <v>220</v>
      </c>
      <c r="B63" t="s">
        <v>216</v>
      </c>
      <c r="F63">
        <v>1</v>
      </c>
      <c r="G63" s="7">
        <v>44.1</v>
      </c>
      <c r="H63">
        <f t="shared" si="7"/>
        <v>44.1</v>
      </c>
    </row>
    <row r="64" spans="1:9">
      <c r="A64" t="s">
        <v>224</v>
      </c>
      <c r="F64">
        <v>1</v>
      </c>
      <c r="G64" s="7">
        <v>36.15</v>
      </c>
      <c r="H64">
        <f t="shared" si="7"/>
        <v>36.15</v>
      </c>
    </row>
    <row r="65" spans="1:9">
      <c r="B65" s="7" t="s">
        <v>58</v>
      </c>
    </row>
    <row r="66" spans="1:9">
      <c r="B66" t="s">
        <v>59</v>
      </c>
    </row>
    <row r="67" spans="1:9" ht="29">
      <c r="A67" s="2" t="s">
        <v>213</v>
      </c>
      <c r="B67" s="3"/>
      <c r="C67" s="3"/>
      <c r="D67" s="3"/>
      <c r="E67" s="3"/>
      <c r="F67" s="3"/>
      <c r="G67" s="3"/>
      <c r="H67" s="6">
        <f>SUM(H68:H70)</f>
        <v>1043.6400000000001</v>
      </c>
      <c r="I67" s="3"/>
    </row>
    <row r="68" spans="1:9">
      <c r="A68" t="s">
        <v>223</v>
      </c>
      <c r="B68" t="s">
        <v>218</v>
      </c>
      <c r="F68">
        <v>1</v>
      </c>
      <c r="G68" s="7">
        <v>729.7</v>
      </c>
      <c r="H68">
        <f t="shared" ref="H68:H69" si="8">F68*G68</f>
        <v>729.7</v>
      </c>
    </row>
    <row r="69" spans="1:9">
      <c r="A69" t="s">
        <v>214</v>
      </c>
      <c r="B69" t="s">
        <v>216</v>
      </c>
      <c r="F69">
        <v>1</v>
      </c>
      <c r="G69" s="7">
        <v>249</v>
      </c>
      <c r="H69">
        <f t="shared" si="8"/>
        <v>249</v>
      </c>
    </row>
    <row r="70" spans="1:9">
      <c r="A70" t="s">
        <v>215</v>
      </c>
      <c r="B70" t="s">
        <v>216</v>
      </c>
      <c r="F70">
        <v>1</v>
      </c>
      <c r="G70" s="7">
        <v>64.94</v>
      </c>
      <c r="H70">
        <f>F70*G70</f>
        <v>64.94</v>
      </c>
    </row>
    <row r="71" spans="1:9">
      <c r="A71" t="s">
        <v>222</v>
      </c>
      <c r="B71" t="s">
        <v>218</v>
      </c>
      <c r="F71">
        <v>1</v>
      </c>
      <c r="G71" s="7">
        <v>59</v>
      </c>
      <c r="H71">
        <f t="shared" ref="H71" si="9">F71*G71</f>
        <v>59</v>
      </c>
    </row>
    <row r="72" spans="1:9">
      <c r="F72">
        <v>1</v>
      </c>
      <c r="G72">
        <v>0</v>
      </c>
      <c r="H72">
        <f>F72*G72</f>
        <v>0</v>
      </c>
    </row>
    <row r="73" spans="1:9">
      <c r="F73">
        <v>1</v>
      </c>
      <c r="G73">
        <v>0</v>
      </c>
      <c r="H73">
        <f>F73*G73</f>
        <v>0</v>
      </c>
    </row>
  </sheetData>
  <phoneticPr fontId="4" type="noConversion"/>
  <hyperlinks>
    <hyperlink ref="I48" r:id="rId1" xr:uid="{C9BD59CA-0FA7-AF4E-887B-109C3195202B}"/>
    <hyperlink ref="I16" r:id="rId2" xr:uid="{7C7AF172-CEB1-1B47-9EB1-73DFDE6FEC27}"/>
    <hyperlink ref="I24" r:id="rId3" xr:uid="{36350184-3FA6-4047-B2D3-2D4CC5CCA0EA}"/>
    <hyperlink ref="I23" r:id="rId4" xr:uid="{8EBFA46D-EEE3-E84C-BDAF-11467856F064}"/>
    <hyperlink ref="I39" r:id="rId5" xr:uid="{A1B91415-6F99-3E42-B2E7-8D9C9BF603EC}"/>
    <hyperlink ref="I31" r:id="rId6" xr:uid="{A27BC14D-826D-3343-BC7A-0EC571317CAE}"/>
    <hyperlink ref="I21" r:id="rId7" xr:uid="{8753A510-BA1A-AD4A-A048-E690AB8D7642}"/>
    <hyperlink ref="I22" r:id="rId8" xr:uid="{318BA0BA-BBE9-F949-8FF6-546E94C35AF4}"/>
    <hyperlink ref="I7" r:id="rId9" xr:uid="{F0E82427-4638-FB44-8D1F-B3C8C1636471}"/>
    <hyperlink ref="I9" r:id="rId10" xr:uid="{8301E35B-C67A-DF45-B513-9E1D1FC1B51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D8B5-7854-C642-9B44-BDEE7777C2BE}">
  <dimension ref="A1:G25"/>
  <sheetViews>
    <sheetView workbookViewId="0">
      <selection activeCell="B14" sqref="B14"/>
    </sheetView>
  </sheetViews>
  <sheetFormatPr baseColWidth="10" defaultRowHeight="16"/>
  <sheetData>
    <row r="1" spans="1:7">
      <c r="A1" s="35"/>
      <c r="B1" s="35"/>
    </row>
    <row r="2" spans="1:7" ht="23">
      <c r="A2" t="s">
        <v>293</v>
      </c>
      <c r="B2">
        <f>(950*240 - 180*50/2 - 55*130 - 130*90)*220/1000/1000</f>
        <v>45.023000000000003</v>
      </c>
      <c r="C2" s="47"/>
      <c r="G2" s="48"/>
    </row>
    <row r="3" spans="1:7" ht="20">
      <c r="A3" s="47"/>
      <c r="B3" s="47"/>
      <c r="C3" s="47"/>
    </row>
    <row r="4" spans="1:7" ht="20">
      <c r="A4" s="47"/>
      <c r="B4" s="47"/>
      <c r="C4" s="47"/>
    </row>
    <row r="5" spans="1:7" ht="20">
      <c r="A5" s="47"/>
      <c r="B5" s="47"/>
      <c r="C5" s="47"/>
    </row>
    <row r="6" spans="1:7" ht="20">
      <c r="A6" s="47"/>
      <c r="B6" s="47"/>
      <c r="C6" s="47"/>
    </row>
    <row r="7" spans="1:7" ht="20">
      <c r="A7" s="47"/>
      <c r="B7" s="47"/>
      <c r="C7" s="47"/>
    </row>
    <row r="8" spans="1:7" ht="20">
      <c r="A8" s="47"/>
      <c r="B8" s="47"/>
      <c r="C8" s="47"/>
    </row>
    <row r="9" spans="1:7" ht="20">
      <c r="A9" s="47"/>
      <c r="B9" s="47"/>
      <c r="C9" s="47"/>
    </row>
    <row r="10" spans="1:7" ht="20">
      <c r="A10" s="47"/>
      <c r="B10" s="47"/>
      <c r="C10" s="47"/>
    </row>
    <row r="11" spans="1:7" ht="20">
      <c r="A11" s="47"/>
      <c r="B11" s="47"/>
      <c r="C11" s="47"/>
    </row>
    <row r="12" spans="1:7" ht="20">
      <c r="A12" s="47"/>
      <c r="B12" s="47"/>
      <c r="C12" s="47"/>
    </row>
    <row r="13" spans="1:7" ht="20">
      <c r="A13" s="47"/>
      <c r="B13" s="47"/>
      <c r="C13" s="47"/>
    </row>
    <row r="14" spans="1:7" ht="20">
      <c r="A14" s="47"/>
      <c r="B14" s="47"/>
      <c r="C14" s="47"/>
    </row>
    <row r="15" spans="1:7" ht="20">
      <c r="A15" s="47"/>
      <c r="B15" s="47"/>
      <c r="C15" s="47"/>
    </row>
    <row r="16" spans="1:7" ht="20">
      <c r="A16" s="47"/>
      <c r="B16" s="47"/>
      <c r="C16" s="47"/>
    </row>
    <row r="17" spans="1:3" ht="20">
      <c r="A17" s="47"/>
      <c r="B17" s="47"/>
      <c r="C17" s="47"/>
    </row>
    <row r="18" spans="1:3" ht="20">
      <c r="A18" s="47"/>
      <c r="B18" s="47"/>
      <c r="C18" s="47"/>
    </row>
    <row r="19" spans="1:3" ht="20">
      <c r="A19" s="47"/>
      <c r="B19" s="47"/>
      <c r="C19" s="47"/>
    </row>
    <row r="20" spans="1:3" ht="20">
      <c r="A20" s="47"/>
      <c r="B20" s="47"/>
      <c r="C20" s="47"/>
    </row>
    <row r="21" spans="1:3" ht="20">
      <c r="A21" s="47"/>
      <c r="B21" s="47"/>
      <c r="C21" s="47"/>
    </row>
    <row r="22" spans="1:3" ht="20">
      <c r="A22" s="47"/>
      <c r="B22" s="47"/>
      <c r="C22" s="47"/>
    </row>
    <row r="23" spans="1:3" ht="20">
      <c r="A23" s="47"/>
      <c r="B23" s="47"/>
      <c r="C23" s="47"/>
    </row>
    <row r="24" spans="1:3" ht="20">
      <c r="A24" s="47"/>
      <c r="B24" s="47"/>
      <c r="C24" s="47"/>
    </row>
    <row r="25" spans="1:3" ht="20">
      <c r="A25" s="47"/>
      <c r="B25" s="47"/>
      <c r="C25" s="4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80BCD-6644-FB4A-B224-B316B7ADE497}">
  <dimension ref="A1:H37"/>
  <sheetViews>
    <sheetView tabSelected="1" workbookViewId="0">
      <selection activeCell="D46" sqref="D46"/>
    </sheetView>
  </sheetViews>
  <sheetFormatPr baseColWidth="10" defaultRowHeight="16"/>
  <cols>
    <col min="1" max="1" width="16.5" customWidth="1"/>
    <col min="4" max="4" width="15.83203125" bestFit="1" customWidth="1"/>
  </cols>
  <sheetData>
    <row r="1" spans="1:4">
      <c r="A1" t="s">
        <v>310</v>
      </c>
      <c r="B1" t="s">
        <v>307</v>
      </c>
    </row>
    <row r="3" spans="1:4" ht="22" customHeight="1">
      <c r="A3" s="56" t="s">
        <v>308</v>
      </c>
      <c r="B3" s="40"/>
      <c r="C3" s="40"/>
      <c r="D3" s="40"/>
    </row>
    <row r="4" spans="1:4">
      <c r="A4" t="s">
        <v>317</v>
      </c>
      <c r="B4" t="s">
        <v>318</v>
      </c>
      <c r="C4" t="s">
        <v>319</v>
      </c>
      <c r="D4" t="s">
        <v>320</v>
      </c>
    </row>
    <row r="5" spans="1:4">
      <c r="A5" s="8">
        <v>720</v>
      </c>
      <c r="B5" s="54">
        <v>0.97</v>
      </c>
      <c r="C5" s="8">
        <f>A5/B5</f>
        <v>742.26804123711338</v>
      </c>
      <c r="D5" s="8">
        <f xml:space="preserve"> CEILING(C5-A5,1)</f>
        <v>23</v>
      </c>
    </row>
    <row r="7" spans="1:4">
      <c r="A7" t="s">
        <v>309</v>
      </c>
      <c r="B7" t="s">
        <v>311</v>
      </c>
      <c r="C7" t="s">
        <v>321</v>
      </c>
      <c r="D7" t="s">
        <v>314</v>
      </c>
    </row>
    <row r="8" spans="1:4">
      <c r="A8" s="8">
        <f>D$5</f>
        <v>23</v>
      </c>
      <c r="B8">
        <v>30</v>
      </c>
      <c r="C8" s="57">
        <f>A8/20/B8</f>
        <v>3.833333333333333E-2</v>
      </c>
      <c r="D8" s="57">
        <f>C8*2</f>
        <v>7.6666666666666661E-2</v>
      </c>
    </row>
    <row r="9" spans="1:4">
      <c r="A9" s="8">
        <f>D5</f>
        <v>23</v>
      </c>
      <c r="B9">
        <v>20</v>
      </c>
      <c r="C9" s="57">
        <f>A9/20/B9</f>
        <v>5.7499999999999996E-2</v>
      </c>
      <c r="D9" s="57">
        <f>C9*2</f>
        <v>0.11499999999999999</v>
      </c>
    </row>
    <row r="10" spans="1:4">
      <c r="A10" s="8">
        <v>23</v>
      </c>
      <c r="B10">
        <v>21</v>
      </c>
      <c r="C10" s="57">
        <f>A10/20/B10</f>
        <v>5.4761904761904755E-2</v>
      </c>
      <c r="D10" s="57">
        <f>C10*2</f>
        <v>0.10952380952380951</v>
      </c>
    </row>
    <row r="12" spans="1:4">
      <c r="A12" s="56" t="s">
        <v>315</v>
      </c>
      <c r="B12" s="40"/>
      <c r="C12" s="40"/>
      <c r="D12" s="40"/>
    </row>
    <row r="13" spans="1:4">
      <c r="A13" t="s">
        <v>317</v>
      </c>
      <c r="B13" t="s">
        <v>318</v>
      </c>
      <c r="C13" t="s">
        <v>319</v>
      </c>
      <c r="D13" t="s">
        <v>320</v>
      </c>
    </row>
    <row r="14" spans="1:4">
      <c r="A14" s="8">
        <v>2480</v>
      </c>
      <c r="B14" s="54">
        <v>0.9</v>
      </c>
      <c r="C14" s="8">
        <f>A14/B14</f>
        <v>2755.5555555555557</v>
      </c>
      <c r="D14" s="8">
        <f xml:space="preserve"> CEILING(C14-A14,1)</f>
        <v>276</v>
      </c>
    </row>
    <row r="15" spans="1:4">
      <c r="A15" s="8">
        <f>50*12.8</f>
        <v>640</v>
      </c>
      <c r="B15" s="54">
        <v>0.9</v>
      </c>
      <c r="C15" s="8">
        <f>A15/B15</f>
        <v>711.11111111111109</v>
      </c>
      <c r="D15" s="8">
        <f xml:space="preserve"> CEILING(C15-A15,1)</f>
        <v>72</v>
      </c>
    </row>
    <row r="17" spans="1:8">
      <c r="A17" t="s">
        <v>309</v>
      </c>
      <c r="B17" t="s">
        <v>311</v>
      </c>
      <c r="C17" t="s">
        <v>312</v>
      </c>
      <c r="D17" t="s">
        <v>316</v>
      </c>
      <c r="E17" t="s">
        <v>314</v>
      </c>
    </row>
    <row r="18" spans="1:8">
      <c r="A18" s="8">
        <f>D$14</f>
        <v>276</v>
      </c>
      <c r="B18">
        <v>30</v>
      </c>
      <c r="C18" s="57">
        <f>A18/20/B18</f>
        <v>0.46</v>
      </c>
      <c r="D18" s="9">
        <f>C18*1.5</f>
        <v>0.69000000000000006</v>
      </c>
      <c r="E18" s="9">
        <f>C18*2</f>
        <v>0.92</v>
      </c>
    </row>
    <row r="19" spans="1:8">
      <c r="A19" s="8">
        <f t="shared" ref="A19:A20" si="0">D$14</f>
        <v>276</v>
      </c>
      <c r="B19">
        <v>40</v>
      </c>
      <c r="C19" s="57">
        <f>A19/20/B19</f>
        <v>0.34500000000000003</v>
      </c>
      <c r="D19" s="9">
        <f>C19*1.5</f>
        <v>0.51750000000000007</v>
      </c>
      <c r="E19" s="9">
        <f>C19*2</f>
        <v>0.69000000000000006</v>
      </c>
    </row>
    <row r="20" spans="1:8">
      <c r="A20" s="8">
        <f t="shared" si="0"/>
        <v>276</v>
      </c>
      <c r="B20">
        <v>50</v>
      </c>
      <c r="C20" s="57">
        <f>A20/20/B20</f>
        <v>0.27600000000000002</v>
      </c>
      <c r="D20" s="9">
        <f>C20*1.5</f>
        <v>0.41400000000000003</v>
      </c>
      <c r="E20" s="9">
        <f>C20*2</f>
        <v>0.55200000000000005</v>
      </c>
    </row>
    <row r="22" spans="1:8">
      <c r="A22" s="56" t="s">
        <v>322</v>
      </c>
      <c r="B22" s="40"/>
      <c r="C22" s="40"/>
      <c r="D22" s="40"/>
    </row>
    <row r="23" spans="1:8">
      <c r="A23" t="s">
        <v>323</v>
      </c>
      <c r="B23">
        <f>A8*2</f>
        <v>46</v>
      </c>
    </row>
    <row r="24" spans="1:8">
      <c r="A24" t="s">
        <v>324</v>
      </c>
      <c r="B24" s="8">
        <f>D14</f>
        <v>276</v>
      </c>
    </row>
    <row r="25" spans="1:8">
      <c r="A25" t="s">
        <v>325</v>
      </c>
      <c r="B25" s="8">
        <f>D15</f>
        <v>72</v>
      </c>
    </row>
    <row r="26" spans="1:8">
      <c r="B26">
        <f>SUM(B23:B25)</f>
        <v>394</v>
      </c>
    </row>
    <row r="28" spans="1:8">
      <c r="A28" t="s">
        <v>309</v>
      </c>
      <c r="B28" t="s">
        <v>311</v>
      </c>
      <c r="C28" t="s">
        <v>312</v>
      </c>
      <c r="D28" t="s">
        <v>316</v>
      </c>
      <c r="E28" t="s">
        <v>314</v>
      </c>
      <c r="F28">
        <v>2</v>
      </c>
      <c r="G28">
        <v>3</v>
      </c>
      <c r="H28">
        <v>4</v>
      </c>
    </row>
    <row r="29" spans="1:8">
      <c r="A29" s="8">
        <f>B26</f>
        <v>394</v>
      </c>
      <c r="B29">
        <v>30</v>
      </c>
      <c r="C29" s="57">
        <f>A29/20/B29</f>
        <v>0.65666666666666662</v>
      </c>
      <c r="D29" s="9">
        <f>C29*1.5</f>
        <v>0.98499999999999988</v>
      </c>
      <c r="E29" s="9">
        <f>C29*2</f>
        <v>1.3133333333333332</v>
      </c>
      <c r="F29" s="9">
        <f>$E29/F28</f>
        <v>0.65666666666666662</v>
      </c>
      <c r="G29" s="9">
        <f t="shared" ref="G29:H29" si="1">$E29/G28</f>
        <v>0.43777777777777777</v>
      </c>
      <c r="H29" s="9">
        <f t="shared" si="1"/>
        <v>0.32833333333333331</v>
      </c>
    </row>
    <row r="32" spans="1:8">
      <c r="B32" t="s">
        <v>327</v>
      </c>
      <c r="C32" t="s">
        <v>313</v>
      </c>
      <c r="D32" t="s">
        <v>2</v>
      </c>
      <c r="E32" t="s">
        <v>334</v>
      </c>
      <c r="F32" t="s">
        <v>329</v>
      </c>
      <c r="G32" t="s">
        <v>313</v>
      </c>
      <c r="H32" t="s">
        <v>2</v>
      </c>
    </row>
    <row r="33" spans="1:8">
      <c r="A33" t="s">
        <v>326</v>
      </c>
      <c r="B33" t="s">
        <v>328</v>
      </c>
      <c r="C33">
        <v>0.81</v>
      </c>
      <c r="D33">
        <v>35.5</v>
      </c>
      <c r="E33">
        <v>54</v>
      </c>
      <c r="F33">
        <v>2</v>
      </c>
      <c r="G33">
        <f>C33*F33</f>
        <v>1.62</v>
      </c>
      <c r="H33">
        <f>D33*F33</f>
        <v>71</v>
      </c>
    </row>
    <row r="34" spans="1:8">
      <c r="A34" t="s">
        <v>330</v>
      </c>
      <c r="B34" t="s">
        <v>328</v>
      </c>
      <c r="C34">
        <v>0.9</v>
      </c>
      <c r="D34">
        <v>39.799999999999997</v>
      </c>
      <c r="E34">
        <v>64</v>
      </c>
      <c r="F34">
        <v>2</v>
      </c>
      <c r="G34">
        <f>C34*F34</f>
        <v>1.8</v>
      </c>
      <c r="H34">
        <f>D34*F34</f>
        <v>79.599999999999994</v>
      </c>
    </row>
    <row r="35" spans="1:8">
      <c r="A35" t="s">
        <v>331</v>
      </c>
      <c r="B35" t="s">
        <v>333</v>
      </c>
      <c r="C35">
        <v>0.7</v>
      </c>
      <c r="D35">
        <v>26.9</v>
      </c>
      <c r="E35">
        <v>31</v>
      </c>
      <c r="F35">
        <v>2</v>
      </c>
      <c r="G35">
        <f>C35*F35</f>
        <v>1.4</v>
      </c>
      <c r="H35">
        <f>D35*F35</f>
        <v>53.8</v>
      </c>
    </row>
    <row r="36" spans="1:8">
      <c r="A36" t="s">
        <v>332</v>
      </c>
      <c r="B36" t="s">
        <v>333</v>
      </c>
      <c r="C36">
        <v>0.74</v>
      </c>
      <c r="D36">
        <v>30.9</v>
      </c>
      <c r="E36">
        <v>31</v>
      </c>
      <c r="F36">
        <v>2</v>
      </c>
      <c r="G36">
        <f>C36*F36</f>
        <v>1.48</v>
      </c>
      <c r="H36">
        <f>D36*F36</f>
        <v>61.8</v>
      </c>
    </row>
    <row r="37" spans="1:8">
      <c r="A37" t="s">
        <v>335</v>
      </c>
      <c r="B37" t="s">
        <v>333</v>
      </c>
      <c r="C37">
        <v>0.68</v>
      </c>
      <c r="D37">
        <v>31.55</v>
      </c>
      <c r="E37">
        <v>38</v>
      </c>
      <c r="F37">
        <v>2</v>
      </c>
      <c r="G37">
        <f>C37*F37</f>
        <v>1.36</v>
      </c>
      <c r="H37">
        <f>D37*F37</f>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0D95-D95B-A341-A18C-0ED78105334C}">
  <dimension ref="A1:G8"/>
  <sheetViews>
    <sheetView workbookViewId="0">
      <selection activeCell="G15" sqref="G15"/>
    </sheetView>
  </sheetViews>
  <sheetFormatPr baseColWidth="10" defaultRowHeight="16"/>
  <cols>
    <col min="1" max="1" width="18.83203125" bestFit="1" customWidth="1"/>
    <col min="2" max="2" width="14.5" customWidth="1"/>
  </cols>
  <sheetData>
    <row r="1" spans="1:7">
      <c r="A1" t="s">
        <v>0</v>
      </c>
      <c r="B1" t="s">
        <v>235</v>
      </c>
      <c r="C1" t="s">
        <v>1</v>
      </c>
      <c r="D1" t="s">
        <v>2</v>
      </c>
      <c r="E1" t="s">
        <v>6</v>
      </c>
      <c r="F1" t="s">
        <v>240</v>
      </c>
    </row>
    <row r="2" spans="1:7">
      <c r="A2" t="s">
        <v>234</v>
      </c>
      <c r="B2">
        <v>1.8</v>
      </c>
      <c r="C2">
        <v>4</v>
      </c>
      <c r="D2">
        <v>104.99</v>
      </c>
      <c r="E2">
        <v>379.99</v>
      </c>
    </row>
    <row r="3" spans="1:7">
      <c r="A3" t="s">
        <v>236</v>
      </c>
      <c r="B3">
        <v>5</v>
      </c>
      <c r="C3">
        <v>2</v>
      </c>
      <c r="D3">
        <v>159.99</v>
      </c>
      <c r="E3">
        <v>304.99</v>
      </c>
    </row>
    <row r="4" spans="1:7">
      <c r="A4" t="s">
        <v>237</v>
      </c>
      <c r="C4">
        <v>2</v>
      </c>
      <c r="D4">
        <v>9.99</v>
      </c>
      <c r="E4">
        <f>C4*D4</f>
        <v>19.98</v>
      </c>
    </row>
    <row r="5" spans="1:7">
      <c r="A5" t="s">
        <v>239</v>
      </c>
      <c r="C5">
        <v>2</v>
      </c>
      <c r="D5">
        <v>9.99</v>
      </c>
      <c r="E5">
        <f t="shared" ref="E5:E6" si="0">C5*D5</f>
        <v>19.98</v>
      </c>
    </row>
    <row r="6" spans="1:7">
      <c r="A6" t="s">
        <v>238</v>
      </c>
      <c r="C6">
        <v>1</v>
      </c>
      <c r="D6">
        <v>39.99</v>
      </c>
      <c r="E6">
        <f t="shared" si="0"/>
        <v>39.99</v>
      </c>
    </row>
    <row r="7" spans="1:7">
      <c r="E7" s="35">
        <f>SUM(E2:E6)</f>
        <v>764.93000000000006</v>
      </c>
      <c r="F7">
        <v>776</v>
      </c>
    </row>
    <row r="8" spans="1:7">
      <c r="A8" t="s">
        <v>241</v>
      </c>
      <c r="C8">
        <v>2</v>
      </c>
      <c r="D8">
        <v>119.99</v>
      </c>
      <c r="E8">
        <v>199.99</v>
      </c>
      <c r="F8">
        <v>998</v>
      </c>
      <c r="G8" t="s">
        <v>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60678-F9C4-BD46-8BEC-9D1E6786F941}">
  <dimension ref="A1:E10"/>
  <sheetViews>
    <sheetView workbookViewId="0">
      <selection activeCell="E7" sqref="E7"/>
    </sheetView>
  </sheetViews>
  <sheetFormatPr baseColWidth="10" defaultRowHeight="16"/>
  <cols>
    <col min="1" max="1" width="23" bestFit="1" customWidth="1"/>
  </cols>
  <sheetData>
    <row r="1" spans="1:5">
      <c r="A1" t="s">
        <v>45</v>
      </c>
      <c r="B1">
        <v>2700</v>
      </c>
      <c r="C1">
        <v>1740</v>
      </c>
    </row>
    <row r="2" spans="1:5">
      <c r="A2" t="s">
        <v>46</v>
      </c>
      <c r="B2">
        <v>1880</v>
      </c>
      <c r="C2">
        <v>1350</v>
      </c>
    </row>
    <row r="3" spans="1:5">
      <c r="A3" t="s">
        <v>47</v>
      </c>
      <c r="B3">
        <f>B1-B2</f>
        <v>820</v>
      </c>
      <c r="C3">
        <f>C1-C2</f>
        <v>390</v>
      </c>
    </row>
    <row r="4" spans="1:5">
      <c r="A4" t="s">
        <v>57</v>
      </c>
      <c r="B4">
        <v>1830</v>
      </c>
      <c r="C4">
        <v>1040</v>
      </c>
    </row>
    <row r="6" spans="1:5">
      <c r="B6" t="s">
        <v>49</v>
      </c>
      <c r="C6" t="s">
        <v>50</v>
      </c>
      <c r="D6" t="s">
        <v>6</v>
      </c>
      <c r="E6" t="s">
        <v>51</v>
      </c>
    </row>
    <row r="7" spans="1:5">
      <c r="A7" t="s">
        <v>48</v>
      </c>
      <c r="B7">
        <v>800</v>
      </c>
      <c r="C7">
        <v>540</v>
      </c>
      <c r="D7">
        <f>B7+C7</f>
        <v>1340</v>
      </c>
      <c r="E7">
        <f>B2-D7</f>
        <v>540</v>
      </c>
    </row>
    <row r="8" spans="1:5">
      <c r="A8" t="s">
        <v>53</v>
      </c>
      <c r="B8">
        <v>800</v>
      </c>
      <c r="C8">
        <v>420</v>
      </c>
    </row>
    <row r="9" spans="1:5">
      <c r="A9" t="s">
        <v>52</v>
      </c>
      <c r="C9">
        <v>470</v>
      </c>
    </row>
    <row r="10" spans="1:5">
      <c r="A10" t="s">
        <v>54</v>
      </c>
      <c r="B10">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AA1E-D28C-794B-B941-CF0F5A839224}">
  <dimension ref="A1:M47"/>
  <sheetViews>
    <sheetView workbookViewId="0">
      <selection activeCell="H38" sqref="H38"/>
    </sheetView>
  </sheetViews>
  <sheetFormatPr baseColWidth="10" defaultRowHeight="16"/>
  <cols>
    <col min="1" max="1" width="13.6640625" bestFit="1" customWidth="1"/>
    <col min="2" max="2" width="13.6640625" customWidth="1"/>
    <col min="5" max="5" width="10.1640625" customWidth="1"/>
  </cols>
  <sheetData>
    <row r="1" spans="1:13">
      <c r="A1" t="s">
        <v>78</v>
      </c>
      <c r="C1">
        <v>1840</v>
      </c>
      <c r="G1" t="s">
        <v>85</v>
      </c>
      <c r="I1">
        <v>1240</v>
      </c>
      <c r="J1">
        <v>1860</v>
      </c>
      <c r="L1">
        <v>553.5</v>
      </c>
    </row>
    <row r="2" spans="1:13">
      <c r="A2" t="s">
        <v>79</v>
      </c>
      <c r="C2">
        <v>100</v>
      </c>
      <c r="G2" t="s">
        <v>104</v>
      </c>
      <c r="I2">
        <v>15</v>
      </c>
      <c r="J2">
        <v>10</v>
      </c>
      <c r="L2">
        <v>15</v>
      </c>
    </row>
    <row r="3" spans="1:13">
      <c r="G3" t="s">
        <v>105</v>
      </c>
      <c r="I3">
        <v>38</v>
      </c>
      <c r="J3">
        <v>33</v>
      </c>
      <c r="L3">
        <v>38</v>
      </c>
    </row>
    <row r="4" spans="1:13">
      <c r="G4" t="s">
        <v>109</v>
      </c>
      <c r="I4">
        <v>127.99999999999997</v>
      </c>
      <c r="J4">
        <v>21</v>
      </c>
      <c r="L4">
        <v>28.485999999999947</v>
      </c>
    </row>
    <row r="5" spans="1:13">
      <c r="B5" t="s">
        <v>89</v>
      </c>
      <c r="C5">
        <v>14</v>
      </c>
      <c r="K5" t="s">
        <v>110</v>
      </c>
      <c r="L5">
        <f>3.464*L3</f>
        <v>131.63200000000001</v>
      </c>
    </row>
    <row r="6" spans="1:13">
      <c r="B6" t="s">
        <v>97</v>
      </c>
      <c r="C6">
        <f>C5/360*2*PI()</f>
        <v>0.24434609527920614</v>
      </c>
      <c r="G6" t="s">
        <v>106</v>
      </c>
      <c r="H6">
        <v>10</v>
      </c>
      <c r="I6">
        <f>(I1-2*(I4-I2))/2/(I3+I2)</f>
        <v>9.566037735849056</v>
      </c>
      <c r="J6">
        <f>(J1-2*J3)/(J3+J2)-2</f>
        <v>39.720930232558139</v>
      </c>
      <c r="L6">
        <f>(L1-2*(L4-L2))/2/L5</f>
        <v>2.0000000000000004</v>
      </c>
      <c r="M6">
        <v>2</v>
      </c>
    </row>
    <row r="7" spans="1:13">
      <c r="B7" t="s">
        <v>90</v>
      </c>
      <c r="C7">
        <f>SIN(C6)</f>
        <v>0.24192189559966773</v>
      </c>
    </row>
    <row r="8" spans="1:13">
      <c r="B8" t="s">
        <v>91</v>
      </c>
      <c r="C8">
        <f>COS(C6)</f>
        <v>0.97029572627599647</v>
      </c>
      <c r="G8" t="s">
        <v>108</v>
      </c>
      <c r="I8">
        <f>2*FLOOR(H6,1)*(I3+I2)+2*(I4-I3)</f>
        <v>1240</v>
      </c>
      <c r="L8">
        <f>2*(L4-L2)+2*M6*L5</f>
        <v>553.49999999999989</v>
      </c>
    </row>
    <row r="9" spans="1:13">
      <c r="G9" t="s">
        <v>107</v>
      </c>
      <c r="I9">
        <f>2*I3+I2</f>
        <v>91</v>
      </c>
    </row>
    <row r="10" spans="1:13">
      <c r="A10" s="7" t="s">
        <v>99</v>
      </c>
      <c r="B10" s="7"/>
      <c r="C10" s="7"/>
    </row>
    <row r="11" spans="1:13">
      <c r="A11" t="s">
        <v>80</v>
      </c>
      <c r="B11" t="s">
        <v>84</v>
      </c>
      <c r="C11" s="33">
        <v>513.57118938116514</v>
      </c>
    </row>
    <row r="12" spans="1:13">
      <c r="B12" t="s">
        <v>82</v>
      </c>
      <c r="C12">
        <v>100</v>
      </c>
    </row>
    <row r="13" spans="1:13">
      <c r="B13" t="s">
        <v>85</v>
      </c>
      <c r="C13">
        <v>800</v>
      </c>
    </row>
    <row r="14" spans="1:13">
      <c r="B14" t="s">
        <v>86</v>
      </c>
      <c r="C14">
        <v>3</v>
      </c>
      <c r="G14" t="s">
        <v>85</v>
      </c>
      <c r="H14">
        <v>1240</v>
      </c>
      <c r="K14" t="s">
        <v>82</v>
      </c>
      <c r="L14">
        <v>553.5</v>
      </c>
    </row>
    <row r="15" spans="1:13">
      <c r="B15" t="s">
        <v>88</v>
      </c>
      <c r="C15">
        <v>14</v>
      </c>
      <c r="G15" t="s">
        <v>111</v>
      </c>
      <c r="H15">
        <f>38+15</f>
        <v>53</v>
      </c>
      <c r="I15" t="s">
        <v>112</v>
      </c>
      <c r="K15" t="s">
        <v>111</v>
      </c>
      <c r="L15">
        <v>53</v>
      </c>
    </row>
    <row r="16" spans="1:13">
      <c r="B16" t="s">
        <v>98</v>
      </c>
      <c r="C16">
        <f>C13-(C11+C12+2*C14)</f>
        <v>180.42881061883486</v>
      </c>
      <c r="G16" t="s">
        <v>98</v>
      </c>
      <c r="H16">
        <v>53</v>
      </c>
      <c r="K16" t="s">
        <v>110</v>
      </c>
      <c r="L16">
        <v>53</v>
      </c>
    </row>
    <row r="17" spans="2:13">
      <c r="B17" t="s">
        <v>85</v>
      </c>
      <c r="C17">
        <f>C13-C11-C12</f>
        <v>186.42881061883486</v>
      </c>
    </row>
    <row r="18" spans="2:13">
      <c r="G18" t="s">
        <v>106</v>
      </c>
      <c r="H18">
        <f>(H14-2*H15)/2/H15</f>
        <v>10.69811320754717</v>
      </c>
      <c r="I18">
        <v>10</v>
      </c>
      <c r="K18" t="s">
        <v>113</v>
      </c>
      <c r="L18">
        <f>(L14-2*L16-2*L15)/3.464/L15</f>
        <v>1.8601028367249119</v>
      </c>
      <c r="M18">
        <v>2</v>
      </c>
    </row>
    <row r="19" spans="2:13">
      <c r="B19" t="s">
        <v>95</v>
      </c>
      <c r="C19" s="9">
        <f>C15*C8</f>
        <v>13.58414016786395</v>
      </c>
      <c r="G19" t="s">
        <v>98</v>
      </c>
      <c r="H19">
        <f>(H14-2*FLOOR(H18,1)*H15)/2</f>
        <v>90</v>
      </c>
      <c r="K19" t="s">
        <v>110</v>
      </c>
      <c r="L19">
        <f>(L14-2*(ROUND(L18,0)*1.732+1)*L15)/2</f>
        <v>40.157999999999987</v>
      </c>
    </row>
    <row r="20" spans="2:13">
      <c r="B20" t="s">
        <v>96</v>
      </c>
      <c r="C20" s="9">
        <f>C17-C19-C15-3*C14</f>
        <v>149.84467045097091</v>
      </c>
      <c r="D20" s="8">
        <f>C16-C15-C14-C19</f>
        <v>149.84467045097091</v>
      </c>
    </row>
    <row r="21" spans="2:13">
      <c r="B21" t="s">
        <v>100</v>
      </c>
      <c r="C21" s="9">
        <f>C15*C7</f>
        <v>3.3869065383953481</v>
      </c>
      <c r="D21" s="8"/>
      <c r="G21" t="s">
        <v>85</v>
      </c>
      <c r="H21">
        <f>2*I18*H15+2*H16</f>
        <v>1166</v>
      </c>
      <c r="K21" t="s">
        <v>82</v>
      </c>
      <c r="L21">
        <f>2*L19+2*ROUND(L18,0)*L15*1.732+2*L15</f>
        <v>553.5</v>
      </c>
      <c r="M21">
        <f>ROUND(L18,0)</f>
        <v>2</v>
      </c>
    </row>
    <row r="23" spans="2:13">
      <c r="B23" t="s">
        <v>83</v>
      </c>
      <c r="C23" s="8">
        <f>C11+C12+3*C14</f>
        <v>622.57118938116514</v>
      </c>
    </row>
    <row r="24" spans="2:13">
      <c r="B24" t="s">
        <v>92</v>
      </c>
      <c r="C24" s="8">
        <f>C13-C23-C15*(1+C8)</f>
        <v>149.84467045097091</v>
      </c>
    </row>
    <row r="25" spans="2:13">
      <c r="B25" t="s">
        <v>87</v>
      </c>
      <c r="C25" s="8">
        <f>C24/C7</f>
        <v>619.39275930167901</v>
      </c>
      <c r="D25" s="8">
        <f>D20/C7</f>
        <v>619.39275930167901</v>
      </c>
    </row>
    <row r="26" spans="2:13">
      <c r="B26" t="s">
        <v>93</v>
      </c>
      <c r="C26" s="8">
        <f>C1-C23-C25</f>
        <v>598.03605131715585</v>
      </c>
      <c r="D26" s="8">
        <f>C1-C11-C12-3*C14-C20/C7</f>
        <v>598.03605131715585</v>
      </c>
      <c r="E26" s="9">
        <f>SQRT(D25*D25-D20*D20)-C21</f>
        <v>597.60724069832077</v>
      </c>
    </row>
    <row r="28" spans="2:13">
      <c r="B28" t="s">
        <v>94</v>
      </c>
      <c r="C28" s="10">
        <f>C1-C11-C12-3*C14</f>
        <v>1217.4288106188349</v>
      </c>
      <c r="D28" s="8">
        <f>D25+D26</f>
        <v>1217.4288106188349</v>
      </c>
      <c r="E28" s="34">
        <f>D25+E26</f>
        <v>1216.9999999999998</v>
      </c>
    </row>
    <row r="29" spans="2:13">
      <c r="B29" t="s">
        <v>94</v>
      </c>
      <c r="C29" s="8">
        <f>C1-C23</f>
        <v>1217.4288106188349</v>
      </c>
    </row>
    <row r="30" spans="2:13">
      <c r="B30" t="s">
        <v>26</v>
      </c>
      <c r="C30">
        <f>C11+C25+C26+C12+3*C14</f>
        <v>1840</v>
      </c>
    </row>
    <row r="34" spans="2:8">
      <c r="B34" t="s">
        <v>78</v>
      </c>
      <c r="C34">
        <v>1880</v>
      </c>
      <c r="D34">
        <v>1880</v>
      </c>
      <c r="E34">
        <v>1860</v>
      </c>
      <c r="F34">
        <v>1860</v>
      </c>
      <c r="G34">
        <v>1840</v>
      </c>
      <c r="H34">
        <v>1840</v>
      </c>
    </row>
    <row r="35" spans="2:8">
      <c r="B35" t="s">
        <v>89</v>
      </c>
      <c r="C35">
        <v>15</v>
      </c>
      <c r="D35">
        <v>14</v>
      </c>
      <c r="E35">
        <v>14</v>
      </c>
      <c r="F35">
        <v>15</v>
      </c>
      <c r="G35">
        <v>15</v>
      </c>
      <c r="H35">
        <v>14</v>
      </c>
    </row>
    <row r="36" spans="2:8">
      <c r="B36" t="s">
        <v>101</v>
      </c>
      <c r="C36">
        <v>541</v>
      </c>
      <c r="D36">
        <v>553.5</v>
      </c>
      <c r="E36">
        <v>565.5</v>
      </c>
      <c r="F36">
        <v>553.5</v>
      </c>
      <c r="G36">
        <v>556.5</v>
      </c>
      <c r="H36">
        <v>513.5</v>
      </c>
    </row>
    <row r="37" spans="2:8">
      <c r="B37" t="s">
        <v>85</v>
      </c>
      <c r="C37">
        <v>850</v>
      </c>
      <c r="D37">
        <v>850</v>
      </c>
      <c r="E37">
        <v>850</v>
      </c>
      <c r="F37">
        <v>850</v>
      </c>
      <c r="G37">
        <v>850</v>
      </c>
      <c r="H37">
        <v>800</v>
      </c>
    </row>
    <row r="47" spans="2:8">
      <c r="E47" t="s">
        <v>186</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8F671-4B8F-8E42-AD55-8286FE3612F4}">
  <dimension ref="A1:C10"/>
  <sheetViews>
    <sheetView workbookViewId="0">
      <selection activeCell="A3" sqref="A3"/>
    </sheetView>
  </sheetViews>
  <sheetFormatPr baseColWidth="10" defaultRowHeight="16"/>
  <cols>
    <col min="1" max="1" width="15.33203125" bestFit="1" customWidth="1"/>
  </cols>
  <sheetData>
    <row r="1" spans="1:3">
      <c r="A1" t="s">
        <v>114</v>
      </c>
    </row>
    <row r="5" spans="1:3">
      <c r="C5" t="s">
        <v>116</v>
      </c>
    </row>
    <row r="6" spans="1:3">
      <c r="A6" t="s">
        <v>115</v>
      </c>
      <c r="C6">
        <v>17</v>
      </c>
    </row>
    <row r="8" spans="1:3">
      <c r="A8" t="s">
        <v>117</v>
      </c>
      <c r="B8" t="s">
        <v>120</v>
      </c>
      <c r="C8" t="s">
        <v>118</v>
      </c>
    </row>
    <row r="9" spans="1:3">
      <c r="A9" t="s">
        <v>119</v>
      </c>
      <c r="B9">
        <v>16</v>
      </c>
      <c r="C9">
        <v>38</v>
      </c>
    </row>
    <row r="10" spans="1:3">
      <c r="A10" t="s">
        <v>121</v>
      </c>
      <c r="B10">
        <v>16</v>
      </c>
      <c r="C10">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BE156-1049-9F4E-8884-932E892468D1}">
  <dimension ref="A1:N53"/>
  <sheetViews>
    <sheetView workbookViewId="0">
      <selection activeCell="G53" sqref="G53"/>
    </sheetView>
  </sheetViews>
  <sheetFormatPr baseColWidth="10" defaultColWidth="8.83203125" defaultRowHeight="15"/>
  <cols>
    <col min="1" max="1" width="19.1640625" style="11" bestFit="1" customWidth="1"/>
    <col min="2" max="2" width="11.6640625" style="11" bestFit="1" customWidth="1"/>
    <col min="3" max="3" width="7.5" style="11" bestFit="1" customWidth="1"/>
    <col min="4" max="4" width="6.83203125" style="11" bestFit="1" customWidth="1"/>
    <col min="5" max="5" width="18" style="11" bestFit="1" customWidth="1"/>
    <col min="6" max="6" width="14.6640625" style="11" bestFit="1" customWidth="1"/>
    <col min="7" max="7" width="14.5" style="11" bestFit="1" customWidth="1"/>
    <col min="8" max="16384" width="8.83203125" style="11"/>
  </cols>
  <sheetData>
    <row r="1" spans="1:14">
      <c r="A1" s="32" t="s">
        <v>227</v>
      </c>
      <c r="B1" s="32" t="s">
        <v>226</v>
      </c>
      <c r="C1" s="32" t="s">
        <v>164</v>
      </c>
      <c r="D1" s="32" t="s">
        <v>157</v>
      </c>
      <c r="E1" s="32" t="s">
        <v>163</v>
      </c>
      <c r="F1" s="32" t="s">
        <v>162</v>
      </c>
      <c r="G1" s="32" t="s">
        <v>161</v>
      </c>
      <c r="L1" s="11" t="s">
        <v>160</v>
      </c>
    </row>
    <row r="2" spans="1:14">
      <c r="A2" s="28" t="s">
        <v>159</v>
      </c>
      <c r="B2" s="28">
        <v>12</v>
      </c>
      <c r="C2" s="30">
        <v>45</v>
      </c>
      <c r="D2" s="29">
        <f>C2/12</f>
        <v>3.75</v>
      </c>
      <c r="E2" s="29">
        <f>SUM(24*0.25)</f>
        <v>6</v>
      </c>
      <c r="F2" s="30">
        <f t="shared" ref="F2:F11" si="0">C2*E2</f>
        <v>270</v>
      </c>
      <c r="G2" s="29">
        <f t="shared" ref="G2:G11" si="1">D2*E2</f>
        <v>22.5</v>
      </c>
      <c r="H2" s="11" t="s">
        <v>158</v>
      </c>
      <c r="L2" s="31">
        <f>SUM(D2:D12)</f>
        <v>363.78333333333336</v>
      </c>
      <c r="M2" s="11" t="s">
        <v>157</v>
      </c>
    </row>
    <row r="3" spans="1:14">
      <c r="A3" s="28" t="s">
        <v>228</v>
      </c>
      <c r="B3" s="28">
        <v>12</v>
      </c>
      <c r="C3" s="30"/>
      <c r="D3" s="29"/>
      <c r="E3" s="29"/>
      <c r="F3" s="30"/>
      <c r="G3" s="29"/>
      <c r="L3" s="31"/>
    </row>
    <row r="4" spans="1:14">
      <c r="A4" s="28" t="s">
        <v>229</v>
      </c>
      <c r="B4" s="28">
        <v>12</v>
      </c>
      <c r="C4" s="30"/>
      <c r="D4" s="29"/>
      <c r="E4" s="29"/>
      <c r="F4" s="30"/>
      <c r="G4" s="29"/>
      <c r="L4" s="31"/>
    </row>
    <row r="5" spans="1:14">
      <c r="A5" s="28" t="s">
        <v>230</v>
      </c>
      <c r="B5" s="28">
        <v>12</v>
      </c>
      <c r="C5" s="30">
        <v>12</v>
      </c>
      <c r="D5" s="29">
        <v>0.6</v>
      </c>
      <c r="E5" s="29">
        <v>8</v>
      </c>
      <c r="F5" s="30">
        <f t="shared" si="0"/>
        <v>96</v>
      </c>
      <c r="G5" s="29">
        <f t="shared" si="1"/>
        <v>4.8</v>
      </c>
      <c r="H5" s="11" t="s">
        <v>156</v>
      </c>
    </row>
    <row r="6" spans="1:14">
      <c r="A6" s="28" t="s">
        <v>155</v>
      </c>
      <c r="B6" s="28">
        <v>240</v>
      </c>
      <c r="C6" s="30">
        <v>1700</v>
      </c>
      <c r="D6" s="29">
        <f>C6/12</f>
        <v>141.66666666666666</v>
      </c>
      <c r="E6" s="29">
        <v>0.33</v>
      </c>
      <c r="F6" s="30">
        <f t="shared" si="0"/>
        <v>561</v>
      </c>
      <c r="G6" s="29">
        <f t="shared" si="1"/>
        <v>46.75</v>
      </c>
      <c r="H6" s="11" t="s">
        <v>154</v>
      </c>
    </row>
    <row r="7" spans="1:14">
      <c r="A7" s="28" t="s">
        <v>153</v>
      </c>
      <c r="B7" s="28">
        <v>240</v>
      </c>
      <c r="C7" s="30">
        <v>1800</v>
      </c>
      <c r="D7" s="29">
        <f>C7/12</f>
        <v>150</v>
      </c>
      <c r="E7" s="29">
        <v>0.25</v>
      </c>
      <c r="F7" s="30">
        <f t="shared" si="0"/>
        <v>450</v>
      </c>
      <c r="G7" s="29">
        <f t="shared" si="1"/>
        <v>37.5</v>
      </c>
      <c r="H7" s="11" t="s">
        <v>152</v>
      </c>
    </row>
    <row r="8" spans="1:14">
      <c r="A8" s="28" t="s">
        <v>151</v>
      </c>
      <c r="B8" s="28">
        <v>240</v>
      </c>
      <c r="C8" s="30">
        <v>800</v>
      </c>
      <c r="D8" s="29">
        <f>C8/12</f>
        <v>66.666666666666671</v>
      </c>
      <c r="E8" s="29">
        <v>0.17</v>
      </c>
      <c r="F8" s="30">
        <f t="shared" si="0"/>
        <v>136</v>
      </c>
      <c r="G8" s="29">
        <f t="shared" si="1"/>
        <v>11.333333333333336</v>
      </c>
      <c r="H8" s="11" t="s">
        <v>150</v>
      </c>
    </row>
    <row r="9" spans="1:14">
      <c r="A9" s="28" t="s">
        <v>149</v>
      </c>
      <c r="B9" s="28">
        <v>12</v>
      </c>
      <c r="C9" s="28">
        <v>6</v>
      </c>
      <c r="D9" s="28">
        <v>0.5</v>
      </c>
      <c r="E9" s="29">
        <v>6</v>
      </c>
      <c r="F9" s="30">
        <f t="shared" si="0"/>
        <v>36</v>
      </c>
      <c r="G9" s="29">
        <f t="shared" si="1"/>
        <v>3</v>
      </c>
    </row>
    <row r="10" spans="1:14">
      <c r="A10" s="28" t="s">
        <v>148</v>
      </c>
      <c r="B10" s="28">
        <v>12</v>
      </c>
      <c r="C10" s="28">
        <v>7.5</v>
      </c>
      <c r="D10" s="28">
        <v>0.6</v>
      </c>
      <c r="E10" s="29">
        <v>10</v>
      </c>
      <c r="F10" s="28">
        <f t="shared" si="0"/>
        <v>75</v>
      </c>
      <c r="G10" s="28">
        <f t="shared" si="1"/>
        <v>6</v>
      </c>
      <c r="H10" s="11" t="s">
        <v>147</v>
      </c>
    </row>
    <row r="11" spans="1:14">
      <c r="A11" s="28"/>
      <c r="B11" s="28"/>
      <c r="C11" s="30"/>
      <c r="D11" s="29">
        <f>C11/12</f>
        <v>0</v>
      </c>
      <c r="E11" s="29"/>
      <c r="F11" s="28">
        <f t="shared" si="0"/>
        <v>0</v>
      </c>
      <c r="G11" s="29">
        <f t="shared" si="1"/>
        <v>0</v>
      </c>
    </row>
    <row r="12" spans="1:14">
      <c r="A12" s="28"/>
      <c r="B12" s="28"/>
      <c r="C12" s="28"/>
      <c r="D12" s="28"/>
      <c r="E12" s="28"/>
      <c r="F12" s="28"/>
      <c r="G12" s="28"/>
    </row>
    <row r="13" spans="1:14">
      <c r="E13" s="23" t="s">
        <v>6</v>
      </c>
      <c r="F13" s="27">
        <f>SUM(F2:F12)</f>
        <v>1624</v>
      </c>
      <c r="G13" s="26">
        <f>SUM(G2:G12)</f>
        <v>131.88333333333333</v>
      </c>
    </row>
    <row r="14" spans="1:14">
      <c r="M14" s="11" t="s">
        <v>146</v>
      </c>
      <c r="N14" s="25" t="s">
        <v>145</v>
      </c>
    </row>
    <row r="15" spans="1:14">
      <c r="A15" s="11" t="s">
        <v>144</v>
      </c>
      <c r="D15" s="24">
        <v>3</v>
      </c>
      <c r="F15" s="23" t="s">
        <v>143</v>
      </c>
      <c r="G15" s="22">
        <f>G13*D15</f>
        <v>395.65</v>
      </c>
      <c r="K15" s="21" t="s">
        <v>142</v>
      </c>
      <c r="L15" s="11" t="s">
        <v>140</v>
      </c>
      <c r="M15" s="20">
        <v>140</v>
      </c>
      <c r="N15" s="18">
        <f>M15*0.5/G13</f>
        <v>0.53077214709970932</v>
      </c>
    </row>
    <row r="16" spans="1:14">
      <c r="L16" s="11" t="s">
        <v>139</v>
      </c>
      <c r="M16" s="19">
        <v>400</v>
      </c>
      <c r="N16" s="18">
        <f>M16*0.8/G13</f>
        <v>2.4263869581701001</v>
      </c>
    </row>
    <row r="17" spans="1:7">
      <c r="A17" s="11" t="s">
        <v>141</v>
      </c>
      <c r="C17" s="11" t="s">
        <v>140</v>
      </c>
      <c r="D17" s="17">
        <f>G15*2</f>
        <v>791.3</v>
      </c>
      <c r="E17" s="11" t="s">
        <v>138</v>
      </c>
    </row>
    <row r="18" spans="1:7">
      <c r="C18" s="11" t="s">
        <v>139</v>
      </c>
      <c r="D18" s="16">
        <f>G15*10/8</f>
        <v>494.5625</v>
      </c>
      <c r="E18" s="11" t="s">
        <v>138</v>
      </c>
      <c r="F18" s="15" t="s">
        <v>137</v>
      </c>
      <c r="G18" s="14">
        <f>L2/D18</f>
        <v>0.73556594633303851</v>
      </c>
    </row>
    <row r="19" spans="1:7">
      <c r="F19" s="11" t="s">
        <v>136</v>
      </c>
    </row>
    <row r="22" spans="1:7">
      <c r="A22" s="11" t="s">
        <v>135</v>
      </c>
    </row>
    <row r="23" spans="1:7">
      <c r="A23" s="11" t="s">
        <v>134</v>
      </c>
    </row>
    <row r="24" spans="1:7">
      <c r="A24" s="11" t="s">
        <v>133</v>
      </c>
    </row>
    <row r="25" spans="1:7">
      <c r="A25" s="11" t="s">
        <v>132</v>
      </c>
    </row>
    <row r="26" spans="1:7">
      <c r="A26" s="11" t="s">
        <v>131</v>
      </c>
    </row>
    <row r="27" spans="1:7">
      <c r="C27" s="13" t="s">
        <v>130</v>
      </c>
    </row>
    <row r="28" spans="1:7">
      <c r="A28" s="12" t="s">
        <v>129</v>
      </c>
      <c r="B28" s="12"/>
    </row>
    <row r="29" spans="1:7">
      <c r="C29" s="11" t="s">
        <v>128</v>
      </c>
    </row>
    <row r="30" spans="1:7">
      <c r="D30" s="11" t="s">
        <v>127</v>
      </c>
    </row>
    <row r="31" spans="1:7">
      <c r="D31" s="11" t="s">
        <v>126</v>
      </c>
    </row>
    <row r="33" spans="1:4" ht="16">
      <c r="A33" s="12" t="s">
        <v>125</v>
      </c>
      <c r="B33" s="12"/>
    </row>
    <row r="34" spans="1:4">
      <c r="D34" s="11" t="s">
        <v>124</v>
      </c>
    </row>
    <row r="35" spans="1:4">
      <c r="D35" s="11" t="s">
        <v>123</v>
      </c>
    </row>
    <row r="36" spans="1:4">
      <c r="D36" s="11" t="s">
        <v>122</v>
      </c>
    </row>
    <row r="40" spans="1:4">
      <c r="A40" s="27" t="s">
        <v>231</v>
      </c>
    </row>
    <row r="46" spans="1:4">
      <c r="A46" s="27" t="s">
        <v>232</v>
      </c>
      <c r="B46" s="11" t="s">
        <v>157</v>
      </c>
    </row>
    <row r="47" spans="1:4">
      <c r="A47" s="11" t="s">
        <v>233</v>
      </c>
      <c r="B47" s="11">
        <v>400</v>
      </c>
    </row>
    <row r="48" spans="1:4">
      <c r="A48" s="11" t="s">
        <v>16</v>
      </c>
    </row>
    <row r="49" spans="1:12">
      <c r="F49" s="11" t="s">
        <v>249</v>
      </c>
      <c r="G49" s="11" t="s">
        <v>250</v>
      </c>
    </row>
    <row r="50" spans="1:12">
      <c r="A50" s="11" t="s">
        <v>164</v>
      </c>
      <c r="B50" s="11" t="s">
        <v>246</v>
      </c>
      <c r="C50" s="11" t="s">
        <v>248</v>
      </c>
      <c r="D50" s="11" t="s">
        <v>247</v>
      </c>
      <c r="F50" s="11">
        <v>3.19</v>
      </c>
      <c r="I50" s="11">
        <f>F50</f>
        <v>3.19</v>
      </c>
      <c r="K50" s="31">
        <v>2.4</v>
      </c>
      <c r="L50" s="11">
        <v>2.35</v>
      </c>
    </row>
    <row r="51" spans="1:12">
      <c r="A51" s="11">
        <f>300</f>
        <v>300</v>
      </c>
      <c r="B51" s="11">
        <v>200</v>
      </c>
      <c r="C51" s="11">
        <v>1200</v>
      </c>
      <c r="D51" s="14">
        <f>C51/A51</f>
        <v>4</v>
      </c>
      <c r="E51" s="36">
        <f>A51/A53</f>
        <v>0.29411764705882354</v>
      </c>
      <c r="F51" s="11">
        <f>A51*F50</f>
        <v>957</v>
      </c>
      <c r="G51" s="36">
        <f>F51/C51</f>
        <v>0.79749999999999999</v>
      </c>
      <c r="H51" s="11">
        <f>C51-F51</f>
        <v>243</v>
      </c>
      <c r="I51" s="31">
        <f>H51/A52</f>
        <v>0.33750000000000002</v>
      </c>
      <c r="K51" s="31">
        <v>2.3333333333333335</v>
      </c>
      <c r="L51" s="11">
        <v>2.3541666666666665</v>
      </c>
    </row>
    <row r="52" spans="1:12">
      <c r="A52" s="11">
        <f>720</f>
        <v>720</v>
      </c>
      <c r="B52" s="11">
        <v>200</v>
      </c>
      <c r="C52" s="11">
        <f>B52*12</f>
        <v>2400</v>
      </c>
      <c r="D52" s="14">
        <f>C52/A52</f>
        <v>3.3333333333333335</v>
      </c>
      <c r="E52" s="36">
        <f>A52/A53</f>
        <v>0.70588235294117652</v>
      </c>
      <c r="F52" s="11">
        <f>A52*F50</f>
        <v>2296.8000000000002</v>
      </c>
      <c r="G52" s="36">
        <f>F52/C52</f>
        <v>0.95700000000000007</v>
      </c>
      <c r="H52" s="37">
        <f>C52-F52</f>
        <v>103.19999999999982</v>
      </c>
      <c r="I52" s="31">
        <f>H52/A51</f>
        <v>0.34399999999999942</v>
      </c>
      <c r="K52" s="31">
        <v>2.2400000000000002</v>
      </c>
      <c r="L52" s="11">
        <v>2.36</v>
      </c>
    </row>
    <row r="53" spans="1:12">
      <c r="A53" s="11">
        <f>A51+A52</f>
        <v>1020</v>
      </c>
      <c r="B53" s="11">
        <v>400</v>
      </c>
      <c r="C53" s="11">
        <f>B53*12</f>
        <v>4800</v>
      </c>
      <c r="D53" s="14">
        <f>C53/A53/0.95</f>
        <v>4.9535603715170282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F5A-BC8B-F640-840C-9460544731C9}">
  <dimension ref="A1:O87"/>
  <sheetViews>
    <sheetView topLeftCell="A23" workbookViewId="0">
      <selection activeCell="G57" sqref="G57"/>
    </sheetView>
  </sheetViews>
  <sheetFormatPr baseColWidth="10" defaultRowHeight="16"/>
  <cols>
    <col min="9" max="9" width="16.1640625" customWidth="1"/>
  </cols>
  <sheetData>
    <row r="1" spans="1:15" ht="19">
      <c r="A1" s="39" t="s">
        <v>254</v>
      </c>
      <c r="B1" s="40"/>
      <c r="C1" s="40"/>
      <c r="D1" s="40"/>
      <c r="L1" s="35"/>
      <c r="M1" s="35"/>
    </row>
    <row r="2" spans="1:15" ht="20">
      <c r="O2" s="45"/>
    </row>
    <row r="3" spans="1:15">
      <c r="A3" t="s">
        <v>255</v>
      </c>
    </row>
    <row r="4" spans="1:15">
      <c r="A4" s="35" t="s">
        <v>256</v>
      </c>
      <c r="B4" s="35" t="s">
        <v>257</v>
      </c>
      <c r="C4" s="35" t="s">
        <v>258</v>
      </c>
      <c r="D4" s="35" t="s">
        <v>259</v>
      </c>
      <c r="E4" s="35"/>
      <c r="F4" s="35" t="s">
        <v>258</v>
      </c>
      <c r="G4" s="35" t="s">
        <v>272</v>
      </c>
    </row>
    <row r="5" spans="1:15">
      <c r="A5">
        <v>1.5860000000000001</v>
      </c>
      <c r="B5">
        <v>100</v>
      </c>
      <c r="C5" s="38">
        <v>1E-8</v>
      </c>
      <c r="D5" s="38">
        <f>1/(2*PI()*C5*B5)</f>
        <v>159154.94309189534</v>
      </c>
      <c r="G5" s="8">
        <f>D5/1000</f>
        <v>159.15494309189535</v>
      </c>
      <c r="H5" s="7" t="s">
        <v>273</v>
      </c>
    </row>
    <row r="6" spans="1:15">
      <c r="A6">
        <v>1.5860000000000001</v>
      </c>
      <c r="B6">
        <v>10</v>
      </c>
      <c r="C6" s="38">
        <v>9.9999999999999995E-8</v>
      </c>
      <c r="D6" s="38">
        <f t="shared" ref="D6:D7" si="0">1/(2*PI()*C6*B6)</f>
        <v>159154.94309189534</v>
      </c>
      <c r="G6" s="8">
        <f>D6/1000</f>
        <v>159.15494309189535</v>
      </c>
      <c r="H6" s="7" t="s">
        <v>273</v>
      </c>
    </row>
    <row r="7" spans="1:15">
      <c r="A7">
        <v>1.5860000000000001</v>
      </c>
      <c r="B7">
        <v>1</v>
      </c>
      <c r="C7" s="38">
        <v>9.9999999999999995E-7</v>
      </c>
      <c r="D7" s="38">
        <f t="shared" si="0"/>
        <v>159154.94309189534</v>
      </c>
      <c r="F7" s="7" t="s">
        <v>274</v>
      </c>
      <c r="G7" s="8">
        <f>D7/1000</f>
        <v>159.15494309189535</v>
      </c>
      <c r="H7" s="7" t="s">
        <v>273</v>
      </c>
    </row>
    <row r="9" spans="1:15">
      <c r="A9" s="41" t="s">
        <v>260</v>
      </c>
      <c r="B9" s="40"/>
      <c r="C9" s="40"/>
      <c r="D9" s="40"/>
    </row>
    <row r="11" spans="1:15">
      <c r="A11" s="35" t="s">
        <v>261</v>
      </c>
      <c r="B11" s="35" t="s">
        <v>262</v>
      </c>
      <c r="C11" s="35" t="s">
        <v>263</v>
      </c>
      <c r="D11" s="35" t="s">
        <v>264</v>
      </c>
    </row>
    <row r="12" spans="1:15">
      <c r="A12">
        <v>15</v>
      </c>
      <c r="B12">
        <v>3.3</v>
      </c>
      <c r="C12">
        <v>100</v>
      </c>
      <c r="D12">
        <f>(A12-B12)/B12*C12</f>
        <v>354.54545454545456</v>
      </c>
      <c r="F12" s="7">
        <v>357</v>
      </c>
    </row>
    <row r="13" spans="1:15">
      <c r="A13">
        <v>15</v>
      </c>
      <c r="B13">
        <v>5</v>
      </c>
      <c r="C13">
        <v>100</v>
      </c>
      <c r="D13">
        <f>(A13-B13)/B13*C13</f>
        <v>200</v>
      </c>
      <c r="F13" s="7">
        <v>200</v>
      </c>
    </row>
    <row r="15" spans="1:15">
      <c r="A15" s="41" t="s">
        <v>265</v>
      </c>
      <c r="B15" s="40"/>
      <c r="C15" s="40"/>
      <c r="D15" s="40"/>
    </row>
    <row r="17" spans="1:12">
      <c r="A17" s="35" t="s">
        <v>266</v>
      </c>
      <c r="B17" s="35" t="s">
        <v>267</v>
      </c>
      <c r="C17" s="35" t="s">
        <v>264</v>
      </c>
      <c r="D17" s="35" t="s">
        <v>263</v>
      </c>
      <c r="E17" s="35"/>
      <c r="F17" s="35" t="s">
        <v>264</v>
      </c>
      <c r="G17" s="35" t="s">
        <v>263</v>
      </c>
      <c r="H17" s="35" t="s">
        <v>266</v>
      </c>
    </row>
    <row r="18" spans="1:12">
      <c r="A18">
        <v>10</v>
      </c>
      <c r="B18">
        <v>1.2250000000000001</v>
      </c>
      <c r="C18" s="42">
        <f>(A18-B18)*D18/B18</f>
        <v>71.632653061224488</v>
      </c>
      <c r="D18">
        <v>10</v>
      </c>
      <c r="F18">
        <v>75</v>
      </c>
      <c r="G18">
        <v>10</v>
      </c>
      <c r="H18">
        <f>B18*(1+F18/G18)</f>
        <v>10.412500000000001</v>
      </c>
    </row>
    <row r="19" spans="1:12">
      <c r="A19">
        <v>10</v>
      </c>
      <c r="B19">
        <v>1.2250000000000001</v>
      </c>
      <c r="C19" s="42">
        <f>(A19-B19)*D19/B19</f>
        <v>33.667346938775509</v>
      </c>
      <c r="D19">
        <v>4.7</v>
      </c>
      <c r="F19" s="7">
        <v>68</v>
      </c>
      <c r="G19" s="7">
        <v>10</v>
      </c>
      <c r="H19" s="7">
        <f>B19*(1+F19/G19)</f>
        <v>9.5549999999999997</v>
      </c>
    </row>
    <row r="21" spans="1:12">
      <c r="A21" s="41" t="s">
        <v>294</v>
      </c>
      <c r="B21" s="40"/>
      <c r="C21" s="40"/>
      <c r="D21" s="40"/>
    </row>
    <row r="22" spans="1:12">
      <c r="A22" t="s">
        <v>261</v>
      </c>
      <c r="B22" t="s">
        <v>295</v>
      </c>
      <c r="C22" t="s">
        <v>296</v>
      </c>
      <c r="D22" t="s">
        <v>259</v>
      </c>
      <c r="F22" t="s">
        <v>261</v>
      </c>
      <c r="G22" t="s">
        <v>296</v>
      </c>
      <c r="H22" t="s">
        <v>259</v>
      </c>
      <c r="I22" t="s">
        <v>295</v>
      </c>
      <c r="J22" t="s">
        <v>297</v>
      </c>
      <c r="K22" t="s">
        <v>299</v>
      </c>
      <c r="L22" t="s">
        <v>298</v>
      </c>
    </row>
    <row r="23" spans="1:12">
      <c r="A23">
        <v>14.4</v>
      </c>
      <c r="B23">
        <v>3.5</v>
      </c>
      <c r="C23">
        <v>36</v>
      </c>
      <c r="D23" s="8">
        <f>(A23-B23)/B23*C23</f>
        <v>112.11428571428571</v>
      </c>
      <c r="F23">
        <v>14.4</v>
      </c>
      <c r="G23">
        <v>36</v>
      </c>
      <c r="H23">
        <v>82</v>
      </c>
      <c r="I23" s="9">
        <f>F23*(1-(H23/(H23+G23)))</f>
        <v>4.3932203389830509</v>
      </c>
      <c r="J23" s="9">
        <f>F23*F23/(G23+H23)</f>
        <v>1.7572881355932204</v>
      </c>
      <c r="K23" s="44">
        <f>F23/(G23+H23)</f>
        <v>0.12203389830508475</v>
      </c>
      <c r="L23" s="9">
        <f>K23*K23*H23</f>
        <v>1.2211663315139329</v>
      </c>
    </row>
    <row r="24" spans="1:12">
      <c r="A24">
        <v>12.8</v>
      </c>
      <c r="B24">
        <v>3.5</v>
      </c>
      <c r="C24">
        <v>36</v>
      </c>
      <c r="D24" s="8">
        <f>(A24-B24)/B24*C24</f>
        <v>95.657142857142873</v>
      </c>
      <c r="F24" s="7">
        <v>12.8</v>
      </c>
      <c r="G24" s="7">
        <v>36</v>
      </c>
      <c r="H24" s="7">
        <v>100</v>
      </c>
      <c r="I24" s="10">
        <f>F24*(1-(H24/(H24+G24)))</f>
        <v>3.3882352941176466</v>
      </c>
      <c r="J24" s="10">
        <f>F24*F24/(G24+H24)</f>
        <v>1.2047058823529415</v>
      </c>
      <c r="K24" s="44">
        <f t="shared" ref="K24:K29" si="1">F24/(G24+H24)</f>
        <v>9.4117647058823528E-2</v>
      </c>
      <c r="L24" s="9">
        <f>K24*K24*H24</f>
        <v>0.88581314878892725</v>
      </c>
    </row>
    <row r="25" spans="1:12">
      <c r="A25">
        <v>10</v>
      </c>
      <c r="B25">
        <v>3.5</v>
      </c>
      <c r="C25">
        <v>36</v>
      </c>
      <c r="D25" s="8">
        <f>(A25-B25)/B25*C25</f>
        <v>66.857142857142861</v>
      </c>
      <c r="F25">
        <v>10</v>
      </c>
      <c r="G25">
        <v>36</v>
      </c>
      <c r="H25">
        <v>100</v>
      </c>
      <c r="I25" s="9">
        <f>F25*(1-(H25/(H25+G25)))</f>
        <v>2.6470588235294112</v>
      </c>
      <c r="J25" s="9">
        <f t="shared" ref="J25" si="2">F25*F25/(G25+H25)</f>
        <v>0.73529411764705888</v>
      </c>
      <c r="K25" s="44">
        <f t="shared" si="1"/>
        <v>7.3529411764705885E-2</v>
      </c>
      <c r="L25" s="9">
        <f t="shared" ref="L25:L29" si="3">K25*K25*H25</f>
        <v>0.54065743944636679</v>
      </c>
    </row>
    <row r="26" spans="1:12">
      <c r="K26" s="44"/>
      <c r="L26" s="9"/>
    </row>
    <row r="27" spans="1:12">
      <c r="F27">
        <v>14.4</v>
      </c>
      <c r="G27">
        <v>28</v>
      </c>
      <c r="H27">
        <v>82</v>
      </c>
      <c r="I27" s="9">
        <f>F27*(1-(H27/(H27+G27)))</f>
        <v>3.6654545454545451</v>
      </c>
      <c r="J27" s="9">
        <f>F27*F27/(G27+H27)</f>
        <v>1.8850909090909092</v>
      </c>
      <c r="K27" s="44">
        <f t="shared" si="1"/>
        <v>0.13090909090909092</v>
      </c>
      <c r="L27" s="9">
        <f t="shared" si="3"/>
        <v>1.4052495867768597</v>
      </c>
    </row>
    <row r="28" spans="1:12">
      <c r="F28" s="7">
        <v>12.8</v>
      </c>
      <c r="G28" s="7">
        <v>28</v>
      </c>
      <c r="H28" s="7">
        <v>82</v>
      </c>
      <c r="I28" s="10">
        <f>F28*(1-(H28/(H28+G28)))</f>
        <v>3.2581818181818178</v>
      </c>
      <c r="J28" s="10">
        <f>F28*F28/(G28+H28)</f>
        <v>1.4894545454545458</v>
      </c>
      <c r="K28" s="44">
        <f t="shared" si="1"/>
        <v>0.11636363636363636</v>
      </c>
      <c r="L28" s="9">
        <f t="shared" si="3"/>
        <v>1.1103206611570247</v>
      </c>
    </row>
    <row r="29" spans="1:12">
      <c r="F29">
        <v>10</v>
      </c>
      <c r="G29">
        <v>28</v>
      </c>
      <c r="H29">
        <v>82</v>
      </c>
      <c r="I29" s="9">
        <f>F29*(1-(H29/(H29+G29)))</f>
        <v>2.545454545454545</v>
      </c>
      <c r="J29" s="9">
        <f>F29*F29/(G29+H29)</f>
        <v>0.90909090909090906</v>
      </c>
      <c r="K29" s="44">
        <f t="shared" si="1"/>
        <v>9.0909090909090912E-2</v>
      </c>
      <c r="L29" s="9">
        <f t="shared" si="3"/>
        <v>0.6776859504132231</v>
      </c>
    </row>
    <row r="31" spans="1:12">
      <c r="A31" s="41" t="s">
        <v>300</v>
      </c>
      <c r="B31" s="40"/>
      <c r="C31" s="40"/>
      <c r="D31" s="40"/>
    </row>
    <row r="32" spans="1:12">
      <c r="A32" t="s">
        <v>261</v>
      </c>
      <c r="B32" t="s">
        <v>295</v>
      </c>
      <c r="C32" t="s">
        <v>296</v>
      </c>
      <c r="D32" t="s">
        <v>259</v>
      </c>
      <c r="F32" t="s">
        <v>261</v>
      </c>
      <c r="G32" t="s">
        <v>296</v>
      </c>
      <c r="H32" t="s">
        <v>259</v>
      </c>
      <c r="I32" t="s">
        <v>295</v>
      </c>
      <c r="J32" t="s">
        <v>297</v>
      </c>
      <c r="K32" t="s">
        <v>299</v>
      </c>
      <c r="L32" t="s">
        <v>298</v>
      </c>
    </row>
    <row r="33" spans="1:12">
      <c r="A33">
        <v>14.4</v>
      </c>
      <c r="B33">
        <v>3.5</v>
      </c>
      <c r="C33">
        <f>36/2</f>
        <v>18</v>
      </c>
      <c r="D33" s="8">
        <f>(A33-B33)/B33*C33</f>
        <v>56.057142857142857</v>
      </c>
      <c r="F33">
        <v>14.4</v>
      </c>
      <c r="G33">
        <v>18</v>
      </c>
      <c r="H33">
        <v>41</v>
      </c>
      <c r="I33" s="9">
        <f>F33*(1-(H33/(H33+G33)))</f>
        <v>4.3932203389830509</v>
      </c>
      <c r="J33" s="9">
        <f>F33*F33/(G33+H33)</f>
        <v>3.5145762711864408</v>
      </c>
      <c r="K33" s="44">
        <f>F33/(G33+H33)</f>
        <v>0.2440677966101695</v>
      </c>
      <c r="L33" s="9">
        <f>K33*K33*H33</f>
        <v>2.4423326630278659</v>
      </c>
    </row>
    <row r="34" spans="1:12">
      <c r="A34">
        <v>12.8</v>
      </c>
      <c r="B34">
        <v>3.5</v>
      </c>
      <c r="C34">
        <f t="shared" ref="C34:C35" si="4">36/2</f>
        <v>18</v>
      </c>
      <c r="D34" s="8">
        <f>(A34-B34)/B34*C34</f>
        <v>47.828571428571436</v>
      </c>
      <c r="F34" s="7">
        <v>12.8</v>
      </c>
      <c r="G34" s="7">
        <v>18</v>
      </c>
      <c r="H34" s="7">
        <v>41</v>
      </c>
      <c r="I34" s="10">
        <f>F34*(1-(H34/(H34+G34)))</f>
        <v>3.9050847457627116</v>
      </c>
      <c r="J34" s="10">
        <f>F34*F34/(G34+H34)</f>
        <v>2.7769491525423735</v>
      </c>
      <c r="K34" s="44">
        <f t="shared" ref="K34:K35" si="5">F34/(G34+H34)</f>
        <v>0.2169491525423729</v>
      </c>
      <c r="L34" s="9">
        <f>K34*K34*H34</f>
        <v>1.9297443263430052</v>
      </c>
    </row>
    <row r="35" spans="1:12">
      <c r="A35">
        <v>10</v>
      </c>
      <c r="B35">
        <v>3.5</v>
      </c>
      <c r="C35">
        <f t="shared" si="4"/>
        <v>18</v>
      </c>
      <c r="D35" s="8">
        <f>(A35-B35)/B35*C35</f>
        <v>33.428571428571431</v>
      </c>
      <c r="F35">
        <v>10</v>
      </c>
      <c r="G35">
        <v>18</v>
      </c>
      <c r="H35">
        <v>41</v>
      </c>
      <c r="I35" s="9">
        <f>F35*(1-(H35/(H35+G35)))</f>
        <v>3.0508474576271185</v>
      </c>
      <c r="J35" s="9">
        <f t="shared" ref="J35" si="6">F35*F35/(G35+H35)</f>
        <v>1.6949152542372881</v>
      </c>
      <c r="K35" s="44">
        <f t="shared" si="5"/>
        <v>0.16949152542372881</v>
      </c>
      <c r="L35" s="9">
        <f t="shared" ref="L35" si="7">K35*K35*H35</f>
        <v>1.1778224648089628</v>
      </c>
    </row>
    <row r="36" spans="1:12">
      <c r="K36" s="44"/>
      <c r="L36" s="9"/>
    </row>
    <row r="37" spans="1:12">
      <c r="F37">
        <v>14.4</v>
      </c>
      <c r="G37">
        <v>14</v>
      </c>
      <c r="H37">
        <v>41</v>
      </c>
      <c r="I37" s="9">
        <f>F37*(1-(H37/(H37+G37)))</f>
        <v>3.6654545454545451</v>
      </c>
      <c r="J37" s="9">
        <f>F37*F37/(G37+H37)</f>
        <v>3.7701818181818183</v>
      </c>
      <c r="K37" s="44">
        <f t="shared" ref="K37:K39" si="8">F37/(G37+H37)</f>
        <v>0.26181818181818184</v>
      </c>
      <c r="L37" s="9">
        <f t="shared" ref="L37:L39" si="9">K37*K37*H37</f>
        <v>2.8104991735537195</v>
      </c>
    </row>
    <row r="38" spans="1:12">
      <c r="F38" s="7">
        <v>12.8</v>
      </c>
      <c r="G38" s="7">
        <v>14</v>
      </c>
      <c r="H38" s="7">
        <v>41</v>
      </c>
      <c r="I38" s="10">
        <f>F38*(1-(H38/(H38+G38)))</f>
        <v>3.2581818181818178</v>
      </c>
      <c r="J38" s="10">
        <f>F38*F38/(G38+H38)</f>
        <v>2.9789090909090916</v>
      </c>
      <c r="K38" s="44">
        <f t="shared" si="8"/>
        <v>0.23272727272727273</v>
      </c>
      <c r="L38" s="9">
        <f t="shared" si="9"/>
        <v>2.2206413223140493</v>
      </c>
    </row>
    <row r="39" spans="1:12">
      <c r="F39">
        <v>10</v>
      </c>
      <c r="G39">
        <v>14</v>
      </c>
      <c r="H39">
        <v>41</v>
      </c>
      <c r="I39" s="9">
        <f>F39*(1-(H39/(H39+G39)))</f>
        <v>2.545454545454545</v>
      </c>
      <c r="J39" s="9">
        <f>F39*F39/(G39+H39)</f>
        <v>1.8181818181818181</v>
      </c>
      <c r="K39" s="44">
        <f t="shared" si="8"/>
        <v>0.18181818181818182</v>
      </c>
      <c r="L39" s="9">
        <f t="shared" si="9"/>
        <v>1.3553719008264462</v>
      </c>
    </row>
    <row r="41" spans="1:12">
      <c r="A41" s="41" t="s">
        <v>291</v>
      </c>
      <c r="B41" s="41"/>
      <c r="C41" s="41"/>
      <c r="D41" s="41"/>
      <c r="E41" s="35"/>
      <c r="F41" s="35"/>
    </row>
    <row r="42" spans="1:12">
      <c r="A42" s="35" t="s">
        <v>268</v>
      </c>
      <c r="B42" s="35" t="s">
        <v>269</v>
      </c>
      <c r="C42" s="35" t="s">
        <v>270</v>
      </c>
      <c r="D42" s="35" t="s">
        <v>259</v>
      </c>
      <c r="E42" s="35"/>
      <c r="F42" s="35" t="s">
        <v>259</v>
      </c>
    </row>
    <row r="43" spans="1:12">
      <c r="A43" s="44">
        <v>0.01</v>
      </c>
      <c r="B43">
        <v>1.4</v>
      </c>
      <c r="C43">
        <v>3.3</v>
      </c>
      <c r="D43" s="42">
        <f>(C43-B43)/A43</f>
        <v>190</v>
      </c>
      <c r="F43" s="7">
        <v>180</v>
      </c>
      <c r="K43" s="44"/>
    </row>
    <row r="44" spans="1:12">
      <c r="A44" s="44">
        <v>0.01</v>
      </c>
      <c r="B44">
        <v>1.65</v>
      </c>
      <c r="C44">
        <v>3.3</v>
      </c>
      <c r="D44" s="42">
        <f>(C44-B44)/A44</f>
        <v>165</v>
      </c>
    </row>
    <row r="47" spans="1:12">
      <c r="A47" s="41" t="s">
        <v>292</v>
      </c>
      <c r="B47" s="41"/>
      <c r="C47" s="41"/>
      <c r="D47" s="41"/>
      <c r="E47" s="35"/>
      <c r="F47" s="35"/>
    </row>
    <row r="48" spans="1:12">
      <c r="A48" s="35" t="s">
        <v>268</v>
      </c>
      <c r="B48" s="35" t="s">
        <v>269</v>
      </c>
      <c r="C48" s="35" t="s">
        <v>270</v>
      </c>
      <c r="D48" s="35" t="s">
        <v>259</v>
      </c>
      <c r="E48" s="35"/>
      <c r="F48" s="35" t="s">
        <v>259</v>
      </c>
    </row>
    <row r="49" spans="1:9">
      <c r="A49" s="44">
        <v>0.01</v>
      </c>
      <c r="B49">
        <v>0.1</v>
      </c>
      <c r="C49">
        <v>10</v>
      </c>
      <c r="D49" s="42">
        <f>(C49-B49)/A49</f>
        <v>990</v>
      </c>
      <c r="F49" s="7">
        <v>180</v>
      </c>
    </row>
    <row r="50" spans="1:9">
      <c r="A50" s="44">
        <v>0.01</v>
      </c>
      <c r="B50">
        <v>0.1</v>
      </c>
      <c r="C50">
        <v>14.4</v>
      </c>
      <c r="D50" s="42">
        <f>(C50-B50)/A50</f>
        <v>1430</v>
      </c>
    </row>
    <row r="55" spans="1:9">
      <c r="A55" s="41" t="s">
        <v>275</v>
      </c>
      <c r="B55" s="40"/>
      <c r="C55" s="40"/>
      <c r="D55" s="40"/>
      <c r="G55" s="43" t="s">
        <v>280</v>
      </c>
      <c r="H55" s="43" t="s">
        <v>281</v>
      </c>
      <c r="I55" s="43" t="s">
        <v>282</v>
      </c>
    </row>
    <row r="56" spans="1:9">
      <c r="A56" s="35" t="s">
        <v>276</v>
      </c>
      <c r="B56" s="35" t="s">
        <v>277</v>
      </c>
      <c r="C56" s="35" t="s">
        <v>278</v>
      </c>
      <c r="D56" s="35" t="s">
        <v>261</v>
      </c>
      <c r="E56" s="35" t="s">
        <v>262</v>
      </c>
      <c r="F56" s="35" t="s">
        <v>268</v>
      </c>
      <c r="G56" s="35" t="s">
        <v>279</v>
      </c>
      <c r="H56" s="35" t="s">
        <v>264</v>
      </c>
      <c r="I56" s="35" t="s">
        <v>263</v>
      </c>
    </row>
    <row r="57" spans="1:9">
      <c r="A57">
        <v>1.2E-2</v>
      </c>
      <c r="B57">
        <v>1.2E-2</v>
      </c>
      <c r="C57" s="42">
        <f>B57/A57</f>
        <v>1</v>
      </c>
      <c r="D57">
        <v>14.4</v>
      </c>
      <c r="E57">
        <v>3.3</v>
      </c>
      <c r="F57" s="44">
        <v>0.01</v>
      </c>
      <c r="G57" s="44">
        <f>A57*F57</f>
        <v>1.2E-4</v>
      </c>
      <c r="H57" s="44">
        <f>D57/G57</f>
        <v>120000</v>
      </c>
      <c r="I57" s="44">
        <f>H57*E57/D57/C57</f>
        <v>27500</v>
      </c>
    </row>
    <row r="58" spans="1:9">
      <c r="A58">
        <v>1.2E-2</v>
      </c>
      <c r="B58">
        <v>1.2E-2</v>
      </c>
      <c r="C58" s="42">
        <f t="shared" ref="C58" si="10">B58/A58</f>
        <v>1</v>
      </c>
      <c r="D58">
        <v>14.4</v>
      </c>
      <c r="E58">
        <v>3.3</v>
      </c>
      <c r="F58" s="44">
        <v>0.01</v>
      </c>
      <c r="G58" s="44">
        <f t="shared" ref="G58" si="11">A58*F58</f>
        <v>1.2E-4</v>
      </c>
      <c r="H58" s="46">
        <v>120000</v>
      </c>
      <c r="I58" s="44">
        <f t="shared" ref="I58" si="12">H58*E58/D58/C58</f>
        <v>27500</v>
      </c>
    </row>
    <row r="60" spans="1:9">
      <c r="A60">
        <v>8.9999999999999993E-3</v>
      </c>
      <c r="C60" s="42">
        <v>0.76500000000000001</v>
      </c>
      <c r="D60">
        <v>14.4</v>
      </c>
      <c r="E60">
        <v>3.3</v>
      </c>
      <c r="F60" s="44">
        <v>0.01</v>
      </c>
      <c r="G60" s="44">
        <f>A60*F60</f>
        <v>8.9999999999999992E-5</v>
      </c>
      <c r="H60" s="44">
        <f>D60/G60</f>
        <v>160000.00000000003</v>
      </c>
      <c r="I60" s="44">
        <f>H60*E60/D60/C60</f>
        <v>47930.283224400875</v>
      </c>
    </row>
    <row r="61" spans="1:9">
      <c r="A61">
        <v>8.9999999999999993E-3</v>
      </c>
      <c r="C61" s="42">
        <v>1.181</v>
      </c>
      <c r="D61">
        <v>14.4</v>
      </c>
      <c r="E61">
        <v>3.3</v>
      </c>
      <c r="F61" s="44">
        <v>0.01</v>
      </c>
      <c r="G61" s="44">
        <f>A61*F61</f>
        <v>8.9999999999999992E-5</v>
      </c>
      <c r="H61" s="44">
        <f>D61/G61</f>
        <v>160000.00000000003</v>
      </c>
      <c r="I61" s="44">
        <f>H61*E61/D61/C61</f>
        <v>31047.135196161449</v>
      </c>
    </row>
    <row r="62" spans="1:9">
      <c r="A62">
        <v>1.4999999999999999E-2</v>
      </c>
      <c r="C62" s="42">
        <v>0.76500000000000001</v>
      </c>
      <c r="D62">
        <v>14.4</v>
      </c>
      <c r="E62">
        <v>3.3</v>
      </c>
      <c r="F62" s="44">
        <v>0.01</v>
      </c>
      <c r="G62" s="44">
        <f>A62*F62</f>
        <v>1.4999999999999999E-4</v>
      </c>
      <c r="H62" s="46">
        <v>100000</v>
      </c>
      <c r="I62" s="44">
        <f>H62*E62/D62/C62</f>
        <v>29956.427015250545</v>
      </c>
    </row>
    <row r="63" spans="1:9">
      <c r="A63">
        <v>1.4999999999999999E-2</v>
      </c>
      <c r="C63" s="42">
        <v>1</v>
      </c>
      <c r="D63">
        <v>14.4</v>
      </c>
      <c r="E63">
        <v>3.3</v>
      </c>
      <c r="F63" s="44">
        <v>0.01</v>
      </c>
      <c r="G63" s="44">
        <f>A63*F63</f>
        <v>1.4999999999999999E-4</v>
      </c>
      <c r="H63" s="46">
        <v>100000</v>
      </c>
      <c r="I63" s="44">
        <f>H63*E63/D63/C63</f>
        <v>22916.666666666668</v>
      </c>
    </row>
    <row r="64" spans="1:9">
      <c r="A64">
        <v>1.4999999999999999E-2</v>
      </c>
      <c r="C64" s="42">
        <v>1.18</v>
      </c>
      <c r="D64">
        <v>14.4</v>
      </c>
      <c r="E64">
        <v>3.3</v>
      </c>
      <c r="F64" s="44">
        <v>0.01</v>
      </c>
      <c r="G64" s="44">
        <f>A64*F64</f>
        <v>1.4999999999999999E-4</v>
      </c>
      <c r="H64" s="46">
        <v>100000</v>
      </c>
      <c r="I64" s="44">
        <f>H64*E64/D64/C64</f>
        <v>19420.903954802263</v>
      </c>
    </row>
    <row r="67" spans="1:6">
      <c r="B67" s="35" t="s">
        <v>288</v>
      </c>
      <c r="C67" s="35" t="s">
        <v>289</v>
      </c>
    </row>
    <row r="68" spans="1:6">
      <c r="A68" t="s">
        <v>284</v>
      </c>
      <c r="B68">
        <v>0.76500000000000001</v>
      </c>
      <c r="C68">
        <v>0.85899999999999999</v>
      </c>
    </row>
    <row r="69" spans="1:6">
      <c r="A69" t="s">
        <v>285</v>
      </c>
      <c r="B69">
        <v>0.85099999999999998</v>
      </c>
      <c r="C69">
        <v>0.95499999999999996</v>
      </c>
    </row>
    <row r="70" spans="1:6">
      <c r="A70" t="s">
        <v>286</v>
      </c>
      <c r="B70">
        <v>0.94499999999999995</v>
      </c>
      <c r="C70">
        <v>1.0609999999999999</v>
      </c>
    </row>
    <row r="71" spans="1:6">
      <c r="A71" t="s">
        <v>287</v>
      </c>
      <c r="B71">
        <v>1.0509999999999999</v>
      </c>
      <c r="C71">
        <v>1.181</v>
      </c>
    </row>
    <row r="72" spans="1:6">
      <c r="F72" t="s">
        <v>290</v>
      </c>
    </row>
    <row r="73" spans="1:6">
      <c r="A73" s="35" t="s">
        <v>278</v>
      </c>
      <c r="B73" s="35" t="s">
        <v>261</v>
      </c>
      <c r="C73" s="35" t="s">
        <v>264</v>
      </c>
      <c r="D73" s="35" t="s">
        <v>263</v>
      </c>
      <c r="F73" s="35" t="s">
        <v>262</v>
      </c>
    </row>
    <row r="74" spans="1:6">
      <c r="A74">
        <v>1</v>
      </c>
      <c r="B74">
        <v>14.4</v>
      </c>
      <c r="C74" s="44">
        <v>120000</v>
      </c>
      <c r="D74" s="44">
        <v>27000</v>
      </c>
      <c r="F74" s="9">
        <f>A74*D74/C74*B74</f>
        <v>3.24</v>
      </c>
    </row>
    <row r="75" spans="1:6">
      <c r="A75">
        <v>0.76500000000000001</v>
      </c>
      <c r="B75">
        <v>14.4</v>
      </c>
      <c r="C75" s="44">
        <v>120000</v>
      </c>
      <c r="D75" s="44">
        <v>27000</v>
      </c>
      <c r="F75" s="9">
        <f t="shared" ref="F75:F79" si="13">A75*D75/C75*B75</f>
        <v>2.4786000000000001</v>
      </c>
    </row>
    <row r="76" spans="1:6">
      <c r="A76">
        <v>1.181</v>
      </c>
      <c r="B76">
        <v>14.4</v>
      </c>
      <c r="C76" s="44">
        <v>120000</v>
      </c>
      <c r="D76" s="44">
        <v>27000</v>
      </c>
      <c r="F76" s="9">
        <f t="shared" si="13"/>
        <v>3.8264399999999998</v>
      </c>
    </row>
    <row r="77" spans="1:6">
      <c r="A77">
        <v>1</v>
      </c>
      <c r="B77">
        <v>10</v>
      </c>
      <c r="C77" s="44">
        <v>120000</v>
      </c>
      <c r="D77" s="44">
        <v>27000</v>
      </c>
      <c r="F77" s="9">
        <f t="shared" si="13"/>
        <v>2.25</v>
      </c>
    </row>
    <row r="78" spans="1:6">
      <c r="A78">
        <v>0.76500000000000001</v>
      </c>
      <c r="B78">
        <v>10</v>
      </c>
      <c r="C78" s="44">
        <v>120000</v>
      </c>
      <c r="D78" s="44">
        <v>27000</v>
      </c>
      <c r="F78" s="9">
        <f t="shared" si="13"/>
        <v>1.7212499999999999</v>
      </c>
    </row>
    <row r="79" spans="1:6">
      <c r="A79">
        <v>1.181</v>
      </c>
      <c r="B79">
        <v>10</v>
      </c>
      <c r="C79" s="44">
        <v>120000</v>
      </c>
      <c r="D79" s="44">
        <v>27000</v>
      </c>
      <c r="F79" s="9">
        <f t="shared" si="13"/>
        <v>2.6572499999999999</v>
      </c>
    </row>
    <row r="80" spans="1:6">
      <c r="C80" s="44"/>
      <c r="D80" s="38"/>
      <c r="F80" s="38"/>
    </row>
    <row r="81" spans="1:6">
      <c r="A81">
        <v>1</v>
      </c>
      <c r="B81">
        <v>14.4</v>
      </c>
      <c r="C81" s="44">
        <v>100000</v>
      </c>
      <c r="D81" s="44">
        <v>22000</v>
      </c>
      <c r="F81" s="9">
        <f>A81*D81/C81*B81</f>
        <v>3.1680000000000001</v>
      </c>
    </row>
    <row r="82" spans="1:6">
      <c r="A82">
        <v>0.76500000000000001</v>
      </c>
      <c r="B82">
        <v>14.4</v>
      </c>
      <c r="C82" s="44">
        <v>100000</v>
      </c>
      <c r="D82" s="44">
        <v>22000</v>
      </c>
      <c r="F82" s="9">
        <f t="shared" ref="F82:F83" si="14">A82*D82/C82*B82</f>
        <v>2.4235200000000003</v>
      </c>
    </row>
    <row r="83" spans="1:6">
      <c r="A83">
        <v>1.181</v>
      </c>
      <c r="B83">
        <v>14.4</v>
      </c>
      <c r="C83" s="44">
        <v>100000</v>
      </c>
      <c r="D83" s="44">
        <v>22000</v>
      </c>
      <c r="F83" s="9">
        <f t="shared" si="14"/>
        <v>3.7414079999999998</v>
      </c>
    </row>
    <row r="85" spans="1:6">
      <c r="A85">
        <v>1</v>
      </c>
      <c r="B85">
        <v>14.4</v>
      </c>
      <c r="C85" s="44">
        <v>100000</v>
      </c>
      <c r="D85" s="44">
        <v>22000</v>
      </c>
      <c r="F85" s="9">
        <f>A85*D85/C85*B85</f>
        <v>3.1680000000000001</v>
      </c>
    </row>
    <row r="86" spans="1:6">
      <c r="A86">
        <v>0.76500000000000001</v>
      </c>
      <c r="B86">
        <v>14.4</v>
      </c>
      <c r="C86" s="44">
        <v>100000</v>
      </c>
      <c r="D86" s="44">
        <v>30100</v>
      </c>
      <c r="F86" s="9">
        <f t="shared" ref="F86:F87" si="15">A86*D86/C86*B86</f>
        <v>3.3158159999999999</v>
      </c>
    </row>
    <row r="87" spans="1:6">
      <c r="A87">
        <v>1.181</v>
      </c>
      <c r="B87">
        <v>14.4</v>
      </c>
      <c r="C87" s="44">
        <v>100000</v>
      </c>
      <c r="D87" s="44">
        <v>19100</v>
      </c>
      <c r="F87" s="9">
        <f t="shared" si="15"/>
        <v>3.2482224000000004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16928-42A4-B846-8567-42261D34AB94}">
  <dimension ref="A1:B97"/>
  <sheetViews>
    <sheetView workbookViewId="0">
      <selection activeCell="A11" sqref="A11"/>
    </sheetView>
  </sheetViews>
  <sheetFormatPr baseColWidth="10" defaultRowHeight="16"/>
  <sheetData>
    <row r="1" spans="1:2">
      <c r="A1" s="35" t="s">
        <v>271</v>
      </c>
      <c r="B1" s="35" t="s">
        <v>283</v>
      </c>
    </row>
    <row r="2" spans="1:2">
      <c r="A2">
        <v>100</v>
      </c>
      <c r="B2">
        <v>100</v>
      </c>
    </row>
    <row r="3" spans="1:2">
      <c r="A3">
        <v>120</v>
      </c>
      <c r="B3">
        <v>102</v>
      </c>
    </row>
    <row r="4" spans="1:2">
      <c r="A4">
        <v>150</v>
      </c>
      <c r="B4">
        <v>105</v>
      </c>
    </row>
    <row r="5" spans="1:2">
      <c r="A5">
        <v>180</v>
      </c>
      <c r="B5">
        <v>107</v>
      </c>
    </row>
    <row r="6" spans="1:2">
      <c r="A6">
        <v>220</v>
      </c>
      <c r="B6">
        <v>110.00000000000001</v>
      </c>
    </row>
    <row r="7" spans="1:2">
      <c r="A7">
        <v>270</v>
      </c>
      <c r="B7">
        <v>112.99999999999999</v>
      </c>
    </row>
    <row r="8" spans="1:2">
      <c r="A8">
        <v>330</v>
      </c>
      <c r="B8">
        <v>114.99999999999999</v>
      </c>
    </row>
    <row r="9" spans="1:2">
      <c r="A9">
        <v>390</v>
      </c>
      <c r="B9">
        <v>118</v>
      </c>
    </row>
    <row r="10" spans="1:2">
      <c r="A10">
        <v>470</v>
      </c>
      <c r="B10">
        <v>121</v>
      </c>
    </row>
    <row r="11" spans="1:2">
      <c r="A11">
        <v>560</v>
      </c>
      <c r="B11">
        <v>124</v>
      </c>
    </row>
    <row r="12" spans="1:2">
      <c r="A12">
        <v>680</v>
      </c>
      <c r="B12">
        <v>127</v>
      </c>
    </row>
    <row r="13" spans="1:2">
      <c r="A13">
        <v>820</v>
      </c>
      <c r="B13">
        <v>130</v>
      </c>
    </row>
    <row r="14" spans="1:2">
      <c r="B14">
        <v>133</v>
      </c>
    </row>
    <row r="15" spans="1:2">
      <c r="B15">
        <v>137</v>
      </c>
    </row>
    <row r="16" spans="1:2">
      <c r="B16">
        <v>140</v>
      </c>
    </row>
    <row r="17" spans="2:2">
      <c r="B17">
        <v>143</v>
      </c>
    </row>
    <row r="18" spans="2:2">
      <c r="B18">
        <v>147</v>
      </c>
    </row>
    <row r="19" spans="2:2">
      <c r="B19">
        <v>150</v>
      </c>
    </row>
    <row r="20" spans="2:2">
      <c r="B20">
        <v>154</v>
      </c>
    </row>
    <row r="21" spans="2:2">
      <c r="B21">
        <v>158</v>
      </c>
    </row>
    <row r="22" spans="2:2">
      <c r="B22">
        <v>162</v>
      </c>
    </row>
    <row r="23" spans="2:2">
      <c r="B23">
        <v>165</v>
      </c>
    </row>
    <row r="24" spans="2:2">
      <c r="B24">
        <v>169</v>
      </c>
    </row>
    <row r="25" spans="2:2">
      <c r="B25">
        <v>174</v>
      </c>
    </row>
    <row r="26" spans="2:2">
      <c r="B26">
        <v>178</v>
      </c>
    </row>
    <row r="27" spans="2:2">
      <c r="B27">
        <v>182</v>
      </c>
    </row>
    <row r="28" spans="2:2">
      <c r="B28">
        <v>187</v>
      </c>
    </row>
    <row r="29" spans="2:2">
      <c r="B29">
        <v>191</v>
      </c>
    </row>
    <row r="30" spans="2:2">
      <c r="B30">
        <v>196</v>
      </c>
    </row>
    <row r="31" spans="2:2">
      <c r="B31">
        <v>200</v>
      </c>
    </row>
    <row r="32" spans="2:2">
      <c r="B32">
        <v>204.99999999999997</v>
      </c>
    </row>
    <row r="33" spans="2:2">
      <c r="B33">
        <v>210</v>
      </c>
    </row>
    <row r="34" spans="2:2">
      <c r="B34">
        <v>215</v>
      </c>
    </row>
    <row r="35" spans="2:2">
      <c r="B35">
        <v>221</v>
      </c>
    </row>
    <row r="36" spans="2:2">
      <c r="B36">
        <v>225.99999999999997</v>
      </c>
    </row>
    <row r="37" spans="2:2">
      <c r="B37">
        <v>231.99999999999997</v>
      </c>
    </row>
    <row r="38" spans="2:2">
      <c r="B38">
        <v>237</v>
      </c>
    </row>
    <row r="39" spans="2:2">
      <c r="B39">
        <v>243.00000000000003</v>
      </c>
    </row>
    <row r="40" spans="2:2">
      <c r="B40">
        <v>249.00000000000003</v>
      </c>
    </row>
    <row r="41" spans="2:2">
      <c r="B41">
        <v>254.99999999999997</v>
      </c>
    </row>
    <row r="42" spans="2:2">
      <c r="B42">
        <v>261</v>
      </c>
    </row>
    <row r="43" spans="2:2">
      <c r="B43">
        <v>267</v>
      </c>
    </row>
    <row r="44" spans="2:2">
      <c r="B44">
        <v>274</v>
      </c>
    </row>
    <row r="45" spans="2:2">
      <c r="B45">
        <v>280</v>
      </c>
    </row>
    <row r="46" spans="2:2">
      <c r="B46">
        <v>287</v>
      </c>
    </row>
    <row r="47" spans="2:2">
      <c r="B47">
        <v>294</v>
      </c>
    </row>
    <row r="48" spans="2:2">
      <c r="B48">
        <v>301</v>
      </c>
    </row>
    <row r="49" spans="2:2">
      <c r="B49">
        <v>309</v>
      </c>
    </row>
    <row r="50" spans="2:2">
      <c r="B50">
        <v>316</v>
      </c>
    </row>
    <row r="51" spans="2:2">
      <c r="B51">
        <v>324</v>
      </c>
    </row>
    <row r="52" spans="2:2">
      <c r="B52">
        <v>332</v>
      </c>
    </row>
    <row r="53" spans="2:2">
      <c r="B53">
        <v>340</v>
      </c>
    </row>
    <row r="54" spans="2:2">
      <c r="B54">
        <v>348</v>
      </c>
    </row>
    <row r="55" spans="2:2">
      <c r="B55">
        <v>357</v>
      </c>
    </row>
    <row r="56" spans="2:2">
      <c r="B56">
        <v>365</v>
      </c>
    </row>
    <row r="57" spans="2:2">
      <c r="B57">
        <v>374</v>
      </c>
    </row>
    <row r="58" spans="2:2">
      <c r="B58">
        <v>383</v>
      </c>
    </row>
    <row r="59" spans="2:2">
      <c r="B59">
        <v>392</v>
      </c>
    </row>
    <row r="60" spans="2:2">
      <c r="B60">
        <v>401.99999999999994</v>
      </c>
    </row>
    <row r="61" spans="2:2">
      <c r="B61">
        <v>412</v>
      </c>
    </row>
    <row r="62" spans="2:2">
      <c r="B62">
        <v>422</v>
      </c>
    </row>
    <row r="63" spans="2:2">
      <c r="B63">
        <v>432</v>
      </c>
    </row>
    <row r="64" spans="2:2">
      <c r="B64">
        <v>442</v>
      </c>
    </row>
    <row r="65" spans="2:2">
      <c r="B65">
        <v>453</v>
      </c>
    </row>
    <row r="66" spans="2:2">
      <c r="B66">
        <v>463.99999999999994</v>
      </c>
    </row>
    <row r="67" spans="2:2">
      <c r="B67">
        <v>475</v>
      </c>
    </row>
    <row r="68" spans="2:2">
      <c r="B68">
        <v>487</v>
      </c>
    </row>
    <row r="69" spans="2:2">
      <c r="B69">
        <v>499</v>
      </c>
    </row>
    <row r="70" spans="2:2">
      <c r="B70">
        <v>511.00000000000006</v>
      </c>
    </row>
    <row r="71" spans="2:2">
      <c r="B71">
        <v>523</v>
      </c>
    </row>
    <row r="72" spans="2:2">
      <c r="B72">
        <v>536</v>
      </c>
    </row>
    <row r="73" spans="2:2">
      <c r="B73">
        <v>549</v>
      </c>
    </row>
    <row r="74" spans="2:2">
      <c r="B74">
        <v>562</v>
      </c>
    </row>
    <row r="75" spans="2:2">
      <c r="B75">
        <v>576</v>
      </c>
    </row>
    <row r="76" spans="2:2">
      <c r="B76">
        <v>590</v>
      </c>
    </row>
    <row r="77" spans="2:2">
      <c r="B77">
        <v>604</v>
      </c>
    </row>
    <row r="78" spans="2:2">
      <c r="B78">
        <v>619</v>
      </c>
    </row>
    <row r="79" spans="2:2">
      <c r="B79">
        <v>634</v>
      </c>
    </row>
    <row r="80" spans="2:2">
      <c r="B80">
        <v>649</v>
      </c>
    </row>
    <row r="81" spans="2:2">
      <c r="B81">
        <v>665</v>
      </c>
    </row>
    <row r="82" spans="2:2">
      <c r="B82">
        <v>681</v>
      </c>
    </row>
    <row r="83" spans="2:2">
      <c r="B83">
        <v>698</v>
      </c>
    </row>
    <row r="84" spans="2:2">
      <c r="B84">
        <v>715</v>
      </c>
    </row>
    <row r="85" spans="2:2">
      <c r="B85">
        <v>732</v>
      </c>
    </row>
    <row r="86" spans="2:2">
      <c r="B86">
        <v>750</v>
      </c>
    </row>
    <row r="87" spans="2:2">
      <c r="B87">
        <v>768</v>
      </c>
    </row>
    <row r="88" spans="2:2">
      <c r="B88">
        <v>787</v>
      </c>
    </row>
    <row r="89" spans="2:2">
      <c r="B89">
        <v>806</v>
      </c>
    </row>
    <row r="90" spans="2:2">
      <c r="B90">
        <v>825</v>
      </c>
    </row>
    <row r="91" spans="2:2">
      <c r="B91">
        <v>844.99999999999989</v>
      </c>
    </row>
    <row r="92" spans="2:2">
      <c r="B92">
        <v>866</v>
      </c>
    </row>
    <row r="93" spans="2:2">
      <c r="B93">
        <v>886.99999999999989</v>
      </c>
    </row>
    <row r="94" spans="2:2">
      <c r="B94">
        <v>909</v>
      </c>
    </row>
    <row r="95" spans="2:2">
      <c r="B95">
        <v>931</v>
      </c>
    </row>
    <row r="96" spans="2:2">
      <c r="B96">
        <v>952.99999999999989</v>
      </c>
    </row>
    <row r="97" spans="2:2">
      <c r="B97">
        <v>976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BD0D-CC3C-9D49-98D7-7EF532213FDA}">
  <dimension ref="A1:L14"/>
  <sheetViews>
    <sheetView workbookViewId="0">
      <selection activeCell="G20" sqref="G20"/>
    </sheetView>
  </sheetViews>
  <sheetFormatPr baseColWidth="10" defaultRowHeight="16"/>
  <sheetData>
    <row r="1" spans="1:12">
      <c r="E1" s="49">
        <v>200</v>
      </c>
      <c r="F1" s="50"/>
      <c r="G1" s="49">
        <v>100</v>
      </c>
      <c r="H1" s="50"/>
      <c r="I1" s="49">
        <v>50</v>
      </c>
      <c r="J1" s="50"/>
      <c r="K1" s="49">
        <v>20</v>
      </c>
      <c r="L1" s="50"/>
    </row>
    <row r="2" spans="1:12">
      <c r="A2" t="s">
        <v>301</v>
      </c>
      <c r="B2" t="s">
        <v>302</v>
      </c>
      <c r="C2" t="s">
        <v>303</v>
      </c>
      <c r="D2" t="s">
        <v>304</v>
      </c>
      <c r="E2" s="51">
        <v>1</v>
      </c>
      <c r="F2" s="52">
        <v>2</v>
      </c>
      <c r="G2" s="51">
        <v>1</v>
      </c>
      <c r="H2" s="52">
        <v>3</v>
      </c>
      <c r="I2" s="51">
        <v>1</v>
      </c>
      <c r="J2" s="52">
        <v>3</v>
      </c>
      <c r="K2" s="51">
        <v>1</v>
      </c>
      <c r="L2" s="52">
        <v>3</v>
      </c>
    </row>
    <row r="3" spans="1:12">
      <c r="A3" t="s">
        <v>305</v>
      </c>
      <c r="B3" s="44">
        <v>2.9E-4</v>
      </c>
      <c r="E3" s="51"/>
      <c r="G3" s="51"/>
      <c r="I3" s="51"/>
      <c r="K3" s="51"/>
    </row>
    <row r="4" spans="1:12">
      <c r="A4">
        <v>0</v>
      </c>
      <c r="B4" s="44">
        <v>3.6999999999999999E-4</v>
      </c>
      <c r="E4" s="51"/>
      <c r="G4" s="51"/>
      <c r="I4" s="51"/>
      <c r="K4" s="51"/>
    </row>
    <row r="5" spans="1:12">
      <c r="A5">
        <v>2</v>
      </c>
      <c r="B5" s="44">
        <v>6.3000000000000003E-4</v>
      </c>
      <c r="E5" s="53">
        <f>$B5*$E$1*E$2</f>
        <v>0.126</v>
      </c>
      <c r="F5" s="53">
        <f>$B5*$E$1*F$2</f>
        <v>0.252</v>
      </c>
      <c r="G5" s="53">
        <f>$B5*$G$1*G$2</f>
        <v>6.3E-2</v>
      </c>
      <c r="H5" s="53">
        <f>$B5*$G$1*H$2</f>
        <v>0.189</v>
      </c>
      <c r="I5" s="53">
        <f>$B5*$I$1*I$2</f>
        <v>3.15E-2</v>
      </c>
      <c r="J5" s="53">
        <f>$B5*$I$1*J$2</f>
        <v>9.4500000000000001E-2</v>
      </c>
      <c r="K5" s="53">
        <f>$B5*$I$1*K$2</f>
        <v>3.15E-2</v>
      </c>
      <c r="L5" s="53">
        <f>$B5*$I$1*L$2</f>
        <v>9.4500000000000001E-2</v>
      </c>
    </row>
    <row r="6" spans="1:12">
      <c r="A6">
        <v>4</v>
      </c>
      <c r="B6" s="44">
        <v>9.7000000000000005E-4</v>
      </c>
      <c r="E6" s="53">
        <f t="shared" ref="E6:F9" si="0">$B6*$E$1*E$2</f>
        <v>0.19400000000000001</v>
      </c>
      <c r="F6" s="53">
        <f t="shared" si="0"/>
        <v>0.38800000000000001</v>
      </c>
      <c r="G6" s="53">
        <f t="shared" ref="G6:H9" si="1">$B6*$G$1*G$2</f>
        <v>9.7000000000000003E-2</v>
      </c>
      <c r="H6" s="53">
        <f t="shared" si="1"/>
        <v>0.29100000000000004</v>
      </c>
      <c r="I6" s="53">
        <f t="shared" ref="I6:L9" si="2">$B6*$I$1*I$2</f>
        <v>4.8500000000000001E-2</v>
      </c>
      <c r="J6" s="53">
        <f t="shared" si="2"/>
        <v>0.14550000000000002</v>
      </c>
      <c r="K6" s="53">
        <f t="shared" si="2"/>
        <v>4.8500000000000001E-2</v>
      </c>
      <c r="L6" s="53">
        <f t="shared" si="2"/>
        <v>0.14550000000000002</v>
      </c>
    </row>
    <row r="7" spans="1:12">
      <c r="A7">
        <v>6</v>
      </c>
      <c r="B7" s="44">
        <v>1.4400000000000001E-3</v>
      </c>
      <c r="E7" s="53">
        <f t="shared" si="0"/>
        <v>0.28800000000000003</v>
      </c>
      <c r="F7" s="53">
        <f t="shared" si="0"/>
        <v>0.57600000000000007</v>
      </c>
      <c r="G7" s="53">
        <f t="shared" si="1"/>
        <v>0.14400000000000002</v>
      </c>
      <c r="H7" s="53">
        <f t="shared" si="1"/>
        <v>0.43200000000000005</v>
      </c>
      <c r="I7" s="53">
        <f t="shared" si="2"/>
        <v>7.2000000000000008E-2</v>
      </c>
      <c r="J7" s="53">
        <f t="shared" si="2"/>
        <v>0.21600000000000003</v>
      </c>
      <c r="K7" s="53">
        <f t="shared" si="2"/>
        <v>7.2000000000000008E-2</v>
      </c>
      <c r="L7" s="53">
        <f t="shared" si="2"/>
        <v>0.21600000000000003</v>
      </c>
    </row>
    <row r="8" spans="1:12">
      <c r="A8">
        <v>8</v>
      </c>
      <c r="B8" s="44">
        <v>2.5200000000000001E-3</v>
      </c>
      <c r="D8">
        <v>8</v>
      </c>
      <c r="E8" s="53">
        <f t="shared" si="0"/>
        <v>0.504</v>
      </c>
      <c r="F8" s="53">
        <f t="shared" si="0"/>
        <v>1.008</v>
      </c>
      <c r="G8" s="53">
        <f t="shared" si="1"/>
        <v>0.252</v>
      </c>
      <c r="H8" s="53">
        <f t="shared" si="1"/>
        <v>0.75600000000000001</v>
      </c>
      <c r="I8" s="53">
        <f t="shared" si="2"/>
        <v>0.126</v>
      </c>
      <c r="J8" s="53">
        <f t="shared" si="2"/>
        <v>0.378</v>
      </c>
      <c r="K8" s="53">
        <f t="shared" si="2"/>
        <v>0.126</v>
      </c>
      <c r="L8" s="53">
        <f t="shared" si="2"/>
        <v>0.378</v>
      </c>
    </row>
    <row r="9" spans="1:12">
      <c r="A9">
        <v>10</v>
      </c>
      <c r="B9" s="44">
        <v>3.64E-3</v>
      </c>
      <c r="E9" s="53">
        <f t="shared" si="0"/>
        <v>0.72799999999999998</v>
      </c>
      <c r="F9" s="53">
        <f t="shared" si="0"/>
        <v>1.456</v>
      </c>
      <c r="G9" s="53">
        <f t="shared" si="1"/>
        <v>0.36399999999999999</v>
      </c>
      <c r="H9" s="53">
        <f t="shared" si="1"/>
        <v>1.0920000000000001</v>
      </c>
      <c r="I9" s="53">
        <f t="shared" si="2"/>
        <v>0.182</v>
      </c>
      <c r="J9" s="53">
        <f t="shared" si="2"/>
        <v>0.54600000000000004</v>
      </c>
      <c r="K9" s="53">
        <f t="shared" si="2"/>
        <v>0.182</v>
      </c>
      <c r="L9" s="53">
        <f t="shared" si="2"/>
        <v>0.54600000000000004</v>
      </c>
    </row>
    <row r="11" spans="1:12">
      <c r="A11" t="s">
        <v>306</v>
      </c>
    </row>
    <row r="12" spans="1:12">
      <c r="A12" s="54">
        <v>0.01</v>
      </c>
      <c r="B12" s="7">
        <f>12*A12</f>
        <v>0.12</v>
      </c>
      <c r="E12" s="44"/>
    </row>
    <row r="13" spans="1:12">
      <c r="A13" s="54">
        <v>0.03</v>
      </c>
      <c r="B13" s="33">
        <f t="shared" ref="B13:B14" si="3">12*A13</f>
        <v>0.36</v>
      </c>
    </row>
    <row r="14" spans="1:12">
      <c r="A14" s="54">
        <v>0.1</v>
      </c>
      <c r="B14" s="55">
        <f t="shared" si="3"/>
        <v>1.2000000000000002</v>
      </c>
    </row>
  </sheetData>
  <conditionalFormatting sqref="E5:L9">
    <cfRule type="expression" dxfId="2" priority="1" stopIfTrue="1">
      <formula>E5&gt;$B$13</formula>
    </cfRule>
    <cfRule type="expression" dxfId="1" priority="2" stopIfTrue="1">
      <formula>E5&gt;$B$12</formula>
    </cfRule>
    <cfRule type="expression" dxfId="0" priority="3" stopIfTrue="1">
      <formula>E5&lt;=$B$12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Sheet1</vt:lpstr>
      <vt:lpstr>Van Specs</vt:lpstr>
      <vt:lpstr>SofaBed</vt:lpstr>
      <vt:lpstr>Ply</vt:lpstr>
      <vt:lpstr>Electrical</vt:lpstr>
      <vt:lpstr>Circuit</vt:lpstr>
      <vt:lpstr>Resistor</vt:lpstr>
      <vt:lpstr>Cable</vt:lpstr>
      <vt:lpstr>Tanks</vt:lpstr>
      <vt:lpstr>Fans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Kladnig</dc:creator>
  <cp:lastModifiedBy>Adrian Kladnig</cp:lastModifiedBy>
  <dcterms:created xsi:type="dcterms:W3CDTF">2023-11-17T07:37:06Z</dcterms:created>
  <dcterms:modified xsi:type="dcterms:W3CDTF">2025-08-03T05:48:43Z</dcterms:modified>
</cp:coreProperties>
</file>