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k228\Box Sync\!-Research\2018\"/>
    </mc:Choice>
  </mc:AlternateContent>
  <bookViews>
    <workbookView xWindow="0" yWindow="0" windowWidth="18195" windowHeight="6690" activeTab="2"/>
  </bookViews>
  <sheets>
    <sheet name="Reinsurance Contract Data" sheetId="1" r:id="rId1"/>
    <sheet name="Premiums Data" sheetId="3" r:id="rId2"/>
    <sheet name="leverage_ratios" sheetId="4" r:id="rId3"/>
    <sheet name="Sourc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C27" i="3"/>
  <c r="G24" i="4"/>
  <c r="G25" i="4"/>
  <c r="F26" i="3"/>
  <c r="C26" i="3"/>
  <c r="G22" i="4"/>
  <c r="G23" i="4"/>
  <c r="F10" i="3"/>
  <c r="F11" i="3"/>
  <c r="F12" i="3"/>
  <c r="F13" i="3"/>
  <c r="F14" i="3"/>
  <c r="F15" i="3"/>
  <c r="F19" i="3"/>
  <c r="F20" i="3"/>
  <c r="F21" i="3"/>
  <c r="F22" i="3"/>
  <c r="F23" i="3"/>
  <c r="F24" i="3"/>
  <c r="F25" i="3"/>
  <c r="C25" i="3"/>
  <c r="G20" i="4"/>
  <c r="G21" i="4"/>
  <c r="D21" i="4"/>
  <c r="C21" i="4"/>
  <c r="D20" i="4"/>
  <c r="C20" i="4"/>
  <c r="E21" i="4"/>
  <c r="E20" i="4"/>
  <c r="C24" i="3"/>
  <c r="G18" i="4"/>
  <c r="G19" i="4"/>
  <c r="D19" i="4"/>
  <c r="C19" i="4"/>
  <c r="D18" i="4"/>
  <c r="C18" i="4"/>
  <c r="E19" i="4"/>
  <c r="E18" i="4"/>
  <c r="C23" i="3"/>
  <c r="G16" i="4"/>
  <c r="G17" i="4"/>
  <c r="D17" i="4"/>
  <c r="D16" i="4"/>
  <c r="C17" i="4"/>
  <c r="C16" i="4"/>
  <c r="E17" i="4"/>
  <c r="E16" i="4"/>
  <c r="G14" i="4"/>
  <c r="G15" i="4"/>
  <c r="C15" i="4"/>
  <c r="C14" i="4"/>
  <c r="D22" i="3"/>
  <c r="D14" i="3"/>
  <c r="G12" i="4"/>
  <c r="G13" i="4"/>
  <c r="G10" i="4"/>
  <c r="G11" i="4"/>
  <c r="D21" i="3"/>
  <c r="D13" i="3"/>
  <c r="G8" i="4"/>
  <c r="G9" i="4"/>
  <c r="D8" i="4"/>
  <c r="D7" i="4"/>
  <c r="D6" i="4"/>
  <c r="D5" i="4"/>
  <c r="D4" i="4"/>
  <c r="D9" i="4"/>
  <c r="G6" i="4"/>
  <c r="G7" i="4"/>
  <c r="C7" i="4"/>
  <c r="C6" i="4"/>
  <c r="D20" i="3"/>
  <c r="D12" i="3"/>
  <c r="C11" i="3"/>
  <c r="C5" i="4"/>
  <c r="G5" i="4" s="1"/>
  <c r="C4" i="4"/>
  <c r="G4" i="4"/>
  <c r="G3" i="4"/>
  <c r="G2" i="4"/>
  <c r="E14" i="1"/>
  <c r="E13" i="1"/>
  <c r="E12" i="1"/>
  <c r="F3" i="3" l="1"/>
  <c r="F6" i="3"/>
  <c r="F2" i="3"/>
  <c r="D7" i="3"/>
  <c r="F7" i="3" s="1"/>
  <c r="C7" i="3"/>
  <c r="D6" i="3"/>
  <c r="C6" i="3"/>
  <c r="D5" i="3"/>
  <c r="F5" i="3" s="1"/>
  <c r="C5" i="3"/>
  <c r="C4" i="3"/>
  <c r="D4" i="3"/>
  <c r="F4" i="3" s="1"/>
  <c r="G8" i="1"/>
  <c r="E9" i="1"/>
  <c r="E8" i="1"/>
  <c r="G5" i="1"/>
  <c r="G3" i="1"/>
  <c r="G4" i="1"/>
  <c r="G2" i="1"/>
  <c r="E7" i="1"/>
  <c r="E6" i="1"/>
  <c r="G6" i="1" s="1"/>
</calcChain>
</file>

<file path=xl/sharedStrings.xml><?xml version="1.0" encoding="utf-8"?>
<sst xmlns="http://schemas.openxmlformats.org/spreadsheetml/2006/main" count="87" uniqueCount="53">
  <si>
    <t>Year</t>
  </si>
  <si>
    <t>Organization</t>
  </si>
  <si>
    <t>Deductible</t>
  </si>
  <si>
    <t>Premium Ceded (incl commission)</t>
  </si>
  <si>
    <t>Contract Year</t>
  </si>
  <si>
    <t>https://www.sbafla.com/fhcf/Portals/FHCF/6302017_2016_FHCF_AuditedFS.PDF?ver=2017-11-13-095334-887</t>
  </si>
  <si>
    <t>http://www.artemis.bm/blog/2017/06/27/florida-cat-fund-fhcf-renews-1bn-reinsurance-at-reduced-cost/</t>
  </si>
  <si>
    <t>https://www.sbafla.com/fhcf/Home/AuditedFinancials.aspx</t>
  </si>
  <si>
    <t>Texas Windstorm Insurance Association</t>
  </si>
  <si>
    <t>https://www.twia.org/wp-content/uploads/2018/03/TWIA-2017-Annual-Stmt.pdf</t>
  </si>
  <si>
    <t>2017 (second season)</t>
  </si>
  <si>
    <t>2016 (second season)</t>
  </si>
  <si>
    <t>(included in above)?</t>
  </si>
  <si>
    <t>https://www.twia.org/about-us/#community-outreach</t>
  </si>
  <si>
    <t>https://www.twia.org/wp-content/uploads/2017/05/TWIA-2016-STAT-Audited-Statement.pdf</t>
  </si>
  <si>
    <t>Premiums received</t>
  </si>
  <si>
    <t>Reinsurance premiums ceded</t>
  </si>
  <si>
    <t>California Earthquake Authority</t>
  </si>
  <si>
    <t>https://www.earthquakeauthority.com/who-we-are/cea-financial-strength/financial-statements</t>
  </si>
  <si>
    <t>Florida Hurricane Catastrophe Fund</t>
  </si>
  <si>
    <t>ACGL</t>
  </si>
  <si>
    <t>ACGL re</t>
  </si>
  <si>
    <t>ACGL ins</t>
  </si>
  <si>
    <t>UGC/ACGL ceded to Bellemeade Re I</t>
  </si>
  <si>
    <t>UGC/ACGL ceded to Bellemeade Re II</t>
  </si>
  <si>
    <t>UGC/ACGL ceded to Bellemeade Re 2017-1</t>
  </si>
  <si>
    <t>from 10-k</t>
  </si>
  <si>
    <t>Net Premiums</t>
  </si>
  <si>
    <t>Total Shareholders Equity</t>
  </si>
  <si>
    <t>Y</t>
  </si>
  <si>
    <t>units thousands</t>
  </si>
  <si>
    <t>AHL</t>
  </si>
  <si>
    <t>AHL re</t>
  </si>
  <si>
    <t>AHL ins</t>
  </si>
  <si>
    <t>Ceded Premiums</t>
  </si>
  <si>
    <t>AXS</t>
  </si>
  <si>
    <t>AXS re</t>
  </si>
  <si>
    <t>AXS ins</t>
  </si>
  <si>
    <t>ESGR</t>
  </si>
  <si>
    <t>RE</t>
  </si>
  <si>
    <t>RE re</t>
  </si>
  <si>
    <t>RE ins</t>
  </si>
  <si>
    <t>RGA</t>
  </si>
  <si>
    <t>RGA re</t>
  </si>
  <si>
    <t>"CNA"</t>
  </si>
  <si>
    <t>CINF</t>
  </si>
  <si>
    <t>CB</t>
  </si>
  <si>
    <t>Leverage ratio</t>
  </si>
  <si>
    <t>MKL</t>
  </si>
  <si>
    <t>Coverage</t>
  </si>
  <si>
    <t>Premiums Ceded/Coverage Limit</t>
  </si>
  <si>
    <t>Premiums Ceded/Premiums Received</t>
  </si>
  <si>
    <t>10-ks available from SEC EDGAR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</si>
</sst>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2" fillId="0" borderId="0" xfId="0" applyFont="1"/>
    <xf numFmtId="3" fontId="0" fillId="0" borderId="0" xfId="0" applyNumberFormat="1"/>
    <xf numFmtId="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9" sqref="G9"/>
    </sheetView>
  </sheetViews>
  <sheetFormatPr defaultRowHeight="15" x14ac:dyDescent="0.25"/>
  <cols>
    <col min="1" max="1" width="20" bestFit="1" customWidth="1"/>
    <col min="2" max="2" width="36.7109375" bestFit="1" customWidth="1"/>
    <col min="3" max="5" width="19" bestFit="1" customWidth="1"/>
  </cols>
  <sheetData>
    <row r="1" spans="1:8" x14ac:dyDescent="0.25">
      <c r="A1" s="5" t="s">
        <v>4</v>
      </c>
      <c r="B1" s="5" t="s">
        <v>1</v>
      </c>
      <c r="C1" s="5" t="s">
        <v>3</v>
      </c>
      <c r="D1" s="5" t="s">
        <v>2</v>
      </c>
      <c r="E1" s="5" t="s">
        <v>49</v>
      </c>
      <c r="G1" s="5" t="s">
        <v>50</v>
      </c>
    </row>
    <row r="2" spans="1:8" x14ac:dyDescent="0.25">
      <c r="A2">
        <v>2017</v>
      </c>
      <c r="B2" t="s">
        <v>19</v>
      </c>
      <c r="C2" s="2">
        <v>61000000</v>
      </c>
      <c r="D2" s="1">
        <v>11500000000</v>
      </c>
      <c r="E2" s="1">
        <v>12500000000</v>
      </c>
      <c r="G2" s="1">
        <f>C2/(E2-D2)</f>
        <v>6.0999999999999999E-2</v>
      </c>
    </row>
    <row r="3" spans="1:8" x14ac:dyDescent="0.25">
      <c r="A3">
        <v>2016</v>
      </c>
      <c r="B3" t="s">
        <v>19</v>
      </c>
      <c r="C3" s="2">
        <v>62500000</v>
      </c>
      <c r="D3" s="1">
        <v>11500000000</v>
      </c>
      <c r="E3" s="1">
        <v>12500000000</v>
      </c>
      <c r="G3" s="1">
        <f t="shared" ref="G3:G8" si="0">C3/(E3-D3)</f>
        <v>6.25E-2</v>
      </c>
    </row>
    <row r="4" spans="1:8" x14ac:dyDescent="0.25">
      <c r="A4">
        <v>2016</v>
      </c>
      <c r="B4" t="s">
        <v>19</v>
      </c>
      <c r="C4" s="2">
        <v>63500000</v>
      </c>
      <c r="D4" s="1">
        <v>11500000000</v>
      </c>
      <c r="E4" s="1">
        <v>12500000000</v>
      </c>
      <c r="G4" s="1">
        <f t="shared" si="0"/>
        <v>6.3500000000000001E-2</v>
      </c>
    </row>
    <row r="5" spans="1:8" x14ac:dyDescent="0.25">
      <c r="A5">
        <v>2015</v>
      </c>
      <c r="B5" t="s">
        <v>19</v>
      </c>
      <c r="C5" s="2">
        <v>59400000</v>
      </c>
      <c r="D5" s="1">
        <v>12500000000</v>
      </c>
      <c r="E5" s="2">
        <v>13500000000</v>
      </c>
      <c r="G5" s="1">
        <f>C5/(E5-D5)</f>
        <v>5.9400000000000001E-2</v>
      </c>
    </row>
    <row r="6" spans="1:8" x14ac:dyDescent="0.25">
      <c r="A6">
        <v>2017</v>
      </c>
      <c r="B6" t="s">
        <v>8</v>
      </c>
      <c r="C6" s="2">
        <v>103993000</v>
      </c>
      <c r="D6" s="1">
        <v>2800000000</v>
      </c>
      <c r="E6" s="3">
        <f>D6+2100000000</f>
        <v>4900000000</v>
      </c>
      <c r="G6" s="1">
        <f t="shared" si="0"/>
        <v>4.9520476190476191E-2</v>
      </c>
    </row>
    <row r="7" spans="1:8" x14ac:dyDescent="0.25">
      <c r="A7" t="s">
        <v>10</v>
      </c>
      <c r="B7" t="s">
        <v>8</v>
      </c>
      <c r="C7" t="s">
        <v>12</v>
      </c>
      <c r="D7" s="2">
        <v>2000000000</v>
      </c>
      <c r="E7" s="2">
        <f>D7+800000000</f>
        <v>2800000000</v>
      </c>
      <c r="G7" s="1"/>
    </row>
    <row r="8" spans="1:8" x14ac:dyDescent="0.25">
      <c r="A8">
        <v>2016</v>
      </c>
      <c r="B8" t="s">
        <v>8</v>
      </c>
      <c r="C8" s="2">
        <v>126052000</v>
      </c>
      <c r="D8" s="2">
        <v>2700000000</v>
      </c>
      <c r="E8" s="2">
        <f>D8+2200000000</f>
        <v>4900000000</v>
      </c>
      <c r="G8" s="1">
        <f t="shared" si="0"/>
        <v>5.7296363636363638E-2</v>
      </c>
    </row>
    <row r="9" spans="1:8" x14ac:dyDescent="0.25">
      <c r="A9" t="s">
        <v>11</v>
      </c>
      <c r="B9" t="s">
        <v>8</v>
      </c>
      <c r="C9" s="4" t="s">
        <v>12</v>
      </c>
      <c r="D9" s="2">
        <v>2000000000</v>
      </c>
      <c r="E9" s="1">
        <f>D9+700000000</f>
        <v>2700000000</v>
      </c>
      <c r="G9" s="1"/>
    </row>
    <row r="12" spans="1:8" x14ac:dyDescent="0.25">
      <c r="A12">
        <v>2017</v>
      </c>
      <c r="B12" t="s">
        <v>23</v>
      </c>
      <c r="D12" s="2">
        <v>129900</v>
      </c>
      <c r="E12" s="4">
        <f>300000+D12</f>
        <v>429900</v>
      </c>
      <c r="H12" t="s">
        <v>26</v>
      </c>
    </row>
    <row r="13" spans="1:8" x14ac:dyDescent="0.25">
      <c r="A13">
        <v>2017</v>
      </c>
      <c r="B13" t="s">
        <v>24</v>
      </c>
      <c r="D13" s="2">
        <v>646900</v>
      </c>
      <c r="E13" s="4">
        <f>300000+D13</f>
        <v>946900</v>
      </c>
    </row>
    <row r="14" spans="1:8" x14ac:dyDescent="0.25">
      <c r="A14">
        <v>2017</v>
      </c>
      <c r="B14" t="s">
        <v>25</v>
      </c>
      <c r="D14" s="2">
        <v>165700</v>
      </c>
      <c r="E14" s="4">
        <f>368100+D14</f>
        <v>533800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36.7109375" bestFit="1" customWidth="1"/>
    <col min="3" max="3" width="18.42578125" bestFit="1" customWidth="1"/>
    <col min="4" max="4" width="27.7109375" bestFit="1" customWidth="1"/>
  </cols>
  <sheetData>
    <row r="1" spans="1:6" x14ac:dyDescent="0.25">
      <c r="A1" s="5" t="s">
        <v>0</v>
      </c>
      <c r="B1" s="5" t="s">
        <v>1</v>
      </c>
      <c r="C1" s="5" t="s">
        <v>15</v>
      </c>
      <c r="D1" s="5" t="s">
        <v>16</v>
      </c>
      <c r="F1" s="5" t="s">
        <v>51</v>
      </c>
    </row>
    <row r="2" spans="1:6" x14ac:dyDescent="0.25">
      <c r="A2">
        <v>2016</v>
      </c>
      <c r="B2" t="s">
        <v>17</v>
      </c>
      <c r="C2" s="2">
        <v>622956519</v>
      </c>
      <c r="D2" s="2">
        <v>208859963</v>
      </c>
      <c r="F2">
        <f>D2/C2</f>
        <v>0.33527213638485098</v>
      </c>
    </row>
    <row r="3" spans="1:6" x14ac:dyDescent="0.25">
      <c r="A3">
        <v>2015</v>
      </c>
      <c r="B3" t="s">
        <v>17</v>
      </c>
      <c r="C3" s="2">
        <v>631204599</v>
      </c>
      <c r="D3" s="2">
        <v>183988426</v>
      </c>
      <c r="F3">
        <f t="shared" ref="F3:F27" si="0">D3/C3</f>
        <v>0.29148777795898156</v>
      </c>
    </row>
    <row r="4" spans="1:6" x14ac:dyDescent="0.25">
      <c r="A4">
        <v>2017</v>
      </c>
      <c r="B4" t="s">
        <v>19</v>
      </c>
      <c r="C4" s="2">
        <f>1130552*1000</f>
        <v>1130552000</v>
      </c>
      <c r="D4" s="2">
        <f>(57227+5083)*1000</f>
        <v>62310000</v>
      </c>
      <c r="F4">
        <f t="shared" si="0"/>
        <v>5.5114669648101106E-2</v>
      </c>
    </row>
    <row r="5" spans="1:6" x14ac:dyDescent="0.25">
      <c r="A5">
        <v>2016</v>
      </c>
      <c r="B5" t="s">
        <v>19</v>
      </c>
      <c r="C5" s="2">
        <f>1199806*1000</f>
        <v>1199806000</v>
      </c>
      <c r="D5" s="2">
        <f>(53713+5297)*1000</f>
        <v>59010000</v>
      </c>
      <c r="F5">
        <f t="shared" si="0"/>
        <v>4.9182951243784412E-2</v>
      </c>
    </row>
    <row r="6" spans="1:6" x14ac:dyDescent="0.25">
      <c r="A6">
        <v>2016</v>
      </c>
      <c r="B6" t="s">
        <v>8</v>
      </c>
      <c r="C6" s="2">
        <f>496457*1000</f>
        <v>496457000</v>
      </c>
      <c r="D6" s="2">
        <f>126053*1000</f>
        <v>126053000</v>
      </c>
      <c r="F6">
        <f t="shared" si="0"/>
        <v>0.2539051720491402</v>
      </c>
    </row>
    <row r="7" spans="1:6" x14ac:dyDescent="0.25">
      <c r="A7">
        <v>2015</v>
      </c>
      <c r="B7" t="s">
        <v>8</v>
      </c>
      <c r="C7" s="2">
        <f>501722*1000</f>
        <v>501722000</v>
      </c>
      <c r="D7" s="2">
        <f>124128*1000</f>
        <v>124128000</v>
      </c>
      <c r="F7">
        <f t="shared" si="0"/>
        <v>0.2474039408277891</v>
      </c>
    </row>
    <row r="10" spans="1:6" x14ac:dyDescent="0.25">
      <c r="A10">
        <v>2017</v>
      </c>
      <c r="B10" t="s">
        <v>21</v>
      </c>
      <c r="C10" s="6">
        <v>1640399</v>
      </c>
      <c r="D10" s="6">
        <v>465925</v>
      </c>
      <c r="F10">
        <f t="shared" si="0"/>
        <v>0.28403150696873136</v>
      </c>
    </row>
    <row r="11" spans="1:6" x14ac:dyDescent="0.25">
      <c r="A11">
        <v>2017</v>
      </c>
      <c r="B11" t="s">
        <v>29</v>
      </c>
      <c r="C11">
        <f>767.3+4955</f>
        <v>5722.3</v>
      </c>
      <c r="D11">
        <v>767.3</v>
      </c>
      <c r="F11">
        <f t="shared" si="0"/>
        <v>0.13408943956101566</v>
      </c>
    </row>
    <row r="12" spans="1:6" x14ac:dyDescent="0.25">
      <c r="A12">
        <v>2017</v>
      </c>
      <c r="B12" t="s">
        <v>32</v>
      </c>
      <c r="C12" s="7">
        <v>1548.5</v>
      </c>
      <c r="D12" s="7">
        <f>C12-1250</f>
        <v>298.5</v>
      </c>
      <c r="F12">
        <f t="shared" si="0"/>
        <v>0.19276719405876655</v>
      </c>
    </row>
    <row r="13" spans="1:6" x14ac:dyDescent="0.25">
      <c r="A13">
        <v>2017</v>
      </c>
      <c r="B13" t="s">
        <v>36</v>
      </c>
      <c r="C13" s="6">
        <v>2428436</v>
      </c>
      <c r="D13" s="6">
        <f>C13-1939409</f>
        <v>489027</v>
      </c>
      <c r="F13">
        <f t="shared" si="0"/>
        <v>0.20137528845726221</v>
      </c>
    </row>
    <row r="14" spans="1:6" x14ac:dyDescent="0.25">
      <c r="A14">
        <v>2017</v>
      </c>
      <c r="B14" t="s">
        <v>40</v>
      </c>
      <c r="C14" s="6">
        <v>2592972</v>
      </c>
      <c r="D14" s="6">
        <f>C14-2245422</f>
        <v>347550</v>
      </c>
      <c r="F14">
        <f t="shared" si="0"/>
        <v>0.13403538487881858</v>
      </c>
    </row>
    <row r="15" spans="1:6" x14ac:dyDescent="0.25">
      <c r="A15">
        <v>2017</v>
      </c>
      <c r="B15" t="s">
        <v>43</v>
      </c>
      <c r="C15" s="6">
        <v>10642462</v>
      </c>
      <c r="D15" s="6">
        <v>862903</v>
      </c>
      <c r="F15">
        <f t="shared" si="0"/>
        <v>8.1081144569743357E-2</v>
      </c>
    </row>
    <row r="19" spans="1:6" x14ac:dyDescent="0.25">
      <c r="A19">
        <v>2017</v>
      </c>
      <c r="B19" t="s">
        <v>22</v>
      </c>
      <c r="C19" s="6">
        <v>3081086</v>
      </c>
      <c r="D19" s="6">
        <v>958646</v>
      </c>
      <c r="F19">
        <f t="shared" si="0"/>
        <v>0.31113899449739474</v>
      </c>
    </row>
    <row r="20" spans="1:6" x14ac:dyDescent="0.25">
      <c r="A20">
        <v>2017</v>
      </c>
      <c r="B20" t="s">
        <v>33</v>
      </c>
      <c r="C20" s="7">
        <v>1812.4</v>
      </c>
      <c r="D20" s="7">
        <f>C20-962.5</f>
        <v>849.90000000000009</v>
      </c>
      <c r="F20">
        <f t="shared" si="0"/>
        <v>0.46893621717060252</v>
      </c>
    </row>
    <row r="21" spans="1:6" x14ac:dyDescent="0.25">
      <c r="A21">
        <v>2017</v>
      </c>
      <c r="B21" t="s">
        <v>37</v>
      </c>
      <c r="C21" s="6">
        <v>3127837</v>
      </c>
      <c r="D21" s="6">
        <f>C21-2087734</f>
        <v>1040103</v>
      </c>
      <c r="F21">
        <f t="shared" si="0"/>
        <v>0.33253107498888207</v>
      </c>
    </row>
    <row r="22" spans="1:6" x14ac:dyDescent="0.25">
      <c r="A22">
        <v>2017</v>
      </c>
      <c r="B22" t="s">
        <v>41</v>
      </c>
      <c r="C22" s="6">
        <v>2059248</v>
      </c>
      <c r="D22" s="6">
        <f>C22-1630560</f>
        <v>428688</v>
      </c>
      <c r="F22">
        <f t="shared" si="0"/>
        <v>0.2081769655718981</v>
      </c>
    </row>
    <row r="23" spans="1:6" x14ac:dyDescent="0.25">
      <c r="A23">
        <v>2017</v>
      </c>
      <c r="B23" t="s">
        <v>44</v>
      </c>
      <c r="C23">
        <f>7069+4449</f>
        <v>11518</v>
      </c>
      <c r="D23" s="6">
        <v>4449</v>
      </c>
      <c r="F23">
        <f t="shared" si="0"/>
        <v>0.38626497655843028</v>
      </c>
    </row>
    <row r="24" spans="1:6" x14ac:dyDescent="0.25">
      <c r="A24">
        <v>2017</v>
      </c>
      <c r="B24" t="s">
        <v>45</v>
      </c>
      <c r="C24" s="6">
        <f>4840+139</f>
        <v>4979</v>
      </c>
      <c r="D24">
        <v>139</v>
      </c>
      <c r="F24">
        <f t="shared" si="0"/>
        <v>2.79172524603334E-2</v>
      </c>
    </row>
    <row r="25" spans="1:6" x14ac:dyDescent="0.25">
      <c r="A25">
        <v>2017</v>
      </c>
      <c r="B25" t="s">
        <v>46</v>
      </c>
      <c r="C25" s="6">
        <f>29244+7132</f>
        <v>36376</v>
      </c>
      <c r="D25" s="6">
        <v>7132</v>
      </c>
      <c r="F25">
        <f t="shared" si="0"/>
        <v>0.19606333846492194</v>
      </c>
    </row>
    <row r="26" spans="1:6" x14ac:dyDescent="0.25">
      <c r="A26">
        <v>2017</v>
      </c>
      <c r="B26" t="s">
        <v>20</v>
      </c>
      <c r="C26" s="6">
        <f>4961373+1407052</f>
        <v>6368425</v>
      </c>
      <c r="D26" s="6">
        <v>1407052</v>
      </c>
      <c r="F26">
        <f t="shared" si="0"/>
        <v>0.22094191263931034</v>
      </c>
    </row>
    <row r="27" spans="1:6" x14ac:dyDescent="0.25">
      <c r="A27">
        <v>2017</v>
      </c>
      <c r="B27" t="s">
        <v>48</v>
      </c>
      <c r="C27" s="6">
        <f>4417787+1089173</f>
        <v>5506960</v>
      </c>
      <c r="D27" s="6">
        <v>1089173</v>
      </c>
      <c r="F27">
        <f t="shared" si="0"/>
        <v>0.19778117146302135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15" x14ac:dyDescent="0.25"/>
  <cols>
    <col min="2" max="2" width="12.28515625" bestFit="1" customWidth="1"/>
    <col min="3" max="3" width="13.85546875" bestFit="1" customWidth="1"/>
    <col min="4" max="4" width="13.85546875" customWidth="1"/>
    <col min="5" max="5" width="24" bestFit="1" customWidth="1"/>
  </cols>
  <sheetData>
    <row r="1" spans="1:10" x14ac:dyDescent="0.25">
      <c r="A1" s="5" t="s">
        <v>0</v>
      </c>
      <c r="B1" s="5" t="s">
        <v>1</v>
      </c>
      <c r="C1" s="5" t="s">
        <v>27</v>
      </c>
      <c r="D1" s="5" t="s">
        <v>34</v>
      </c>
      <c r="E1" s="5" t="s">
        <v>28</v>
      </c>
      <c r="G1" s="5" t="s">
        <v>47</v>
      </c>
      <c r="J1" s="5" t="s">
        <v>30</v>
      </c>
    </row>
    <row r="2" spans="1:10" x14ac:dyDescent="0.25">
      <c r="A2">
        <v>2017</v>
      </c>
      <c r="B2" t="s">
        <v>20</v>
      </c>
      <c r="C2" s="6">
        <v>4961373</v>
      </c>
      <c r="D2" s="6">
        <v>1407052</v>
      </c>
      <c r="E2" s="6">
        <v>10040013</v>
      </c>
      <c r="G2">
        <f>E2/C2</f>
        <v>2.0236359975353597</v>
      </c>
    </row>
    <row r="3" spans="1:10" x14ac:dyDescent="0.25">
      <c r="A3">
        <v>2016</v>
      </c>
      <c r="B3" t="s">
        <v>20</v>
      </c>
      <c r="C3" s="6">
        <v>4031391</v>
      </c>
      <c r="D3" s="6">
        <v>1170743</v>
      </c>
      <c r="E3" s="6">
        <v>9105572</v>
      </c>
      <c r="G3">
        <f>E3/C3</f>
        <v>2.258667541798848</v>
      </c>
    </row>
    <row r="4" spans="1:10" x14ac:dyDescent="0.25">
      <c r="A4">
        <v>2017</v>
      </c>
      <c r="B4" t="s">
        <v>29</v>
      </c>
      <c r="C4" s="7">
        <f>4965.9*1000</f>
        <v>4965900</v>
      </c>
      <c r="D4" s="7">
        <f>731*1000</f>
        <v>731000</v>
      </c>
      <c r="E4" s="6">
        <v>8514063</v>
      </c>
      <c r="G4">
        <f t="shared" ref="G4:G25" si="0">E4/C4</f>
        <v>1.7145055276989065</v>
      </c>
    </row>
    <row r="5" spans="1:10" x14ac:dyDescent="0.25">
      <c r="A5">
        <v>2016</v>
      </c>
      <c r="B5" t="s">
        <v>29</v>
      </c>
      <c r="C5" s="7">
        <f>5091.8*1000</f>
        <v>5091800</v>
      </c>
      <c r="D5" s="7">
        <f>675.3*1000</f>
        <v>675300</v>
      </c>
      <c r="E5" s="6">
        <v>7939945</v>
      </c>
      <c r="G5">
        <f t="shared" si="0"/>
        <v>1.5593591657174279</v>
      </c>
    </row>
    <row r="6" spans="1:10" x14ac:dyDescent="0.25">
      <c r="A6">
        <v>2017</v>
      </c>
      <c r="B6" t="s">
        <v>31</v>
      </c>
      <c r="C6" s="7">
        <f>2212.5*1000</f>
        <v>2212500</v>
      </c>
      <c r="D6" s="7">
        <f>1148.4*1000</f>
        <v>1148400</v>
      </c>
      <c r="E6" s="6">
        <v>2928500</v>
      </c>
      <c r="G6">
        <f t="shared" si="0"/>
        <v>1.3236158192090395</v>
      </c>
    </row>
    <row r="7" spans="1:10" x14ac:dyDescent="0.25">
      <c r="A7">
        <v>2016</v>
      </c>
      <c r="B7" t="s">
        <v>31</v>
      </c>
      <c r="C7" s="7">
        <f>2593.7*1000</f>
        <v>2593700</v>
      </c>
      <c r="D7">
        <f>553.3*1000</f>
        <v>553300</v>
      </c>
      <c r="E7" s="6">
        <v>3648300</v>
      </c>
      <c r="G7">
        <f t="shared" si="0"/>
        <v>1.4066006091683696</v>
      </c>
    </row>
    <row r="8" spans="1:10" x14ac:dyDescent="0.25">
      <c r="A8">
        <v>2017</v>
      </c>
      <c r="B8" t="s">
        <v>35</v>
      </c>
      <c r="C8" s="6">
        <v>4027143</v>
      </c>
      <c r="D8" s="6">
        <f>1529130</f>
        <v>1529130</v>
      </c>
      <c r="E8" s="6">
        <v>5341264</v>
      </c>
      <c r="G8">
        <f t="shared" si="0"/>
        <v>1.3263159515318925</v>
      </c>
    </row>
    <row r="9" spans="1:10" x14ac:dyDescent="0.25">
      <c r="A9">
        <v>2016</v>
      </c>
      <c r="B9" t="s">
        <v>35</v>
      </c>
      <c r="C9" s="6">
        <v>3752974</v>
      </c>
      <c r="D9" s="6">
        <f>1217234</f>
        <v>1217234</v>
      </c>
      <c r="E9" s="6">
        <v>6272370</v>
      </c>
      <c r="G9">
        <f t="shared" si="0"/>
        <v>1.6713065424913682</v>
      </c>
    </row>
    <row r="10" spans="1:10" x14ac:dyDescent="0.25">
      <c r="A10">
        <v>2017</v>
      </c>
      <c r="B10" t="s">
        <v>38</v>
      </c>
      <c r="C10" s="6">
        <v>610390</v>
      </c>
      <c r="D10" s="6">
        <v>458063</v>
      </c>
      <c r="E10" s="6">
        <v>3145948</v>
      </c>
      <c r="G10">
        <f t="shared" si="0"/>
        <v>5.1539966251085367</v>
      </c>
    </row>
    <row r="11" spans="1:10" x14ac:dyDescent="0.25">
      <c r="A11">
        <v>2016</v>
      </c>
      <c r="B11" t="s">
        <v>38</v>
      </c>
      <c r="C11" s="6">
        <v>803936</v>
      </c>
      <c r="D11" s="6">
        <v>218406</v>
      </c>
      <c r="E11" s="6">
        <v>2810832</v>
      </c>
      <c r="G11">
        <f t="shared" si="0"/>
        <v>3.4963380169565736</v>
      </c>
    </row>
    <row r="12" spans="1:10" x14ac:dyDescent="0.25">
      <c r="A12">
        <v>2017</v>
      </c>
      <c r="B12" t="s">
        <v>39</v>
      </c>
      <c r="C12" s="6">
        <v>6244661</v>
      </c>
      <c r="D12" s="6">
        <v>929261</v>
      </c>
      <c r="E12" s="6">
        <v>8369232</v>
      </c>
      <c r="G12">
        <f t="shared" si="0"/>
        <v>1.3402219912337916</v>
      </c>
    </row>
    <row r="13" spans="1:10" x14ac:dyDescent="0.25">
      <c r="A13">
        <v>2016</v>
      </c>
      <c r="B13" t="s">
        <v>39</v>
      </c>
      <c r="C13" s="6">
        <v>5270905</v>
      </c>
      <c r="D13" s="6">
        <v>762969</v>
      </c>
      <c r="E13" s="6">
        <v>8075396</v>
      </c>
      <c r="G13">
        <f t="shared" si="0"/>
        <v>1.5320701094024651</v>
      </c>
    </row>
    <row r="14" spans="1:10" x14ac:dyDescent="0.25">
      <c r="A14">
        <v>2017</v>
      </c>
      <c r="B14" t="s">
        <v>42</v>
      </c>
      <c r="C14" s="6">
        <f>61571+10642462</f>
        <v>10704033</v>
      </c>
      <c r="D14" s="6">
        <v>862903</v>
      </c>
      <c r="E14" s="6">
        <v>9569535</v>
      </c>
      <c r="G14">
        <f t="shared" si="0"/>
        <v>0.89401209805687254</v>
      </c>
    </row>
    <row r="15" spans="1:10" x14ac:dyDescent="0.25">
      <c r="A15">
        <v>2016</v>
      </c>
      <c r="B15" t="s">
        <v>42</v>
      </c>
      <c r="C15" s="6">
        <f>57562+10049587</f>
        <v>10107149</v>
      </c>
      <c r="D15" s="6">
        <v>858278</v>
      </c>
      <c r="E15" s="6">
        <v>7093082</v>
      </c>
      <c r="G15">
        <f t="shared" si="0"/>
        <v>0.70178860527335651</v>
      </c>
    </row>
    <row r="16" spans="1:10" x14ac:dyDescent="0.25">
      <c r="A16">
        <v>2017</v>
      </c>
      <c r="B16" t="s">
        <v>44</v>
      </c>
      <c r="C16" s="6">
        <f>7069*1000</f>
        <v>7069000</v>
      </c>
      <c r="D16" s="6">
        <f>4449*1000</f>
        <v>4449000</v>
      </c>
      <c r="E16" s="6">
        <f>12244*1000</f>
        <v>12244000</v>
      </c>
      <c r="G16">
        <f t="shared" si="0"/>
        <v>1.7320695996604896</v>
      </c>
    </row>
    <row r="17" spans="1:7" x14ac:dyDescent="0.25">
      <c r="A17">
        <v>2016</v>
      </c>
      <c r="B17" t="s">
        <v>44</v>
      </c>
      <c r="C17" s="6">
        <f>6988*1000</f>
        <v>6988000</v>
      </c>
      <c r="D17" s="6">
        <f>4255*1000</f>
        <v>4255000</v>
      </c>
      <c r="E17" s="6">
        <f>11969*1000</f>
        <v>11969000</v>
      </c>
      <c r="G17">
        <f t="shared" si="0"/>
        <v>1.7127933600457927</v>
      </c>
    </row>
    <row r="18" spans="1:7" x14ac:dyDescent="0.25">
      <c r="A18">
        <v>2017</v>
      </c>
      <c r="B18" t="s">
        <v>45</v>
      </c>
      <c r="C18" s="6">
        <f>4840*1000</f>
        <v>4840000</v>
      </c>
      <c r="D18">
        <f>139*1000</f>
        <v>139000</v>
      </c>
      <c r="E18" s="6">
        <f>8243*1000</f>
        <v>8243000</v>
      </c>
      <c r="G18">
        <f t="shared" si="0"/>
        <v>1.7030991735537191</v>
      </c>
    </row>
    <row r="19" spans="1:7" x14ac:dyDescent="0.25">
      <c r="A19">
        <v>2016</v>
      </c>
      <c r="B19" t="s">
        <v>45</v>
      </c>
      <c r="C19" s="6">
        <f>4580*1000</f>
        <v>4580000</v>
      </c>
      <c r="D19">
        <f>169*1000</f>
        <v>169000</v>
      </c>
      <c r="E19" s="6">
        <f>7060*1000</f>
        <v>7060000</v>
      </c>
      <c r="G19">
        <f t="shared" si="0"/>
        <v>1.5414847161572052</v>
      </c>
    </row>
    <row r="20" spans="1:7" x14ac:dyDescent="0.25">
      <c r="A20">
        <v>2017</v>
      </c>
      <c r="B20" t="s">
        <v>46</v>
      </c>
      <c r="C20" s="6">
        <f>29244*1000</f>
        <v>29244000</v>
      </c>
      <c r="D20" s="6">
        <f>7132*1000</f>
        <v>7132000</v>
      </c>
      <c r="E20" s="6">
        <f>51172*1000</f>
        <v>51172000</v>
      </c>
      <c r="G20">
        <f t="shared" si="0"/>
        <v>1.7498290247572152</v>
      </c>
    </row>
    <row r="21" spans="1:7" x14ac:dyDescent="0.25">
      <c r="A21">
        <v>2016</v>
      </c>
      <c r="B21" t="s">
        <v>46</v>
      </c>
      <c r="C21" s="6">
        <f>28145*1000</f>
        <v>28145000</v>
      </c>
      <c r="D21" s="6">
        <f>6838*1000</f>
        <v>6838000</v>
      </c>
      <c r="E21" s="6">
        <f>48275*1000</f>
        <v>48275000</v>
      </c>
      <c r="G21">
        <f t="shared" si="0"/>
        <v>1.7152247290815421</v>
      </c>
    </row>
    <row r="22" spans="1:7" x14ac:dyDescent="0.25">
      <c r="A22">
        <v>2017</v>
      </c>
      <c r="B22" t="s">
        <v>20</v>
      </c>
      <c r="C22" s="6">
        <v>4961373</v>
      </c>
      <c r="D22" s="6">
        <v>1407052</v>
      </c>
      <c r="E22" s="6">
        <v>10040013</v>
      </c>
      <c r="G22">
        <f t="shared" si="0"/>
        <v>2.0236359975353597</v>
      </c>
    </row>
    <row r="23" spans="1:7" x14ac:dyDescent="0.25">
      <c r="A23">
        <v>2016</v>
      </c>
      <c r="B23" t="s">
        <v>20</v>
      </c>
      <c r="C23" s="6">
        <v>4031391</v>
      </c>
      <c r="D23" s="6">
        <v>1170743</v>
      </c>
      <c r="E23" s="6">
        <v>9105572</v>
      </c>
      <c r="G23">
        <f t="shared" si="0"/>
        <v>2.258667541798848</v>
      </c>
    </row>
    <row r="24" spans="1:7" x14ac:dyDescent="0.25">
      <c r="A24">
        <v>2017</v>
      </c>
      <c r="B24" t="s">
        <v>48</v>
      </c>
      <c r="C24" s="6">
        <v>4417787</v>
      </c>
      <c r="D24" s="6">
        <v>1089173</v>
      </c>
      <c r="E24" s="6">
        <v>9501581</v>
      </c>
      <c r="G24">
        <f t="shared" si="0"/>
        <v>2.1507557969635025</v>
      </c>
    </row>
    <row r="25" spans="1:7" x14ac:dyDescent="0.25">
      <c r="A25">
        <v>2016</v>
      </c>
      <c r="B25" t="s">
        <v>48</v>
      </c>
      <c r="C25" s="6">
        <v>4001020</v>
      </c>
      <c r="D25" s="6">
        <v>795625</v>
      </c>
      <c r="E25" s="6">
        <v>8467411</v>
      </c>
      <c r="G25">
        <f t="shared" si="0"/>
        <v>2.1163130901620089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3" sqref="B13"/>
    </sheetView>
  </sheetViews>
  <sheetFormatPr defaultRowHeight="15" x14ac:dyDescent="0.25"/>
  <sheetData>
    <row r="2" spans="2:2" x14ac:dyDescent="0.25">
      <c r="B2" t="s">
        <v>7</v>
      </c>
    </row>
    <row r="3" spans="2:2" x14ac:dyDescent="0.25">
      <c r="B3" t="s">
        <v>5</v>
      </c>
    </row>
    <row r="4" spans="2:2" x14ac:dyDescent="0.25">
      <c r="B4" t="s">
        <v>6</v>
      </c>
    </row>
    <row r="6" spans="2:2" x14ac:dyDescent="0.25">
      <c r="B6" t="s">
        <v>13</v>
      </c>
    </row>
    <row r="7" spans="2:2" x14ac:dyDescent="0.25">
      <c r="B7" t="s">
        <v>9</v>
      </c>
    </row>
    <row r="8" spans="2:2" x14ac:dyDescent="0.25">
      <c r="B8" t="s">
        <v>14</v>
      </c>
    </row>
    <row r="10" spans="2:2" x14ac:dyDescent="0.25">
      <c r="B10" t="s">
        <v>18</v>
      </c>
    </row>
    <row r="12" spans="2:2" x14ac:dyDescent="0.25">
      <c r="B1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Reinsurance Contract Data</vt:lpstr>
      <vt:lpstr>Premiums Data</vt:lpstr>
      <vt:lpstr>leverage_ratios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Ariah Aram Klages-Mundt</dc:creator>
  <cp:lastModifiedBy>Ariah Aram Klages-Mundt</cp:lastModifiedBy>
  <dcterms:created xsi:type="dcterms:W3CDTF">2018-03-28T18:59:07Z</dcterms:created>
  <dcterms:modified xsi:type="dcterms:W3CDTF">2018-05-21T18:03:08Z</dcterms:modified>
</cp:coreProperties>
</file>