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volatileDependencies.xml" ContentType="application/vnd.openxmlformats-officedocument.spreadsheetml.volatileDependenc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40" yWindow="1950" windowWidth="28515" windowHeight="123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Z38" i="2"/>
  <c r="AL38" s="1"/>
  <c r="AB38"/>
  <c r="Z39"/>
  <c r="AB39" s="1"/>
  <c r="Z40"/>
  <c r="AL40" s="1"/>
  <c r="Z41"/>
  <c r="AC41" s="1"/>
  <c r="AB41"/>
  <c r="AJ41"/>
  <c r="Z42"/>
  <c r="AB42"/>
  <c r="AC42"/>
  <c r="AJ42"/>
  <c r="AL42"/>
  <c r="Z43"/>
  <c r="AB43" s="1"/>
  <c r="AC43"/>
  <c r="Z44"/>
  <c r="AL44" s="1"/>
  <c r="AC44"/>
  <c r="Z45"/>
  <c r="AC45" s="1"/>
  <c r="Z46"/>
  <c r="AC46" s="1"/>
  <c r="AL46"/>
  <c r="Z47"/>
  <c r="AB47" s="1"/>
  <c r="Z48"/>
  <c r="AL48" s="1"/>
  <c r="Z49"/>
  <c r="AC49" s="1"/>
  <c r="AB49"/>
  <c r="AJ49"/>
  <c r="AL49"/>
  <c r="Z16"/>
  <c r="AL16" s="1"/>
  <c r="AB16"/>
  <c r="Z17"/>
  <c r="AB17" s="1"/>
  <c r="Z18"/>
  <c r="AL18" s="1"/>
  <c r="Z19"/>
  <c r="AC19" s="1"/>
  <c r="Z20"/>
  <c r="AL20" s="1"/>
  <c r="AB20"/>
  <c r="AC20"/>
  <c r="Z21"/>
  <c r="AB21" s="1"/>
  <c r="AC21"/>
  <c r="Z22"/>
  <c r="AL22" s="1"/>
  <c r="Z23"/>
  <c r="AC23" s="1"/>
  <c r="Z24"/>
  <c r="AC24" s="1"/>
  <c r="AL24"/>
  <c r="Z25"/>
  <c r="AB25" s="1"/>
  <c r="Z26"/>
  <c r="AL26" s="1"/>
  <c r="Z27"/>
  <c r="AC27" s="1"/>
  <c r="Z28"/>
  <c r="AB28"/>
  <c r="AC28"/>
  <c r="AJ28"/>
  <c r="AL28"/>
  <c r="Z29"/>
  <c r="AB29" s="1"/>
  <c r="AC29"/>
  <c r="Z30"/>
  <c r="AL30" s="1"/>
  <c r="Z31"/>
  <c r="AC31" s="1"/>
  <c r="Z32"/>
  <c r="AJ32" s="1"/>
  <c r="AL32"/>
  <c r="Z33"/>
  <c r="AB33" s="1"/>
  <c r="AL33"/>
  <c r="Z34"/>
  <c r="AL34" s="1"/>
  <c r="Z35"/>
  <c r="AC35" s="1"/>
  <c r="Z36"/>
  <c r="AL36" s="1"/>
  <c r="AB36"/>
  <c r="AC36"/>
  <c r="AJ36"/>
  <c r="Z37"/>
  <c r="AB37" s="1"/>
  <c r="AC37"/>
  <c r="Z15"/>
  <c r="AL15" s="1"/>
  <c r="Z16" i="1"/>
  <c r="AL16" s="1"/>
  <c r="Z17"/>
  <c r="AJ17"/>
  <c r="AL17"/>
  <c r="Z18"/>
  <c r="AJ18" s="1"/>
  <c r="Z19"/>
  <c r="AJ19" s="1"/>
  <c r="Z20"/>
  <c r="AL20" s="1"/>
  <c r="Z21"/>
  <c r="AL21" s="1"/>
  <c r="AJ21"/>
  <c r="Z22"/>
  <c r="AL22" s="1"/>
  <c r="AJ22"/>
  <c r="Z23"/>
  <c r="Z24"/>
  <c r="AL24" s="1"/>
  <c r="Z25"/>
  <c r="AL25" s="1"/>
  <c r="AJ25"/>
  <c r="Z26"/>
  <c r="Z27"/>
  <c r="AJ27" s="1"/>
  <c r="AL27"/>
  <c r="Z28"/>
  <c r="AJ28" s="1"/>
  <c r="AL28"/>
  <c r="Z29"/>
  <c r="AL29" s="1"/>
  <c r="Z30"/>
  <c r="AL30" s="1"/>
  <c r="Z31"/>
  <c r="Z32"/>
  <c r="AL32" s="1"/>
  <c r="AJ32"/>
  <c r="Z33"/>
  <c r="AL33" s="1"/>
  <c r="Z34"/>
  <c r="Z35"/>
  <c r="AJ35" s="1"/>
  <c r="Z36"/>
  <c r="AJ36"/>
  <c r="AL36"/>
  <c r="Z37"/>
  <c r="AL37" s="1"/>
  <c r="AJ37"/>
  <c r="Z38"/>
  <c r="AL38" s="1"/>
  <c r="AJ38"/>
  <c r="Z39"/>
  <c r="Z40"/>
  <c r="AL40" s="1"/>
  <c r="AJ40"/>
  <c r="Z41"/>
  <c r="AL41" s="1"/>
  <c r="AJ41"/>
  <c r="Z42"/>
  <c r="Z43"/>
  <c r="AJ43" s="1"/>
  <c r="AL43"/>
  <c r="Z44"/>
  <c r="AL44" s="1"/>
  <c r="AJ44"/>
  <c r="Z45"/>
  <c r="AL45" s="1"/>
  <c r="Z46"/>
  <c r="AL46" s="1"/>
  <c r="Z47"/>
  <c r="Z48"/>
  <c r="AL48" s="1"/>
  <c r="Z49"/>
  <c r="AL49" s="1"/>
  <c r="Z50"/>
  <c r="Z51"/>
  <c r="AJ51" s="1"/>
  <c r="AL51"/>
  <c r="Z52"/>
  <c r="AJ52" s="1"/>
  <c r="Z53"/>
  <c r="AL53" s="1"/>
  <c r="AJ53"/>
  <c r="Z54"/>
  <c r="AJ54"/>
  <c r="AL54"/>
  <c r="Z55"/>
  <c r="Z56"/>
  <c r="AL56" s="1"/>
  <c r="AJ56"/>
  <c r="Z57"/>
  <c r="AL57" s="1"/>
  <c r="AJ57"/>
  <c r="Z58"/>
  <c r="Z59"/>
  <c r="AJ59" s="1"/>
  <c r="AL59"/>
  <c r="Z60"/>
  <c r="AL60" s="1"/>
  <c r="AJ60"/>
  <c r="Z61"/>
  <c r="AL61" s="1"/>
  <c r="Z62"/>
  <c r="AJ62"/>
  <c r="AL62"/>
  <c r="Z63"/>
  <c r="Z64"/>
  <c r="AL64" s="1"/>
  <c r="Z65"/>
  <c r="AL65" s="1"/>
  <c r="Z66"/>
  <c r="Z67"/>
  <c r="AJ67" s="1"/>
  <c r="Z68"/>
  <c r="AJ68" s="1"/>
  <c r="Z69"/>
  <c r="AL69" s="1"/>
  <c r="AJ69"/>
  <c r="Z70"/>
  <c r="AL70" s="1"/>
  <c r="AJ70"/>
  <c r="Z71"/>
  <c r="AL71" s="1"/>
  <c r="Z72"/>
  <c r="AL72" s="1"/>
  <c r="AJ72"/>
  <c r="Z73"/>
  <c r="AJ73"/>
  <c r="AL73"/>
  <c r="Z74"/>
  <c r="Z75"/>
  <c r="AJ75" s="1"/>
  <c r="AL75"/>
  <c r="Z76"/>
  <c r="AL76" s="1"/>
  <c r="AJ76"/>
  <c r="Z77"/>
  <c r="AL77" s="1"/>
  <c r="AJ77"/>
  <c r="Z78"/>
  <c r="AJ78" s="1"/>
  <c r="Z79"/>
  <c r="AL79"/>
  <c r="Z80"/>
  <c r="AL80" s="1"/>
  <c r="AJ80"/>
  <c r="Z81"/>
  <c r="AL81" s="1"/>
  <c r="AJ81"/>
  <c r="Z82"/>
  <c r="Z83"/>
  <c r="AL83" s="1"/>
  <c r="AL15"/>
  <c r="Z15"/>
  <c r="H4" i="2"/>
  <c r="D7"/>
  <c r="E15"/>
  <c r="M15"/>
  <c r="E16"/>
  <c r="M16"/>
  <c r="E17"/>
  <c r="M17"/>
  <c r="E18"/>
  <c r="M18"/>
  <c r="E19"/>
  <c r="M19"/>
  <c r="E20"/>
  <c r="M20"/>
  <c r="E21"/>
  <c r="M21"/>
  <c r="E22"/>
  <c r="M22"/>
  <c r="E23"/>
  <c r="M23"/>
  <c r="E24"/>
  <c r="M24"/>
  <c r="E25"/>
  <c r="M25"/>
  <c r="E26"/>
  <c r="M26"/>
  <c r="E27"/>
  <c r="M27"/>
  <c r="E28"/>
  <c r="M28"/>
  <c r="E29"/>
  <c r="M29"/>
  <c r="E30"/>
  <c r="M30"/>
  <c r="E31"/>
  <c r="M31"/>
  <c r="E32"/>
  <c r="M32"/>
  <c r="E33"/>
  <c r="M33"/>
  <c r="E34"/>
  <c r="M34"/>
  <c r="E35"/>
  <c r="M35"/>
  <c r="E36"/>
  <c r="M36"/>
  <c r="E37"/>
  <c r="M37"/>
  <c r="E38"/>
  <c r="M38"/>
  <c r="E39"/>
  <c r="M39"/>
  <c r="E40"/>
  <c r="M40"/>
  <c r="E41"/>
  <c r="M41"/>
  <c r="E42"/>
  <c r="M42"/>
  <c r="E43"/>
  <c r="M43"/>
  <c r="E44"/>
  <c r="M44"/>
  <c r="E45"/>
  <c r="M45"/>
  <c r="E46"/>
  <c r="M46"/>
  <c r="E47"/>
  <c r="M47"/>
  <c r="E48"/>
  <c r="M48"/>
  <c r="E49"/>
  <c r="M49"/>
  <c r="E54"/>
  <c r="M54"/>
  <c r="E55"/>
  <c r="M55"/>
  <c r="E56"/>
  <c r="M56"/>
  <c r="E57"/>
  <c r="M57"/>
  <c r="E58"/>
  <c r="M58"/>
  <c r="E59"/>
  <c r="M59"/>
  <c r="E60"/>
  <c r="M60"/>
  <c r="E61"/>
  <c r="M61"/>
  <c r="E62"/>
  <c r="M62"/>
  <c r="E63"/>
  <c r="M63"/>
  <c r="E64"/>
  <c r="M64"/>
  <c r="E65"/>
  <c r="M65"/>
  <c r="E66"/>
  <c r="M66"/>
  <c r="E67"/>
  <c r="M67"/>
  <c r="E68"/>
  <c r="M68"/>
  <c r="E69"/>
  <c r="M69"/>
  <c r="E70"/>
  <c r="M70"/>
  <c r="E71"/>
  <c r="M71"/>
  <c r="E72"/>
  <c r="M72"/>
  <c r="E73"/>
  <c r="M73"/>
  <c r="E74"/>
  <c r="M74"/>
  <c r="E75"/>
  <c r="M75"/>
  <c r="E76"/>
  <c r="M76"/>
  <c r="E77"/>
  <c r="M77"/>
  <c r="E78"/>
  <c r="M78"/>
  <c r="E79"/>
  <c r="M79"/>
  <c r="E80"/>
  <c r="M80"/>
  <c r="E81"/>
  <c r="M81"/>
  <c r="E82"/>
  <c r="M82"/>
  <c r="E83"/>
  <c r="M83"/>
  <c r="E86"/>
  <c r="M86"/>
  <c r="E87"/>
  <c r="M87"/>
  <c r="E88"/>
  <c r="M88"/>
  <c r="E89"/>
  <c r="M89"/>
  <c r="E90"/>
  <c r="M90"/>
  <c r="E91"/>
  <c r="M91"/>
  <c r="E92"/>
  <c r="M92"/>
  <c r="E93"/>
  <c r="M93"/>
  <c r="E94"/>
  <c r="M94"/>
  <c r="E95"/>
  <c r="M95"/>
  <c r="E96"/>
  <c r="M96"/>
  <c r="E97"/>
  <c r="M97"/>
  <c r="E98"/>
  <c r="M98"/>
  <c r="E99"/>
  <c r="M99"/>
  <c r="E100"/>
  <c r="M100"/>
  <c r="E101"/>
  <c r="M101"/>
  <c r="E102"/>
  <c r="M102"/>
  <c r="E103"/>
  <c r="M103"/>
  <c r="E104"/>
  <c r="M104"/>
  <c r="E105"/>
  <c r="M105"/>
  <c r="E106"/>
  <c r="M106"/>
  <c r="E107"/>
  <c r="M107"/>
  <c r="E108"/>
  <c r="M108"/>
  <c r="E109"/>
  <c r="M109"/>
  <c r="E110"/>
  <c r="M110"/>
  <c r="E111"/>
  <c r="M111"/>
  <c r="E112"/>
  <c r="M112"/>
  <c r="E113"/>
  <c r="M113"/>
  <c r="E114"/>
  <c r="M114"/>
  <c r="E115"/>
  <c r="M115"/>
  <c r="E116"/>
  <c r="M116"/>
  <c r="E117"/>
  <c r="M117"/>
  <c r="E118"/>
  <c r="M118"/>
  <c r="E122"/>
  <c r="M122"/>
  <c r="E123"/>
  <c r="M123"/>
  <c r="E124"/>
  <c r="M124"/>
  <c r="E125"/>
  <c r="M125"/>
  <c r="E126"/>
  <c r="M126"/>
  <c r="E127"/>
  <c r="M127"/>
  <c r="E128"/>
  <c r="M128"/>
  <c r="E129"/>
  <c r="M129"/>
  <c r="E130"/>
  <c r="M130"/>
  <c r="E131"/>
  <c r="M131"/>
  <c r="E132"/>
  <c r="M132"/>
  <c r="E133"/>
  <c r="M133"/>
  <c r="E134"/>
  <c r="M134"/>
  <c r="E135"/>
  <c r="M135"/>
  <c r="E136"/>
  <c r="M136"/>
  <c r="E139"/>
  <c r="M139"/>
  <c r="E140"/>
  <c r="M140"/>
  <c r="E141"/>
  <c r="M141"/>
  <c r="E142"/>
  <c r="M142"/>
  <c r="E143"/>
  <c r="M143"/>
  <c r="E144"/>
  <c r="M144"/>
  <c r="E145"/>
  <c r="M145"/>
  <c r="E146"/>
  <c r="M146"/>
  <c r="E147"/>
  <c r="M147"/>
  <c r="E148"/>
  <c r="M148"/>
  <c r="E149"/>
  <c r="M149"/>
  <c r="E150"/>
  <c r="M150"/>
  <c r="E151"/>
  <c r="M151"/>
  <c r="E152"/>
  <c r="M152"/>
  <c r="G4"/>
  <c r="C7"/>
  <c r="D15"/>
  <c r="L15"/>
  <c r="D16"/>
  <c r="L16"/>
  <c r="D17"/>
  <c r="L17"/>
  <c r="D18"/>
  <c r="L18"/>
  <c r="D19"/>
  <c r="L19"/>
  <c r="D20"/>
  <c r="L20"/>
  <c r="D21"/>
  <c r="L21"/>
  <c r="D22"/>
  <c r="L22"/>
  <c r="D23"/>
  <c r="L23"/>
  <c r="D24"/>
  <c r="L24"/>
  <c r="D25"/>
  <c r="L25"/>
  <c r="D26"/>
  <c r="L26"/>
  <c r="D27"/>
  <c r="L27"/>
  <c r="D28"/>
  <c r="L28"/>
  <c r="D29"/>
  <c r="L29"/>
  <c r="D30"/>
  <c r="L30"/>
  <c r="D31"/>
  <c r="L31"/>
  <c r="D32"/>
  <c r="L32"/>
  <c r="D33"/>
  <c r="L33"/>
  <c r="D34"/>
  <c r="L34"/>
  <c r="D35"/>
  <c r="L35"/>
  <c r="D36"/>
  <c r="L36"/>
  <c r="D37"/>
  <c r="L37"/>
  <c r="D38"/>
  <c r="L38"/>
  <c r="D39"/>
  <c r="L39"/>
  <c r="D40"/>
  <c r="L40"/>
  <c r="D41"/>
  <c r="L41"/>
  <c r="D42"/>
  <c r="L42"/>
  <c r="D43"/>
  <c r="L43"/>
  <c r="D44"/>
  <c r="L44"/>
  <c r="D45"/>
  <c r="L45"/>
  <c r="D46"/>
  <c r="L46"/>
  <c r="D47"/>
  <c r="L47"/>
  <c r="D48"/>
  <c r="L48"/>
  <c r="D49"/>
  <c r="L49"/>
  <c r="D54"/>
  <c r="L54"/>
  <c r="D55"/>
  <c r="L55"/>
  <c r="D56"/>
  <c r="L56"/>
  <c r="D57"/>
  <c r="L57"/>
  <c r="D58"/>
  <c r="L58"/>
  <c r="D59"/>
  <c r="L59"/>
  <c r="D60"/>
  <c r="L60"/>
  <c r="D61"/>
  <c r="L61"/>
  <c r="D62"/>
  <c r="L62"/>
  <c r="D63"/>
  <c r="L63"/>
  <c r="D64"/>
  <c r="L64"/>
  <c r="D65"/>
  <c r="L65"/>
  <c r="D66"/>
  <c r="L66"/>
  <c r="D67"/>
  <c r="L67"/>
  <c r="D68"/>
  <c r="L68"/>
  <c r="D69"/>
  <c r="L69"/>
  <c r="D70"/>
  <c r="L70"/>
  <c r="D71"/>
  <c r="L71"/>
  <c r="D72"/>
  <c r="L72"/>
  <c r="D73"/>
  <c r="L73"/>
  <c r="D74"/>
  <c r="L74"/>
  <c r="D75"/>
  <c r="L75"/>
  <c r="D76"/>
  <c r="L76"/>
  <c r="D77"/>
  <c r="L77"/>
  <c r="D78"/>
  <c r="L78"/>
  <c r="D79"/>
  <c r="L79"/>
  <c r="D80"/>
  <c r="L80"/>
  <c r="D81"/>
  <c r="L81"/>
  <c r="D82"/>
  <c r="L82"/>
  <c r="D83"/>
  <c r="L83"/>
  <c r="D86"/>
  <c r="L86"/>
  <c r="D87"/>
  <c r="L87"/>
  <c r="D88"/>
  <c r="L88"/>
  <c r="D89"/>
  <c r="L89"/>
  <c r="D90"/>
  <c r="L90"/>
  <c r="D91"/>
  <c r="L91"/>
  <c r="D92"/>
  <c r="L92"/>
  <c r="D93"/>
  <c r="L93"/>
  <c r="D94"/>
  <c r="L94"/>
  <c r="D95"/>
  <c r="L95"/>
  <c r="D96"/>
  <c r="L96"/>
  <c r="D97"/>
  <c r="L97"/>
  <c r="D98"/>
  <c r="L98"/>
  <c r="D99"/>
  <c r="L99"/>
  <c r="D100"/>
  <c r="L100"/>
  <c r="D101"/>
  <c r="L101"/>
  <c r="D102"/>
  <c r="L102"/>
  <c r="D103"/>
  <c r="L103"/>
  <c r="D104"/>
  <c r="L104"/>
  <c r="D105"/>
  <c r="L105"/>
  <c r="D106"/>
  <c r="L106"/>
  <c r="D107"/>
  <c r="L107"/>
  <c r="D108"/>
  <c r="L108"/>
  <c r="D109"/>
  <c r="L109"/>
  <c r="D110"/>
  <c r="L110"/>
  <c r="D111"/>
  <c r="L111"/>
  <c r="D112"/>
  <c r="L112"/>
  <c r="D113"/>
  <c r="L113"/>
  <c r="D114"/>
  <c r="L114"/>
  <c r="D115"/>
  <c r="L115"/>
  <c r="D116"/>
  <c r="L116"/>
  <c r="D117"/>
  <c r="L117"/>
  <c r="D118"/>
  <c r="L118"/>
  <c r="D122"/>
  <c r="L122"/>
  <c r="D123"/>
  <c r="L123"/>
  <c r="D124"/>
  <c r="L124"/>
  <c r="D125"/>
  <c r="L125"/>
  <c r="D126"/>
  <c r="L126"/>
  <c r="D127"/>
  <c r="L127"/>
  <c r="D128"/>
  <c r="L128"/>
  <c r="D129"/>
  <c r="L129"/>
  <c r="D130"/>
  <c r="L130"/>
  <c r="D131"/>
  <c r="L131"/>
  <c r="D132"/>
  <c r="L132"/>
  <c r="D133"/>
  <c r="L133"/>
  <c r="D134"/>
  <c r="L134"/>
  <c r="D135"/>
  <c r="L135"/>
  <c r="D136"/>
  <c r="L136"/>
  <c r="D139"/>
  <c r="L139"/>
  <c r="D140"/>
  <c r="L140"/>
  <c r="D141"/>
  <c r="L141"/>
  <c r="D142"/>
  <c r="L142"/>
  <c r="D143"/>
  <c r="L143"/>
  <c r="D144"/>
  <c r="L144"/>
  <c r="D145"/>
  <c r="L145"/>
  <c r="D146"/>
  <c r="L146"/>
  <c r="D147"/>
  <c r="L147"/>
  <c r="D148"/>
  <c r="L148"/>
  <c r="D149"/>
  <c r="L149"/>
  <c r="D150"/>
  <c r="L150"/>
  <c r="F4"/>
  <c r="B7"/>
  <c r="C15"/>
  <c r="K15"/>
  <c r="C16"/>
  <c r="K16"/>
  <c r="C17"/>
  <c r="K17"/>
  <c r="C18"/>
  <c r="K18"/>
  <c r="C19"/>
  <c r="K19"/>
  <c r="C20"/>
  <c r="K20"/>
  <c r="C21"/>
  <c r="K21"/>
  <c r="C22"/>
  <c r="K22"/>
  <c r="C23"/>
  <c r="K23"/>
  <c r="C24"/>
  <c r="K24"/>
  <c r="C25"/>
  <c r="K25"/>
  <c r="C26"/>
  <c r="K26"/>
  <c r="C27"/>
  <c r="K27"/>
  <c r="C28"/>
  <c r="K28"/>
  <c r="C29"/>
  <c r="K29"/>
  <c r="C30"/>
  <c r="K30"/>
  <c r="C31"/>
  <c r="K31"/>
  <c r="C32"/>
  <c r="K32"/>
  <c r="C33"/>
  <c r="K33"/>
  <c r="C34"/>
  <c r="K34"/>
  <c r="C35"/>
  <c r="K35"/>
  <c r="C36"/>
  <c r="K36"/>
  <c r="C37"/>
  <c r="K37"/>
  <c r="C38"/>
  <c r="K38"/>
  <c r="C39"/>
  <c r="K39"/>
  <c r="C40"/>
  <c r="K40"/>
  <c r="C41"/>
  <c r="K41"/>
  <c r="C42"/>
  <c r="K42"/>
  <c r="C43"/>
  <c r="K43"/>
  <c r="C44"/>
  <c r="K44"/>
  <c r="C45"/>
  <c r="K45"/>
  <c r="C46"/>
  <c r="K46"/>
  <c r="C47"/>
  <c r="K47"/>
  <c r="C48"/>
  <c r="K48"/>
  <c r="C49"/>
  <c r="K49"/>
  <c r="C54"/>
  <c r="K54"/>
  <c r="C55"/>
  <c r="K55"/>
  <c r="C56"/>
  <c r="K56"/>
  <c r="C57"/>
  <c r="K57"/>
  <c r="C58"/>
  <c r="K58"/>
  <c r="C59"/>
  <c r="K59"/>
  <c r="C60"/>
  <c r="K60"/>
  <c r="C61"/>
  <c r="K61"/>
  <c r="C62"/>
  <c r="K62"/>
  <c r="C63"/>
  <c r="K63"/>
  <c r="C64"/>
  <c r="K64"/>
  <c r="C65"/>
  <c r="K65"/>
  <c r="C66"/>
  <c r="K66"/>
  <c r="C67"/>
  <c r="K67"/>
  <c r="C68"/>
  <c r="K68"/>
  <c r="C69"/>
  <c r="K69"/>
  <c r="C70"/>
  <c r="K70"/>
  <c r="C71"/>
  <c r="K71"/>
  <c r="C72"/>
  <c r="K72"/>
  <c r="C73"/>
  <c r="K73"/>
  <c r="C74"/>
  <c r="K74"/>
  <c r="C75"/>
  <c r="K75"/>
  <c r="C76"/>
  <c r="K76"/>
  <c r="C77"/>
  <c r="K77"/>
  <c r="C78"/>
  <c r="K78"/>
  <c r="C79"/>
  <c r="K79"/>
  <c r="C80"/>
  <c r="K80"/>
  <c r="C81"/>
  <c r="K81"/>
  <c r="C82"/>
  <c r="K82"/>
  <c r="C83"/>
  <c r="K83"/>
  <c r="C86"/>
  <c r="K86"/>
  <c r="C87"/>
  <c r="K87"/>
  <c r="C88"/>
  <c r="K88"/>
  <c r="C89"/>
  <c r="K89"/>
  <c r="C90"/>
  <c r="K90"/>
  <c r="C91"/>
  <c r="K91"/>
  <c r="C92"/>
  <c r="K92"/>
  <c r="C93"/>
  <c r="K93"/>
  <c r="C94"/>
  <c r="K94"/>
  <c r="C95"/>
  <c r="K95"/>
  <c r="C96"/>
  <c r="K96"/>
  <c r="C97"/>
  <c r="K97"/>
  <c r="C98"/>
  <c r="K98"/>
  <c r="C99"/>
  <c r="K99"/>
  <c r="C100"/>
  <c r="K100"/>
  <c r="C101"/>
  <c r="K101"/>
  <c r="C102"/>
  <c r="K102"/>
  <c r="C103"/>
  <c r="K103"/>
  <c r="C104"/>
  <c r="K104"/>
  <c r="C105"/>
  <c r="K105"/>
  <c r="C106"/>
  <c r="K106"/>
  <c r="C107"/>
  <c r="K107"/>
  <c r="C108"/>
  <c r="K108"/>
  <c r="C109"/>
  <c r="K109"/>
  <c r="C110"/>
  <c r="K110"/>
  <c r="C111"/>
  <c r="K111"/>
  <c r="C112"/>
  <c r="K112"/>
  <c r="C113"/>
  <c r="K113"/>
  <c r="C114"/>
  <c r="K114"/>
  <c r="C115"/>
  <c r="K115"/>
  <c r="C116"/>
  <c r="K116"/>
  <c r="C117"/>
  <c r="K117"/>
  <c r="C118"/>
  <c r="K118"/>
  <c r="C122"/>
  <c r="K122"/>
  <c r="C123"/>
  <c r="K123"/>
  <c r="C124"/>
  <c r="K124"/>
  <c r="C125"/>
  <c r="K125"/>
  <c r="C126"/>
  <c r="K126"/>
  <c r="C127"/>
  <c r="K127"/>
  <c r="C128"/>
  <c r="K128"/>
  <c r="C129"/>
  <c r="K129"/>
  <c r="C130"/>
  <c r="K130"/>
  <c r="C131"/>
  <c r="K131"/>
  <c r="C132"/>
  <c r="K132"/>
  <c r="C133"/>
  <c r="K133"/>
  <c r="C134"/>
  <c r="K134"/>
  <c r="C135"/>
  <c r="K135"/>
  <c r="C136"/>
  <c r="K136"/>
  <c r="C139"/>
  <c r="K139"/>
  <c r="C140"/>
  <c r="K140"/>
  <c r="C141"/>
  <c r="K141"/>
  <c r="C142"/>
  <c r="K142"/>
  <c r="C143"/>
  <c r="K143"/>
  <c r="C144"/>
  <c r="K144"/>
  <c r="C145"/>
  <c r="K145"/>
  <c r="C146"/>
  <c r="K146"/>
  <c r="C147"/>
  <c r="K147"/>
  <c r="C148"/>
  <c r="K148"/>
  <c r="C149"/>
  <c r="K149"/>
  <c r="C150"/>
  <c r="K150"/>
  <c r="E4"/>
  <c r="A7"/>
  <c r="J7"/>
  <c r="J15"/>
  <c r="R15"/>
  <c r="J16"/>
  <c r="R16"/>
  <c r="J17"/>
  <c r="R17"/>
  <c r="J18"/>
  <c r="R18"/>
  <c r="J19"/>
  <c r="R19"/>
  <c r="J20"/>
  <c r="R20"/>
  <c r="J21"/>
  <c r="R21"/>
  <c r="J22"/>
  <c r="R22"/>
  <c r="J23"/>
  <c r="R23"/>
  <c r="J24"/>
  <c r="R24"/>
  <c r="J25"/>
  <c r="R25"/>
  <c r="J26"/>
  <c r="R26"/>
  <c r="J27"/>
  <c r="R27"/>
  <c r="J28"/>
  <c r="R28"/>
  <c r="J29"/>
  <c r="R29"/>
  <c r="J30"/>
  <c r="R30"/>
  <c r="J31"/>
  <c r="R31"/>
  <c r="J32"/>
  <c r="R32"/>
  <c r="J33"/>
  <c r="R33"/>
  <c r="J34"/>
  <c r="R34"/>
  <c r="J35"/>
  <c r="R35"/>
  <c r="J36"/>
  <c r="R36"/>
  <c r="J37"/>
  <c r="R37"/>
  <c r="J38"/>
  <c r="R38"/>
  <c r="J39"/>
  <c r="R39"/>
  <c r="J40"/>
  <c r="R40"/>
  <c r="J41"/>
  <c r="R41"/>
  <c r="J42"/>
  <c r="R42"/>
  <c r="J43"/>
  <c r="R43"/>
  <c r="J44"/>
  <c r="R44"/>
  <c r="J45"/>
  <c r="R45"/>
  <c r="J46"/>
  <c r="R46"/>
  <c r="J47"/>
  <c r="R47"/>
  <c r="J48"/>
  <c r="R48"/>
  <c r="J49"/>
  <c r="R49"/>
  <c r="J54"/>
  <c r="R54"/>
  <c r="J55"/>
  <c r="R55"/>
  <c r="J56"/>
  <c r="R56"/>
  <c r="J57"/>
  <c r="R57"/>
  <c r="J58"/>
  <c r="R58"/>
  <c r="J59"/>
  <c r="R59"/>
  <c r="J60"/>
  <c r="R60"/>
  <c r="J61"/>
  <c r="R61"/>
  <c r="J62"/>
  <c r="R62"/>
  <c r="J63"/>
  <c r="R63"/>
  <c r="J64"/>
  <c r="R64"/>
  <c r="J65"/>
  <c r="R65"/>
  <c r="J66"/>
  <c r="R66"/>
  <c r="J67"/>
  <c r="R67"/>
  <c r="J68"/>
  <c r="R68"/>
  <c r="J69"/>
  <c r="R69"/>
  <c r="J70"/>
  <c r="R70"/>
  <c r="J71"/>
  <c r="R71"/>
  <c r="J72"/>
  <c r="R72"/>
  <c r="J73"/>
  <c r="R73"/>
  <c r="J74"/>
  <c r="R74"/>
  <c r="J75"/>
  <c r="R75"/>
  <c r="J76"/>
  <c r="R76"/>
  <c r="J77"/>
  <c r="R77"/>
  <c r="J78"/>
  <c r="R78"/>
  <c r="J79"/>
  <c r="R79"/>
  <c r="J80"/>
  <c r="R80"/>
  <c r="J81"/>
  <c r="R81"/>
  <c r="J82"/>
  <c r="R82"/>
  <c r="J83"/>
  <c r="R83"/>
  <c r="J86"/>
  <c r="R86"/>
  <c r="J87"/>
  <c r="R87"/>
  <c r="J88"/>
  <c r="R88"/>
  <c r="J89"/>
  <c r="R89"/>
  <c r="J90"/>
  <c r="R90"/>
  <c r="J91"/>
  <c r="R91"/>
  <c r="J92"/>
  <c r="R92"/>
  <c r="J93"/>
  <c r="R93"/>
  <c r="J94"/>
  <c r="R94"/>
  <c r="J95"/>
  <c r="R95"/>
  <c r="J96"/>
  <c r="R96"/>
  <c r="J97"/>
  <c r="R97"/>
  <c r="J98"/>
  <c r="R98"/>
  <c r="J99"/>
  <c r="R99"/>
  <c r="J100"/>
  <c r="R100"/>
  <c r="J101"/>
  <c r="R101"/>
  <c r="J102"/>
  <c r="R102"/>
  <c r="J103"/>
  <c r="R103"/>
  <c r="J104"/>
  <c r="R104"/>
  <c r="J105"/>
  <c r="R105"/>
  <c r="J106"/>
  <c r="R106"/>
  <c r="J107"/>
  <c r="R107"/>
  <c r="J108"/>
  <c r="R108"/>
  <c r="J109"/>
  <c r="R109"/>
  <c r="J110"/>
  <c r="R110"/>
  <c r="J111"/>
  <c r="R111"/>
  <c r="J112"/>
  <c r="R112"/>
  <c r="J113"/>
  <c r="R113"/>
  <c r="J114"/>
  <c r="R114"/>
  <c r="J115"/>
  <c r="R115"/>
  <c r="J116"/>
  <c r="R116"/>
  <c r="J117"/>
  <c r="R117"/>
  <c r="J118"/>
  <c r="R118"/>
  <c r="J122"/>
  <c r="R122"/>
  <c r="J123"/>
  <c r="R123"/>
  <c r="J124"/>
  <c r="R124"/>
  <c r="J125"/>
  <c r="R125"/>
  <c r="J126"/>
  <c r="R126"/>
  <c r="J127"/>
  <c r="R127"/>
  <c r="J128"/>
  <c r="R128"/>
  <c r="J129"/>
  <c r="R129"/>
  <c r="J130"/>
  <c r="R130"/>
  <c r="J131"/>
  <c r="R131"/>
  <c r="J132"/>
  <c r="R132"/>
  <c r="J133"/>
  <c r="R133"/>
  <c r="J134"/>
  <c r="R134"/>
  <c r="J135"/>
  <c r="R135"/>
  <c r="J136"/>
  <c r="R136"/>
  <c r="J139"/>
  <c r="R139"/>
  <c r="J140"/>
  <c r="R140"/>
  <c r="J141"/>
  <c r="R141"/>
  <c r="J142"/>
  <c r="R142"/>
  <c r="J143"/>
  <c r="R143"/>
  <c r="J144"/>
  <c r="R144"/>
  <c r="J145"/>
  <c r="R145"/>
  <c r="J146"/>
  <c r="R146"/>
  <c r="J147"/>
  <c r="R147"/>
  <c r="J148"/>
  <c r="R148"/>
  <c r="J149"/>
  <c r="R149"/>
  <c r="J150"/>
  <c r="D4"/>
  <c r="L4"/>
  <c r="I7"/>
  <c r="I15"/>
  <c r="Q15"/>
  <c r="I16"/>
  <c r="Q16"/>
  <c r="I17"/>
  <c r="Q17"/>
  <c r="I18"/>
  <c r="Q18"/>
  <c r="I19"/>
  <c r="Q19"/>
  <c r="I20"/>
  <c r="Q20"/>
  <c r="I21"/>
  <c r="Q21"/>
  <c r="I22"/>
  <c r="Q22"/>
  <c r="I23"/>
  <c r="Q23"/>
  <c r="I24"/>
  <c r="Q24"/>
  <c r="I25"/>
  <c r="Q25"/>
  <c r="I26"/>
  <c r="Q26"/>
  <c r="I27"/>
  <c r="Q27"/>
  <c r="I28"/>
  <c r="Q28"/>
  <c r="I29"/>
  <c r="Q29"/>
  <c r="I30"/>
  <c r="Q30"/>
  <c r="I31"/>
  <c r="Q31"/>
  <c r="I32"/>
  <c r="Q32"/>
  <c r="I33"/>
  <c r="Q33"/>
  <c r="I34"/>
  <c r="Q34"/>
  <c r="I35"/>
  <c r="Q35"/>
  <c r="I36"/>
  <c r="Q36"/>
  <c r="I37"/>
  <c r="Q37"/>
  <c r="I38"/>
  <c r="Q38"/>
  <c r="I39"/>
  <c r="Q39"/>
  <c r="I40"/>
  <c r="Q40"/>
  <c r="I41"/>
  <c r="Q41"/>
  <c r="I42"/>
  <c r="Q42"/>
  <c r="I43"/>
  <c r="Q43"/>
  <c r="I44"/>
  <c r="Q44"/>
  <c r="I45"/>
  <c r="Q45"/>
  <c r="I46"/>
  <c r="Q46"/>
  <c r="I47"/>
  <c r="Q47"/>
  <c r="I48"/>
  <c r="Q48"/>
  <c r="I49"/>
  <c r="Q49"/>
  <c r="I54"/>
  <c r="Q54"/>
  <c r="I55"/>
  <c r="Q55"/>
  <c r="I56"/>
  <c r="Q56"/>
  <c r="I57"/>
  <c r="Q57"/>
  <c r="I58"/>
  <c r="Q58"/>
  <c r="I59"/>
  <c r="Q59"/>
  <c r="I60"/>
  <c r="Q60"/>
  <c r="I61"/>
  <c r="Q61"/>
  <c r="I62"/>
  <c r="Q62"/>
  <c r="I63"/>
  <c r="Q63"/>
  <c r="I64"/>
  <c r="Q64"/>
  <c r="I65"/>
  <c r="Q65"/>
  <c r="I66"/>
  <c r="Q66"/>
  <c r="I67"/>
  <c r="Q67"/>
  <c r="I68"/>
  <c r="Q68"/>
  <c r="I69"/>
  <c r="Q69"/>
  <c r="I70"/>
  <c r="Q70"/>
  <c r="I71"/>
  <c r="Q71"/>
  <c r="I72"/>
  <c r="Q72"/>
  <c r="I73"/>
  <c r="Q73"/>
  <c r="I74"/>
  <c r="Q74"/>
  <c r="I75"/>
  <c r="Q75"/>
  <c r="I76"/>
  <c r="Q76"/>
  <c r="I77"/>
  <c r="Q77"/>
  <c r="I78"/>
  <c r="Q78"/>
  <c r="I79"/>
  <c r="Q79"/>
  <c r="I80"/>
  <c r="Q80"/>
  <c r="I81"/>
  <c r="Q81"/>
  <c r="I82"/>
  <c r="Q82"/>
  <c r="I83"/>
  <c r="Q83"/>
  <c r="I86"/>
  <c r="Q86"/>
  <c r="I87"/>
  <c r="Q87"/>
  <c r="I88"/>
  <c r="Q88"/>
  <c r="I89"/>
  <c r="Q89"/>
  <c r="I90"/>
  <c r="Q90"/>
  <c r="I91"/>
  <c r="Q91"/>
  <c r="I92"/>
  <c r="Q92"/>
  <c r="I93"/>
  <c r="Q93"/>
  <c r="I94"/>
  <c r="Q94"/>
  <c r="I95"/>
  <c r="Q95"/>
  <c r="I96"/>
  <c r="Q96"/>
  <c r="I97"/>
  <c r="Q97"/>
  <c r="I98"/>
  <c r="Q98"/>
  <c r="I99"/>
  <c r="Q99"/>
  <c r="I100"/>
  <c r="Q100"/>
  <c r="I101"/>
  <c r="Q101"/>
  <c r="I102"/>
  <c r="Q102"/>
  <c r="I103"/>
  <c r="Q103"/>
  <c r="I104"/>
  <c r="Q104"/>
  <c r="I105"/>
  <c r="Q105"/>
  <c r="I106"/>
  <c r="Q106"/>
  <c r="I107"/>
  <c r="Q107"/>
  <c r="I108"/>
  <c r="Q108"/>
  <c r="I109"/>
  <c r="Q109"/>
  <c r="I110"/>
  <c r="Q110"/>
  <c r="I111"/>
  <c r="Q111"/>
  <c r="I112"/>
  <c r="Q112"/>
  <c r="I113"/>
  <c r="Q113"/>
  <c r="I114"/>
  <c r="Q114"/>
  <c r="I115"/>
  <c r="Q115"/>
  <c r="I116"/>
  <c r="Q116"/>
  <c r="I117"/>
  <c r="Q117"/>
  <c r="I118"/>
  <c r="Q118"/>
  <c r="I122"/>
  <c r="Q122"/>
  <c r="I123"/>
  <c r="Q123"/>
  <c r="I124"/>
  <c r="Q124"/>
  <c r="I125"/>
  <c r="Q125"/>
  <c r="I126"/>
  <c r="Q126"/>
  <c r="I127"/>
  <c r="Q127"/>
  <c r="I128"/>
  <c r="Q128"/>
  <c r="I129"/>
  <c r="Q129"/>
  <c r="I130"/>
  <c r="Q130"/>
  <c r="I131"/>
  <c r="Q131"/>
  <c r="I132"/>
  <c r="Q132"/>
  <c r="I133"/>
  <c r="Q133"/>
  <c r="I134"/>
  <c r="Q134"/>
  <c r="I135"/>
  <c r="Q135"/>
  <c r="I136"/>
  <c r="Q136"/>
  <c r="I139"/>
  <c r="Q139"/>
  <c r="I140"/>
  <c r="Q140"/>
  <c r="I141"/>
  <c r="Q141"/>
  <c r="I142"/>
  <c r="Q142"/>
  <c r="I143"/>
  <c r="Q143"/>
  <c r="I144"/>
  <c r="Q144"/>
  <c r="I145"/>
  <c r="Q145"/>
  <c r="I146"/>
  <c r="Q146"/>
  <c r="I147"/>
  <c r="Q147"/>
  <c r="I148"/>
  <c r="Q148"/>
  <c r="I149"/>
  <c r="Q149"/>
  <c r="I150"/>
  <c r="C4"/>
  <c r="K4"/>
  <c r="H7"/>
  <c r="H15"/>
  <c r="P15"/>
  <c r="H16"/>
  <c r="P16"/>
  <c r="H17"/>
  <c r="P17"/>
  <c r="H18"/>
  <c r="P18"/>
  <c r="H19"/>
  <c r="P19"/>
  <c r="H20"/>
  <c r="P20"/>
  <c r="H21"/>
  <c r="P21"/>
  <c r="H22"/>
  <c r="P22"/>
  <c r="H23"/>
  <c r="P23"/>
  <c r="H24"/>
  <c r="P24"/>
  <c r="H25"/>
  <c r="P25"/>
  <c r="H26"/>
  <c r="P26"/>
  <c r="H27"/>
  <c r="P27"/>
  <c r="H28"/>
  <c r="P28"/>
  <c r="H29"/>
  <c r="P29"/>
  <c r="H30"/>
  <c r="P30"/>
  <c r="H31"/>
  <c r="P31"/>
  <c r="H32"/>
  <c r="P32"/>
  <c r="H33"/>
  <c r="P33"/>
  <c r="H34"/>
  <c r="P34"/>
  <c r="H35"/>
  <c r="P35"/>
  <c r="H36"/>
  <c r="P36"/>
  <c r="H37"/>
  <c r="P37"/>
  <c r="H38"/>
  <c r="P38"/>
  <c r="H39"/>
  <c r="P39"/>
  <c r="H40"/>
  <c r="P40"/>
  <c r="H41"/>
  <c r="P41"/>
  <c r="H42"/>
  <c r="P42"/>
  <c r="H43"/>
  <c r="P43"/>
  <c r="H44"/>
  <c r="P44"/>
  <c r="H45"/>
  <c r="P45"/>
  <c r="H46"/>
  <c r="P46"/>
  <c r="H47"/>
  <c r="P47"/>
  <c r="H48"/>
  <c r="P48"/>
  <c r="H49"/>
  <c r="P49"/>
  <c r="H54"/>
  <c r="P54"/>
  <c r="H55"/>
  <c r="P55"/>
  <c r="H56"/>
  <c r="P56"/>
  <c r="H57"/>
  <c r="P57"/>
  <c r="H58"/>
  <c r="P58"/>
  <c r="H59"/>
  <c r="P59"/>
  <c r="H60"/>
  <c r="P60"/>
  <c r="H61"/>
  <c r="P61"/>
  <c r="H62"/>
  <c r="P62"/>
  <c r="H63"/>
  <c r="P63"/>
  <c r="H64"/>
  <c r="P64"/>
  <c r="H65"/>
  <c r="P65"/>
  <c r="H66"/>
  <c r="P66"/>
  <c r="H67"/>
  <c r="P67"/>
  <c r="H68"/>
  <c r="P68"/>
  <c r="H69"/>
  <c r="P69"/>
  <c r="H70"/>
  <c r="P70"/>
  <c r="H71"/>
  <c r="P71"/>
  <c r="H72"/>
  <c r="P72"/>
  <c r="H73"/>
  <c r="P73"/>
  <c r="H74"/>
  <c r="P74"/>
  <c r="H75"/>
  <c r="P75"/>
  <c r="H76"/>
  <c r="P76"/>
  <c r="H77"/>
  <c r="P77"/>
  <c r="H78"/>
  <c r="P78"/>
  <c r="H79"/>
  <c r="P79"/>
  <c r="H80"/>
  <c r="P80"/>
  <c r="H81"/>
  <c r="P81"/>
  <c r="H82"/>
  <c r="P82"/>
  <c r="H83"/>
  <c r="P83"/>
  <c r="H86"/>
  <c r="P86"/>
  <c r="H87"/>
  <c r="P87"/>
  <c r="H88"/>
  <c r="P88"/>
  <c r="H89"/>
  <c r="P89"/>
  <c r="H90"/>
  <c r="P90"/>
  <c r="H91"/>
  <c r="P91"/>
  <c r="H92"/>
  <c r="P92"/>
  <c r="H93"/>
  <c r="P93"/>
  <c r="H94"/>
  <c r="P94"/>
  <c r="H95"/>
  <c r="P95"/>
  <c r="H96"/>
  <c r="P96"/>
  <c r="H97"/>
  <c r="P97"/>
  <c r="H98"/>
  <c r="P98"/>
  <c r="H99"/>
  <c r="P99"/>
  <c r="H100"/>
  <c r="P100"/>
  <c r="H101"/>
  <c r="P101"/>
  <c r="H102"/>
  <c r="P102"/>
  <c r="H103"/>
  <c r="P103"/>
  <c r="H104"/>
  <c r="P104"/>
  <c r="H105"/>
  <c r="P105"/>
  <c r="H106"/>
  <c r="P106"/>
  <c r="H107"/>
  <c r="P107"/>
  <c r="H108"/>
  <c r="P108"/>
  <c r="H109"/>
  <c r="P109"/>
  <c r="H110"/>
  <c r="P110"/>
  <c r="H111"/>
  <c r="P111"/>
  <c r="H112"/>
  <c r="P112"/>
  <c r="H113"/>
  <c r="P113"/>
  <c r="H114"/>
  <c r="P114"/>
  <c r="H115"/>
  <c r="P115"/>
  <c r="H116"/>
  <c r="P116"/>
  <c r="H117"/>
  <c r="P117"/>
  <c r="H118"/>
  <c r="P118"/>
  <c r="H122"/>
  <c r="P122"/>
  <c r="H123"/>
  <c r="P123"/>
  <c r="H124"/>
  <c r="P124"/>
  <c r="H125"/>
  <c r="P125"/>
  <c r="H126"/>
  <c r="P126"/>
  <c r="H127"/>
  <c r="P127"/>
  <c r="H128"/>
  <c r="P128"/>
  <c r="H129"/>
  <c r="P129"/>
  <c r="H130"/>
  <c r="P130"/>
  <c r="H131"/>
  <c r="P131"/>
  <c r="H132"/>
  <c r="P132"/>
  <c r="H133"/>
  <c r="P133"/>
  <c r="H134"/>
  <c r="P134"/>
  <c r="H135"/>
  <c r="P135"/>
  <c r="H136"/>
  <c r="P136"/>
  <c r="H139"/>
  <c r="P139"/>
  <c r="H140"/>
  <c r="P140"/>
  <c r="H141"/>
  <c r="P141"/>
  <c r="H142"/>
  <c r="P142"/>
  <c r="H143"/>
  <c r="P143"/>
  <c r="H144"/>
  <c r="P144"/>
  <c r="H145"/>
  <c r="P145"/>
  <c r="H146"/>
  <c r="P146"/>
  <c r="H147"/>
  <c r="P147"/>
  <c r="H148"/>
  <c r="P148"/>
  <c r="H149"/>
  <c r="P149"/>
  <c r="H150"/>
  <c r="P150"/>
  <c r="B4"/>
  <c r="J4"/>
  <c r="G7"/>
  <c r="G15"/>
  <c r="O15"/>
  <c r="G16"/>
  <c r="O16"/>
  <c r="G17"/>
  <c r="O17"/>
  <c r="G18"/>
  <c r="O18"/>
  <c r="G19"/>
  <c r="O19"/>
  <c r="G20"/>
  <c r="O20"/>
  <c r="G21"/>
  <c r="O21"/>
  <c r="G22"/>
  <c r="O22"/>
  <c r="G23"/>
  <c r="O23"/>
  <c r="G24"/>
  <c r="O24"/>
  <c r="G25"/>
  <c r="O25"/>
  <c r="G26"/>
  <c r="O26"/>
  <c r="G27"/>
  <c r="O27"/>
  <c r="G28"/>
  <c r="O28"/>
  <c r="G29"/>
  <c r="O29"/>
  <c r="G30"/>
  <c r="O30"/>
  <c r="G31"/>
  <c r="O31"/>
  <c r="G32"/>
  <c r="O32"/>
  <c r="G33"/>
  <c r="O33"/>
  <c r="G34"/>
  <c r="O34"/>
  <c r="G35"/>
  <c r="O35"/>
  <c r="G36"/>
  <c r="O36"/>
  <c r="G37"/>
  <c r="O37"/>
  <c r="G38"/>
  <c r="O38"/>
  <c r="G39"/>
  <c r="O39"/>
  <c r="G40"/>
  <c r="O40"/>
  <c r="G41"/>
  <c r="O41"/>
  <c r="G42"/>
  <c r="O42"/>
  <c r="G43"/>
  <c r="O43"/>
  <c r="G44"/>
  <c r="O44"/>
  <c r="G45"/>
  <c r="O45"/>
  <c r="G46"/>
  <c r="O46"/>
  <c r="G47"/>
  <c r="O47"/>
  <c r="G48"/>
  <c r="O48"/>
  <c r="G49"/>
  <c r="O49"/>
  <c r="G54"/>
  <c r="O54"/>
  <c r="G55"/>
  <c r="O55"/>
  <c r="G56"/>
  <c r="O56"/>
  <c r="G57"/>
  <c r="O57"/>
  <c r="G58"/>
  <c r="O58"/>
  <c r="G59"/>
  <c r="O59"/>
  <c r="G60"/>
  <c r="O60"/>
  <c r="G61"/>
  <c r="O61"/>
  <c r="G62"/>
  <c r="O62"/>
  <c r="G63"/>
  <c r="O63"/>
  <c r="G64"/>
  <c r="O64"/>
  <c r="G65"/>
  <c r="O65"/>
  <c r="G66"/>
  <c r="O66"/>
  <c r="G67"/>
  <c r="O67"/>
  <c r="G68"/>
  <c r="O68"/>
  <c r="G69"/>
  <c r="O69"/>
  <c r="G70"/>
  <c r="O70"/>
  <c r="G71"/>
  <c r="O71"/>
  <c r="G72"/>
  <c r="O72"/>
  <c r="G73"/>
  <c r="O73"/>
  <c r="G74"/>
  <c r="O74"/>
  <c r="G75"/>
  <c r="O75"/>
  <c r="G76"/>
  <c r="O76"/>
  <c r="G77"/>
  <c r="O77"/>
  <c r="G78"/>
  <c r="O78"/>
  <c r="G79"/>
  <c r="O79"/>
  <c r="G80"/>
  <c r="O80"/>
  <c r="G81"/>
  <c r="O81"/>
  <c r="G82"/>
  <c r="O82"/>
  <c r="G83"/>
  <c r="O83"/>
  <c r="G86"/>
  <c r="O86"/>
  <c r="G87"/>
  <c r="O87"/>
  <c r="G88"/>
  <c r="O88"/>
  <c r="G89"/>
  <c r="O89"/>
  <c r="G90"/>
  <c r="O90"/>
  <c r="G91"/>
  <c r="O91"/>
  <c r="G92"/>
  <c r="O92"/>
  <c r="G93"/>
  <c r="O93"/>
  <c r="G94"/>
  <c r="O94"/>
  <c r="G95"/>
  <c r="O95"/>
  <c r="G96"/>
  <c r="O96"/>
  <c r="G97"/>
  <c r="O97"/>
  <c r="G98"/>
  <c r="O98"/>
  <c r="G99"/>
  <c r="O99"/>
  <c r="G100"/>
  <c r="O100"/>
  <c r="G101"/>
  <c r="O101"/>
  <c r="G102"/>
  <c r="O102"/>
  <c r="G103"/>
  <c r="O103"/>
  <c r="G104"/>
  <c r="O104"/>
  <c r="G105"/>
  <c r="O105"/>
  <c r="G106"/>
  <c r="O106"/>
  <c r="G107"/>
  <c r="O107"/>
  <c r="G108"/>
  <c r="O108"/>
  <c r="G109"/>
  <c r="O109"/>
  <c r="G110"/>
  <c r="O110"/>
  <c r="G111"/>
  <c r="O111"/>
  <c r="G112"/>
  <c r="O112"/>
  <c r="G113"/>
  <c r="O113"/>
  <c r="G114"/>
  <c r="O114"/>
  <c r="G115"/>
  <c r="O115"/>
  <c r="G116"/>
  <c r="O116"/>
  <c r="G117"/>
  <c r="O117"/>
  <c r="G118"/>
  <c r="O118"/>
  <c r="G122"/>
  <c r="O122"/>
  <c r="G123"/>
  <c r="O123"/>
  <c r="G124"/>
  <c r="O124"/>
  <c r="G125"/>
  <c r="O125"/>
  <c r="G126"/>
  <c r="O126"/>
  <c r="G127"/>
  <c r="O127"/>
  <c r="G128"/>
  <c r="O128"/>
  <c r="G129"/>
  <c r="O129"/>
  <c r="G130"/>
  <c r="O130"/>
  <c r="G131"/>
  <c r="O131"/>
  <c r="G132"/>
  <c r="O132"/>
  <c r="G133"/>
  <c r="O133"/>
  <c r="G134"/>
  <c r="O134"/>
  <c r="G135"/>
  <c r="O135"/>
  <c r="G136"/>
  <c r="O136"/>
  <c r="G139"/>
  <c r="O139"/>
  <c r="G140"/>
  <c r="O140"/>
  <c r="G141"/>
  <c r="O141"/>
  <c r="G142"/>
  <c r="O142"/>
  <c r="G143"/>
  <c r="O143"/>
  <c r="G144"/>
  <c r="O144"/>
  <c r="G145"/>
  <c r="O145"/>
  <c r="G146"/>
  <c r="O146"/>
  <c r="G147"/>
  <c r="O147"/>
  <c r="G148"/>
  <c r="O148"/>
  <c r="G149"/>
  <c r="O149"/>
  <c r="G150"/>
  <c r="O150"/>
  <c r="A4"/>
  <c r="I4"/>
  <c r="F7"/>
  <c r="F15"/>
  <c r="N15"/>
  <c r="F16"/>
  <c r="N16"/>
  <c r="F17"/>
  <c r="N17"/>
  <c r="F18"/>
  <c r="N18"/>
  <c r="F19"/>
  <c r="N19"/>
  <c r="F20"/>
  <c r="N20"/>
  <c r="F21"/>
  <c r="N21"/>
  <c r="F22"/>
  <c r="N22"/>
  <c r="F23"/>
  <c r="N23"/>
  <c r="F24"/>
  <c r="N24"/>
  <c r="F25"/>
  <c r="N25"/>
  <c r="F26"/>
  <c r="N26"/>
  <c r="F27"/>
  <c r="N27"/>
  <c r="F28"/>
  <c r="N28"/>
  <c r="F29"/>
  <c r="N29"/>
  <c r="F30"/>
  <c r="N30"/>
  <c r="F31"/>
  <c r="N31"/>
  <c r="F32"/>
  <c r="N32"/>
  <c r="F33"/>
  <c r="N33"/>
  <c r="F34"/>
  <c r="N34"/>
  <c r="F35"/>
  <c r="N35"/>
  <c r="F36"/>
  <c r="N36"/>
  <c r="F37"/>
  <c r="N37"/>
  <c r="F38"/>
  <c r="N38"/>
  <c r="F39"/>
  <c r="N39"/>
  <c r="F40"/>
  <c r="N40"/>
  <c r="F41"/>
  <c r="N41"/>
  <c r="F42"/>
  <c r="N42"/>
  <c r="F43"/>
  <c r="N43"/>
  <c r="F44"/>
  <c r="N44"/>
  <c r="F45"/>
  <c r="N45"/>
  <c r="F46"/>
  <c r="N46"/>
  <c r="F47"/>
  <c r="N47"/>
  <c r="F48"/>
  <c r="N48"/>
  <c r="F49"/>
  <c r="N49"/>
  <c r="F54"/>
  <c r="N54"/>
  <c r="F55"/>
  <c r="N55"/>
  <c r="F56"/>
  <c r="N56"/>
  <c r="F57"/>
  <c r="N57"/>
  <c r="F58"/>
  <c r="N58"/>
  <c r="F59"/>
  <c r="N59"/>
  <c r="F60"/>
  <c r="N60"/>
  <c r="F61"/>
  <c r="N61"/>
  <c r="F62"/>
  <c r="N62"/>
  <c r="F63"/>
  <c r="N63"/>
  <c r="F64"/>
  <c r="N64"/>
  <c r="F65"/>
  <c r="N65"/>
  <c r="F66"/>
  <c r="N66"/>
  <c r="F67"/>
  <c r="N67"/>
  <c r="F68"/>
  <c r="N68"/>
  <c r="F69"/>
  <c r="N69"/>
  <c r="F70"/>
  <c r="N70"/>
  <c r="F71"/>
  <c r="N71"/>
  <c r="F72"/>
  <c r="N72"/>
  <c r="F73"/>
  <c r="N73"/>
  <c r="F74"/>
  <c r="N74"/>
  <c r="F75"/>
  <c r="N75"/>
  <c r="F76"/>
  <c r="N76"/>
  <c r="F77"/>
  <c r="N77"/>
  <c r="F78"/>
  <c r="N78"/>
  <c r="F79"/>
  <c r="N79"/>
  <c r="F80"/>
  <c r="N80"/>
  <c r="F81"/>
  <c r="N81"/>
  <c r="F82"/>
  <c r="N82"/>
  <c r="F83"/>
  <c r="N83"/>
  <c r="F86"/>
  <c r="N86"/>
  <c r="F87"/>
  <c r="N87"/>
  <c r="F88"/>
  <c r="N88"/>
  <c r="F89"/>
  <c r="N89"/>
  <c r="F90"/>
  <c r="N90"/>
  <c r="F91"/>
  <c r="N91"/>
  <c r="F92"/>
  <c r="N92"/>
  <c r="F93"/>
  <c r="N93"/>
  <c r="F94"/>
  <c r="N94"/>
  <c r="F95"/>
  <c r="N95"/>
  <c r="F96"/>
  <c r="N96"/>
  <c r="F97"/>
  <c r="N97"/>
  <c r="F98"/>
  <c r="N98"/>
  <c r="F99"/>
  <c r="N99"/>
  <c r="F100"/>
  <c r="N100"/>
  <c r="F101"/>
  <c r="N101"/>
  <c r="F102"/>
  <c r="N102"/>
  <c r="F103"/>
  <c r="N103"/>
  <c r="F104"/>
  <c r="N104"/>
  <c r="F105"/>
  <c r="N105"/>
  <c r="F106"/>
  <c r="N106"/>
  <c r="F107"/>
  <c r="N107"/>
  <c r="F108"/>
  <c r="N108"/>
  <c r="F109"/>
  <c r="N109"/>
  <c r="F110"/>
  <c r="N110"/>
  <c r="F111"/>
  <c r="N111"/>
  <c r="F112"/>
  <c r="N112"/>
  <c r="F113"/>
  <c r="N113"/>
  <c r="F114"/>
  <c r="N114"/>
  <c r="F115"/>
  <c r="N115"/>
  <c r="F116"/>
  <c r="N116"/>
  <c r="F117"/>
  <c r="N117"/>
  <c r="F118"/>
  <c r="N118"/>
  <c r="F122"/>
  <c r="N122"/>
  <c r="F123"/>
  <c r="N123"/>
  <c r="F124"/>
  <c r="N124"/>
  <c r="F125"/>
  <c r="N125"/>
  <c r="F126"/>
  <c r="N126"/>
  <c r="F127"/>
  <c r="N127"/>
  <c r="F128"/>
  <c r="N128"/>
  <c r="F129"/>
  <c r="N129"/>
  <c r="F130"/>
  <c r="N130"/>
  <c r="F131"/>
  <c r="N131"/>
  <c r="F132"/>
  <c r="N132"/>
  <c r="F133"/>
  <c r="N133"/>
  <c r="F134"/>
  <c r="N134"/>
  <c r="F135"/>
  <c r="N135"/>
  <c r="F136"/>
  <c r="N136"/>
  <c r="F139"/>
  <c r="N139"/>
  <c r="F140"/>
  <c r="N140"/>
  <c r="F141"/>
  <c r="N141"/>
  <c r="F142"/>
  <c r="N142"/>
  <c r="F143"/>
  <c r="N143"/>
  <c r="F144"/>
  <c r="N144"/>
  <c r="F145"/>
  <c r="N145"/>
  <c r="F146"/>
  <c r="N146"/>
  <c r="F147"/>
  <c r="N147"/>
  <c r="F148"/>
  <c r="N148"/>
  <c r="F149"/>
  <c r="N149"/>
  <c r="F150"/>
  <c r="N150"/>
  <c r="I151"/>
  <c r="R151"/>
  <c r="K152"/>
  <c r="D153"/>
  <c r="L153"/>
  <c r="D154"/>
  <c r="L154"/>
  <c r="D155"/>
  <c r="L155"/>
  <c r="D156"/>
  <c r="L156"/>
  <c r="D157"/>
  <c r="L157"/>
  <c r="D158"/>
  <c r="L158"/>
  <c r="D159"/>
  <c r="L159"/>
  <c r="D160"/>
  <c r="L160"/>
  <c r="D161"/>
  <c r="L161"/>
  <c r="D162"/>
  <c r="L162"/>
  <c r="D163"/>
  <c r="L163"/>
  <c r="D164"/>
  <c r="L164"/>
  <c r="D165"/>
  <c r="D166"/>
  <c r="L166"/>
  <c r="K159"/>
  <c r="K163"/>
  <c r="K165"/>
  <c r="H151"/>
  <c r="Q151"/>
  <c r="J152"/>
  <c r="C153"/>
  <c r="K153"/>
  <c r="C154"/>
  <c r="K154"/>
  <c r="C155"/>
  <c r="K155"/>
  <c r="C156"/>
  <c r="K156"/>
  <c r="K157"/>
  <c r="C158"/>
  <c r="K158"/>
  <c r="C159"/>
  <c r="C160"/>
  <c r="K160"/>
  <c r="K161"/>
  <c r="C162"/>
  <c r="K162"/>
  <c r="C164"/>
  <c r="C165"/>
  <c r="K166"/>
  <c r="G151"/>
  <c r="P151"/>
  <c r="I152"/>
  <c r="R152"/>
  <c r="J153"/>
  <c r="R153"/>
  <c r="J154"/>
  <c r="R154"/>
  <c r="J155"/>
  <c r="R155"/>
  <c r="J156"/>
  <c r="R156"/>
  <c r="J157"/>
  <c r="R157"/>
  <c r="J158"/>
  <c r="R158"/>
  <c r="J159"/>
  <c r="R159"/>
  <c r="J160"/>
  <c r="R160"/>
  <c r="J161"/>
  <c r="R161"/>
  <c r="J162"/>
  <c r="R162"/>
  <c r="J163"/>
  <c r="R163"/>
  <c r="J164"/>
  <c r="R164"/>
  <c r="J165"/>
  <c r="R165"/>
  <c r="J166"/>
  <c r="R166"/>
  <c r="O166"/>
  <c r="F156"/>
  <c r="N162"/>
  <c r="N165"/>
  <c r="F151"/>
  <c r="O151"/>
  <c r="H152"/>
  <c r="Q152"/>
  <c r="I153"/>
  <c r="Q153"/>
  <c r="I154"/>
  <c r="Q154"/>
  <c r="I155"/>
  <c r="Q155"/>
  <c r="I156"/>
  <c r="Q156"/>
  <c r="I157"/>
  <c r="Q157"/>
  <c r="I158"/>
  <c r="Q158"/>
  <c r="I159"/>
  <c r="Q159"/>
  <c r="I160"/>
  <c r="Q160"/>
  <c r="I161"/>
  <c r="Q161"/>
  <c r="I162"/>
  <c r="Q162"/>
  <c r="I163"/>
  <c r="Q163"/>
  <c r="I164"/>
  <c r="Q164"/>
  <c r="I165"/>
  <c r="Q165"/>
  <c r="I166"/>
  <c r="Q166"/>
  <c r="O165"/>
  <c r="F157"/>
  <c r="F161"/>
  <c r="N163"/>
  <c r="F166"/>
  <c r="D151"/>
  <c r="N151"/>
  <c r="G152"/>
  <c r="P152"/>
  <c r="H153"/>
  <c r="P153"/>
  <c r="H154"/>
  <c r="P154"/>
  <c r="H155"/>
  <c r="P155"/>
  <c r="H156"/>
  <c r="P156"/>
  <c r="H157"/>
  <c r="P157"/>
  <c r="H158"/>
  <c r="P158"/>
  <c r="H159"/>
  <c r="P159"/>
  <c r="H160"/>
  <c r="P160"/>
  <c r="H161"/>
  <c r="P161"/>
  <c r="H162"/>
  <c r="P162"/>
  <c r="H163"/>
  <c r="P163"/>
  <c r="H164"/>
  <c r="P164"/>
  <c r="H165"/>
  <c r="P165"/>
  <c r="H166"/>
  <c r="P166"/>
  <c r="G166"/>
  <c r="N156"/>
  <c r="N161"/>
  <c r="F164"/>
  <c r="C151"/>
  <c r="L151"/>
  <c r="F152"/>
  <c r="O152"/>
  <c r="G153"/>
  <c r="O153"/>
  <c r="G154"/>
  <c r="O154"/>
  <c r="G155"/>
  <c r="O155"/>
  <c r="G156"/>
  <c r="O156"/>
  <c r="G157"/>
  <c r="O157"/>
  <c r="G158"/>
  <c r="O158"/>
  <c r="G159"/>
  <c r="O159"/>
  <c r="G160"/>
  <c r="O160"/>
  <c r="G161"/>
  <c r="O161"/>
  <c r="G162"/>
  <c r="O162"/>
  <c r="G163"/>
  <c r="O163"/>
  <c r="G164"/>
  <c r="O164"/>
  <c r="G165"/>
  <c r="N159"/>
  <c r="N164"/>
  <c r="R150"/>
  <c r="K151"/>
  <c r="D152"/>
  <c r="N152"/>
  <c r="F153"/>
  <c r="N153"/>
  <c r="F154"/>
  <c r="N154"/>
  <c r="F155"/>
  <c r="N155"/>
  <c r="N157"/>
  <c r="F158"/>
  <c r="N158"/>
  <c r="F159"/>
  <c r="F160"/>
  <c r="N160"/>
  <c r="F162"/>
  <c r="F163"/>
  <c r="F165"/>
  <c r="N166"/>
  <c r="Q150"/>
  <c r="J151"/>
  <c r="C152"/>
  <c r="L152"/>
  <c r="E153"/>
  <c r="M153"/>
  <c r="E154"/>
  <c r="M154"/>
  <c r="E155"/>
  <c r="M155"/>
  <c r="E156"/>
  <c r="M156"/>
  <c r="E157"/>
  <c r="M157"/>
  <c r="E158"/>
  <c r="M158"/>
  <c r="E159"/>
  <c r="M159"/>
  <c r="E160"/>
  <c r="M160"/>
  <c r="E161"/>
  <c r="M161"/>
  <c r="E162"/>
  <c r="M162"/>
  <c r="E163"/>
  <c r="M163"/>
  <c r="E164"/>
  <c r="M164"/>
  <c r="E165"/>
  <c r="M165"/>
  <c r="E166"/>
  <c r="M166"/>
  <c r="L165"/>
  <c r="C157"/>
  <c r="C161"/>
  <c r="C163"/>
  <c r="K164"/>
  <c r="C166"/>
  <c r="H4" i="1"/>
  <c r="D7"/>
  <c r="E15"/>
  <c r="M15"/>
  <c r="E16"/>
  <c r="M16"/>
  <c r="E17"/>
  <c r="M17"/>
  <c r="E18"/>
  <c r="M18"/>
  <c r="E19"/>
  <c r="M19"/>
  <c r="E20"/>
  <c r="M20"/>
  <c r="E21"/>
  <c r="M21"/>
  <c r="E22"/>
  <c r="M22"/>
  <c r="E23"/>
  <c r="M23"/>
  <c r="E24"/>
  <c r="M24"/>
  <c r="E25"/>
  <c r="M25"/>
  <c r="E26"/>
  <c r="M26"/>
  <c r="E27"/>
  <c r="M27"/>
  <c r="E28"/>
  <c r="M28"/>
  <c r="E29"/>
  <c r="M29"/>
  <c r="E30"/>
  <c r="M30"/>
  <c r="E31"/>
  <c r="M31"/>
  <c r="E32"/>
  <c r="M32"/>
  <c r="E33"/>
  <c r="M33"/>
  <c r="E34"/>
  <c r="M34"/>
  <c r="E35"/>
  <c r="M35"/>
  <c r="E36"/>
  <c r="M36"/>
  <c r="E37"/>
  <c r="M37"/>
  <c r="E38"/>
  <c r="M38"/>
  <c r="E39"/>
  <c r="M39"/>
  <c r="E40"/>
  <c r="M40"/>
  <c r="E41"/>
  <c r="M41"/>
  <c r="E42"/>
  <c r="M42"/>
  <c r="E43"/>
  <c r="M43"/>
  <c r="E44"/>
  <c r="M44"/>
  <c r="E45"/>
  <c r="M45"/>
  <c r="E46"/>
  <c r="M46"/>
  <c r="E47"/>
  <c r="M47"/>
  <c r="E48"/>
  <c r="M48"/>
  <c r="E49"/>
  <c r="M49"/>
  <c r="E50"/>
  <c r="M50"/>
  <c r="E51"/>
  <c r="M51"/>
  <c r="E52"/>
  <c r="M52"/>
  <c r="E53"/>
  <c r="M53"/>
  <c r="E54"/>
  <c r="M54"/>
  <c r="E55"/>
  <c r="M55"/>
  <c r="E56"/>
  <c r="M56"/>
  <c r="E57"/>
  <c r="M57"/>
  <c r="E58"/>
  <c r="M58"/>
  <c r="E59"/>
  <c r="M59"/>
  <c r="E60"/>
  <c r="M60"/>
  <c r="E61"/>
  <c r="M61"/>
  <c r="E62"/>
  <c r="E63"/>
  <c r="M63"/>
  <c r="E64"/>
  <c r="M64"/>
  <c r="E65"/>
  <c r="M65"/>
  <c r="E66"/>
  <c r="M66"/>
  <c r="E67"/>
  <c r="M67"/>
  <c r="M68"/>
  <c r="E69"/>
  <c r="E70"/>
  <c r="M71"/>
  <c r="E73"/>
  <c r="E74"/>
  <c r="E75"/>
  <c r="M76"/>
  <c r="M77"/>
  <c r="M78"/>
  <c r="E80"/>
  <c r="M82"/>
  <c r="K83"/>
  <c r="G4"/>
  <c r="C7"/>
  <c r="D15"/>
  <c r="L15"/>
  <c r="D16"/>
  <c r="L16"/>
  <c r="D17"/>
  <c r="L17"/>
  <c r="D18"/>
  <c r="L18"/>
  <c r="D19"/>
  <c r="L19"/>
  <c r="D20"/>
  <c r="L20"/>
  <c r="D21"/>
  <c r="L21"/>
  <c r="D22"/>
  <c r="L22"/>
  <c r="D23"/>
  <c r="L23"/>
  <c r="D24"/>
  <c r="L24"/>
  <c r="D25"/>
  <c r="L25"/>
  <c r="D26"/>
  <c r="L26"/>
  <c r="D27"/>
  <c r="L27"/>
  <c r="D28"/>
  <c r="L28"/>
  <c r="D29"/>
  <c r="L29"/>
  <c r="D30"/>
  <c r="L30"/>
  <c r="D31"/>
  <c r="L31"/>
  <c r="D32"/>
  <c r="L32"/>
  <c r="D33"/>
  <c r="L33"/>
  <c r="D34"/>
  <c r="L34"/>
  <c r="D35"/>
  <c r="L35"/>
  <c r="D36"/>
  <c r="L36"/>
  <c r="D37"/>
  <c r="L37"/>
  <c r="D38"/>
  <c r="L38"/>
  <c r="D39"/>
  <c r="L39"/>
  <c r="D40"/>
  <c r="L40"/>
  <c r="D41"/>
  <c r="L41"/>
  <c r="D42"/>
  <c r="L42"/>
  <c r="D43"/>
  <c r="L43"/>
  <c r="D44"/>
  <c r="L44"/>
  <c r="D45"/>
  <c r="L45"/>
  <c r="D46"/>
  <c r="L46"/>
  <c r="D47"/>
  <c r="L47"/>
  <c r="D48"/>
  <c r="L48"/>
  <c r="D49"/>
  <c r="L49"/>
  <c r="D50"/>
  <c r="L50"/>
  <c r="D51"/>
  <c r="L51"/>
  <c r="D52"/>
  <c r="L52"/>
  <c r="D53"/>
  <c r="L53"/>
  <c r="D54"/>
  <c r="L54"/>
  <c r="D55"/>
  <c r="L55"/>
  <c r="D56"/>
  <c r="L56"/>
  <c r="D57"/>
  <c r="L57"/>
  <c r="D58"/>
  <c r="L58"/>
  <c r="D59"/>
  <c r="L59"/>
  <c r="D60"/>
  <c r="L60"/>
  <c r="D61"/>
  <c r="L61"/>
  <c r="D62"/>
  <c r="L62"/>
  <c r="D63"/>
  <c r="L63"/>
  <c r="D64"/>
  <c r="L64"/>
  <c r="D65"/>
  <c r="L65"/>
  <c r="D66"/>
  <c r="L66"/>
  <c r="D67"/>
  <c r="L67"/>
  <c r="D68"/>
  <c r="L68"/>
  <c r="D69"/>
  <c r="L69"/>
  <c r="D70"/>
  <c r="L70"/>
  <c r="D71"/>
  <c r="L71"/>
  <c r="D72"/>
  <c r="L72"/>
  <c r="D73"/>
  <c r="L73"/>
  <c r="D74"/>
  <c r="L74"/>
  <c r="D75"/>
  <c r="L75"/>
  <c r="D76"/>
  <c r="L76"/>
  <c r="D77"/>
  <c r="L77"/>
  <c r="D78"/>
  <c r="L78"/>
  <c r="D79"/>
  <c r="L79"/>
  <c r="D80"/>
  <c r="L80"/>
  <c r="D81"/>
  <c r="L81"/>
  <c r="D82"/>
  <c r="L82"/>
  <c r="D83"/>
  <c r="L83"/>
  <c r="K79"/>
  <c r="K82"/>
  <c r="F4"/>
  <c r="B7"/>
  <c r="C15"/>
  <c r="K15"/>
  <c r="C16"/>
  <c r="K16"/>
  <c r="C17"/>
  <c r="K17"/>
  <c r="C18"/>
  <c r="K18"/>
  <c r="C19"/>
  <c r="K19"/>
  <c r="C20"/>
  <c r="K20"/>
  <c r="C21"/>
  <c r="K21"/>
  <c r="C22"/>
  <c r="K22"/>
  <c r="C23"/>
  <c r="K23"/>
  <c r="C24"/>
  <c r="K24"/>
  <c r="C25"/>
  <c r="K25"/>
  <c r="C26"/>
  <c r="K26"/>
  <c r="C27"/>
  <c r="K27"/>
  <c r="C28"/>
  <c r="K28"/>
  <c r="C29"/>
  <c r="K29"/>
  <c r="C30"/>
  <c r="K30"/>
  <c r="C31"/>
  <c r="K31"/>
  <c r="C32"/>
  <c r="K32"/>
  <c r="C33"/>
  <c r="K33"/>
  <c r="C34"/>
  <c r="K34"/>
  <c r="C35"/>
  <c r="K35"/>
  <c r="C36"/>
  <c r="K36"/>
  <c r="C37"/>
  <c r="K37"/>
  <c r="C38"/>
  <c r="K38"/>
  <c r="C39"/>
  <c r="K39"/>
  <c r="C40"/>
  <c r="K40"/>
  <c r="C41"/>
  <c r="K41"/>
  <c r="C42"/>
  <c r="K42"/>
  <c r="C43"/>
  <c r="K43"/>
  <c r="C44"/>
  <c r="K44"/>
  <c r="C45"/>
  <c r="K45"/>
  <c r="C46"/>
  <c r="K46"/>
  <c r="C47"/>
  <c r="K47"/>
  <c r="C48"/>
  <c r="K48"/>
  <c r="C49"/>
  <c r="K49"/>
  <c r="C50"/>
  <c r="K50"/>
  <c r="C51"/>
  <c r="K51"/>
  <c r="C52"/>
  <c r="K52"/>
  <c r="C53"/>
  <c r="K53"/>
  <c r="C54"/>
  <c r="K54"/>
  <c r="C55"/>
  <c r="K55"/>
  <c r="C56"/>
  <c r="K56"/>
  <c r="C57"/>
  <c r="K57"/>
  <c r="C58"/>
  <c r="K58"/>
  <c r="C59"/>
  <c r="K59"/>
  <c r="C60"/>
  <c r="K60"/>
  <c r="C61"/>
  <c r="K61"/>
  <c r="C62"/>
  <c r="K62"/>
  <c r="C63"/>
  <c r="K63"/>
  <c r="C64"/>
  <c r="K64"/>
  <c r="C65"/>
  <c r="K65"/>
  <c r="C66"/>
  <c r="K66"/>
  <c r="C67"/>
  <c r="K67"/>
  <c r="C68"/>
  <c r="K68"/>
  <c r="C69"/>
  <c r="K69"/>
  <c r="C70"/>
  <c r="K70"/>
  <c r="C71"/>
  <c r="K71"/>
  <c r="C72"/>
  <c r="K72"/>
  <c r="C73"/>
  <c r="K73"/>
  <c r="C74"/>
  <c r="K74"/>
  <c r="C75"/>
  <c r="K75"/>
  <c r="C76"/>
  <c r="K76"/>
  <c r="C77"/>
  <c r="K77"/>
  <c r="C78"/>
  <c r="K78"/>
  <c r="C79"/>
  <c r="C80"/>
  <c r="K80"/>
  <c r="C81"/>
  <c r="K81"/>
  <c r="C83"/>
  <c r="E4"/>
  <c r="A7"/>
  <c r="J7"/>
  <c r="J15"/>
  <c r="R15"/>
  <c r="J16"/>
  <c r="R16"/>
  <c r="J17"/>
  <c r="R17"/>
  <c r="J18"/>
  <c r="R18"/>
  <c r="J19"/>
  <c r="R19"/>
  <c r="J20"/>
  <c r="R20"/>
  <c r="J21"/>
  <c r="R21"/>
  <c r="J22"/>
  <c r="R22"/>
  <c r="J23"/>
  <c r="R23"/>
  <c r="J24"/>
  <c r="R24"/>
  <c r="J25"/>
  <c r="R25"/>
  <c r="J26"/>
  <c r="R26"/>
  <c r="J27"/>
  <c r="R27"/>
  <c r="J28"/>
  <c r="R28"/>
  <c r="J29"/>
  <c r="R29"/>
  <c r="J30"/>
  <c r="R30"/>
  <c r="J31"/>
  <c r="R31"/>
  <c r="J32"/>
  <c r="R32"/>
  <c r="J33"/>
  <c r="R33"/>
  <c r="J34"/>
  <c r="R34"/>
  <c r="J35"/>
  <c r="R35"/>
  <c r="J36"/>
  <c r="R36"/>
  <c r="J37"/>
  <c r="R37"/>
  <c r="J38"/>
  <c r="R38"/>
  <c r="J39"/>
  <c r="R39"/>
  <c r="J40"/>
  <c r="R40"/>
  <c r="J41"/>
  <c r="R41"/>
  <c r="J42"/>
  <c r="R42"/>
  <c r="J43"/>
  <c r="R43"/>
  <c r="J44"/>
  <c r="R44"/>
  <c r="J45"/>
  <c r="R45"/>
  <c r="J46"/>
  <c r="R46"/>
  <c r="J47"/>
  <c r="R47"/>
  <c r="J48"/>
  <c r="R48"/>
  <c r="J49"/>
  <c r="R49"/>
  <c r="J50"/>
  <c r="R50"/>
  <c r="J51"/>
  <c r="R51"/>
  <c r="J52"/>
  <c r="R52"/>
  <c r="J53"/>
  <c r="R53"/>
  <c r="J54"/>
  <c r="R54"/>
  <c r="J55"/>
  <c r="R55"/>
  <c r="J56"/>
  <c r="R56"/>
  <c r="J57"/>
  <c r="R57"/>
  <c r="J58"/>
  <c r="R58"/>
  <c r="J59"/>
  <c r="R59"/>
  <c r="J60"/>
  <c r="R60"/>
  <c r="J61"/>
  <c r="R61"/>
  <c r="J62"/>
  <c r="R62"/>
  <c r="J63"/>
  <c r="R63"/>
  <c r="J64"/>
  <c r="R64"/>
  <c r="J65"/>
  <c r="R65"/>
  <c r="J66"/>
  <c r="R66"/>
  <c r="J67"/>
  <c r="R67"/>
  <c r="J68"/>
  <c r="R68"/>
  <c r="J69"/>
  <c r="R69"/>
  <c r="J70"/>
  <c r="R70"/>
  <c r="J71"/>
  <c r="R71"/>
  <c r="J72"/>
  <c r="R72"/>
  <c r="J73"/>
  <c r="R73"/>
  <c r="J74"/>
  <c r="R74"/>
  <c r="J75"/>
  <c r="R75"/>
  <c r="J76"/>
  <c r="R76"/>
  <c r="J77"/>
  <c r="R77"/>
  <c r="J78"/>
  <c r="R78"/>
  <c r="J79"/>
  <c r="R79"/>
  <c r="J80"/>
  <c r="R80"/>
  <c r="J81"/>
  <c r="R81"/>
  <c r="J82"/>
  <c r="R82"/>
  <c r="J83"/>
  <c r="R83"/>
  <c r="P83"/>
  <c r="E81"/>
  <c r="D4"/>
  <c r="L4"/>
  <c r="I7"/>
  <c r="I15"/>
  <c r="Q15"/>
  <c r="I16"/>
  <c r="Q16"/>
  <c r="I17"/>
  <c r="Q17"/>
  <c r="I18"/>
  <c r="Q18"/>
  <c r="I19"/>
  <c r="Q19"/>
  <c r="I20"/>
  <c r="Q20"/>
  <c r="I21"/>
  <c r="Q21"/>
  <c r="I22"/>
  <c r="Q22"/>
  <c r="I23"/>
  <c r="Q23"/>
  <c r="I24"/>
  <c r="Q24"/>
  <c r="I25"/>
  <c r="Q25"/>
  <c r="I26"/>
  <c r="Q26"/>
  <c r="I27"/>
  <c r="Q27"/>
  <c r="I28"/>
  <c r="Q28"/>
  <c r="I29"/>
  <c r="Q29"/>
  <c r="I30"/>
  <c r="Q30"/>
  <c r="I31"/>
  <c r="Q31"/>
  <c r="I32"/>
  <c r="Q32"/>
  <c r="I33"/>
  <c r="Q33"/>
  <c r="I34"/>
  <c r="Q34"/>
  <c r="I35"/>
  <c r="Q35"/>
  <c r="I36"/>
  <c r="Q36"/>
  <c r="I37"/>
  <c r="Q37"/>
  <c r="I38"/>
  <c r="Q38"/>
  <c r="I39"/>
  <c r="Q39"/>
  <c r="I40"/>
  <c r="Q40"/>
  <c r="I41"/>
  <c r="Q41"/>
  <c r="I42"/>
  <c r="Q42"/>
  <c r="I43"/>
  <c r="Q43"/>
  <c r="I44"/>
  <c r="Q44"/>
  <c r="I45"/>
  <c r="Q45"/>
  <c r="I46"/>
  <c r="Q46"/>
  <c r="I47"/>
  <c r="Q47"/>
  <c r="I48"/>
  <c r="Q48"/>
  <c r="I49"/>
  <c r="Q49"/>
  <c r="I50"/>
  <c r="Q50"/>
  <c r="I51"/>
  <c r="Q51"/>
  <c r="I52"/>
  <c r="Q52"/>
  <c r="I53"/>
  <c r="Q53"/>
  <c r="I54"/>
  <c r="Q54"/>
  <c r="I55"/>
  <c r="Q55"/>
  <c r="I56"/>
  <c r="Q56"/>
  <c r="I57"/>
  <c r="Q57"/>
  <c r="I58"/>
  <c r="Q58"/>
  <c r="I59"/>
  <c r="Q59"/>
  <c r="I60"/>
  <c r="Q60"/>
  <c r="I61"/>
  <c r="Q61"/>
  <c r="I62"/>
  <c r="Q62"/>
  <c r="I63"/>
  <c r="Q63"/>
  <c r="I64"/>
  <c r="Q64"/>
  <c r="I65"/>
  <c r="Q65"/>
  <c r="I66"/>
  <c r="Q66"/>
  <c r="I67"/>
  <c r="Q67"/>
  <c r="I68"/>
  <c r="Q68"/>
  <c r="I69"/>
  <c r="Q69"/>
  <c r="I70"/>
  <c r="Q70"/>
  <c r="I71"/>
  <c r="Q71"/>
  <c r="I72"/>
  <c r="Q72"/>
  <c r="I73"/>
  <c r="Q73"/>
  <c r="I74"/>
  <c r="Q74"/>
  <c r="I75"/>
  <c r="Q75"/>
  <c r="I76"/>
  <c r="Q76"/>
  <c r="I77"/>
  <c r="Q77"/>
  <c r="I78"/>
  <c r="Q78"/>
  <c r="I79"/>
  <c r="Q79"/>
  <c r="I80"/>
  <c r="Q80"/>
  <c r="I81"/>
  <c r="Q81"/>
  <c r="I82"/>
  <c r="Q82"/>
  <c r="I83"/>
  <c r="Q83"/>
  <c r="M80"/>
  <c r="M83"/>
  <c r="C4"/>
  <c r="K4"/>
  <c r="H7"/>
  <c r="H15"/>
  <c r="P15"/>
  <c r="H16"/>
  <c r="P16"/>
  <c r="H17"/>
  <c r="P17"/>
  <c r="H18"/>
  <c r="P18"/>
  <c r="H19"/>
  <c r="P19"/>
  <c r="H20"/>
  <c r="P20"/>
  <c r="H21"/>
  <c r="P21"/>
  <c r="H22"/>
  <c r="P22"/>
  <c r="H23"/>
  <c r="P23"/>
  <c r="H24"/>
  <c r="P24"/>
  <c r="H25"/>
  <c r="P25"/>
  <c r="H26"/>
  <c r="P26"/>
  <c r="H27"/>
  <c r="P27"/>
  <c r="H28"/>
  <c r="P28"/>
  <c r="H29"/>
  <c r="P29"/>
  <c r="H30"/>
  <c r="P30"/>
  <c r="H31"/>
  <c r="P31"/>
  <c r="H32"/>
  <c r="P32"/>
  <c r="H33"/>
  <c r="P33"/>
  <c r="H34"/>
  <c r="P34"/>
  <c r="H35"/>
  <c r="P35"/>
  <c r="H36"/>
  <c r="P36"/>
  <c r="H37"/>
  <c r="P37"/>
  <c r="H38"/>
  <c r="P38"/>
  <c r="H39"/>
  <c r="P39"/>
  <c r="H40"/>
  <c r="P40"/>
  <c r="H41"/>
  <c r="P41"/>
  <c r="H42"/>
  <c r="P42"/>
  <c r="H43"/>
  <c r="P43"/>
  <c r="H44"/>
  <c r="P44"/>
  <c r="H45"/>
  <c r="P45"/>
  <c r="H46"/>
  <c r="P46"/>
  <c r="H47"/>
  <c r="P47"/>
  <c r="H48"/>
  <c r="P48"/>
  <c r="H49"/>
  <c r="P49"/>
  <c r="H50"/>
  <c r="P50"/>
  <c r="H51"/>
  <c r="P51"/>
  <c r="H52"/>
  <c r="P52"/>
  <c r="H53"/>
  <c r="P53"/>
  <c r="H54"/>
  <c r="P54"/>
  <c r="H55"/>
  <c r="P55"/>
  <c r="H56"/>
  <c r="P56"/>
  <c r="H57"/>
  <c r="P57"/>
  <c r="H58"/>
  <c r="P58"/>
  <c r="H59"/>
  <c r="P59"/>
  <c r="H60"/>
  <c r="P60"/>
  <c r="H61"/>
  <c r="P61"/>
  <c r="H62"/>
  <c r="P62"/>
  <c r="H63"/>
  <c r="P63"/>
  <c r="H64"/>
  <c r="P64"/>
  <c r="H65"/>
  <c r="P65"/>
  <c r="H66"/>
  <c r="P66"/>
  <c r="H67"/>
  <c r="P67"/>
  <c r="H68"/>
  <c r="P68"/>
  <c r="H69"/>
  <c r="P69"/>
  <c r="H70"/>
  <c r="P70"/>
  <c r="H71"/>
  <c r="P71"/>
  <c r="H72"/>
  <c r="P72"/>
  <c r="H73"/>
  <c r="P73"/>
  <c r="H74"/>
  <c r="P74"/>
  <c r="H75"/>
  <c r="P75"/>
  <c r="H76"/>
  <c r="P76"/>
  <c r="H77"/>
  <c r="P77"/>
  <c r="H78"/>
  <c r="P78"/>
  <c r="H79"/>
  <c r="P79"/>
  <c r="H80"/>
  <c r="P80"/>
  <c r="H81"/>
  <c r="P81"/>
  <c r="H82"/>
  <c r="P82"/>
  <c r="H83"/>
  <c r="E82"/>
  <c r="E83"/>
  <c r="C82"/>
  <c r="B4"/>
  <c r="J4"/>
  <c r="G7"/>
  <c r="G15"/>
  <c r="O15"/>
  <c r="G16"/>
  <c r="O16"/>
  <c r="G17"/>
  <c r="O17"/>
  <c r="G18"/>
  <c r="O18"/>
  <c r="G19"/>
  <c r="O19"/>
  <c r="G20"/>
  <c r="O20"/>
  <c r="G21"/>
  <c r="O21"/>
  <c r="G22"/>
  <c r="O22"/>
  <c r="G23"/>
  <c r="O23"/>
  <c r="G24"/>
  <c r="O24"/>
  <c r="G25"/>
  <c r="O25"/>
  <c r="G26"/>
  <c r="O26"/>
  <c r="G27"/>
  <c r="O27"/>
  <c r="G28"/>
  <c r="O28"/>
  <c r="G29"/>
  <c r="O29"/>
  <c r="G30"/>
  <c r="O30"/>
  <c r="G31"/>
  <c r="O31"/>
  <c r="G32"/>
  <c r="O32"/>
  <c r="G33"/>
  <c r="O33"/>
  <c r="G34"/>
  <c r="O34"/>
  <c r="G35"/>
  <c r="O35"/>
  <c r="G36"/>
  <c r="O36"/>
  <c r="G37"/>
  <c r="O37"/>
  <c r="G38"/>
  <c r="O38"/>
  <c r="G39"/>
  <c r="O39"/>
  <c r="G40"/>
  <c r="O40"/>
  <c r="G41"/>
  <c r="O41"/>
  <c r="G42"/>
  <c r="O42"/>
  <c r="G43"/>
  <c r="O43"/>
  <c r="G44"/>
  <c r="O44"/>
  <c r="G45"/>
  <c r="O45"/>
  <c r="G46"/>
  <c r="O46"/>
  <c r="G47"/>
  <c r="O47"/>
  <c r="G48"/>
  <c r="O48"/>
  <c r="G49"/>
  <c r="O49"/>
  <c r="G50"/>
  <c r="O50"/>
  <c r="G51"/>
  <c r="O51"/>
  <c r="G52"/>
  <c r="O52"/>
  <c r="G53"/>
  <c r="O53"/>
  <c r="G54"/>
  <c r="O54"/>
  <c r="G55"/>
  <c r="O55"/>
  <c r="G56"/>
  <c r="O56"/>
  <c r="G57"/>
  <c r="O57"/>
  <c r="G58"/>
  <c r="O58"/>
  <c r="G59"/>
  <c r="O59"/>
  <c r="G60"/>
  <c r="O60"/>
  <c r="G61"/>
  <c r="O61"/>
  <c r="G62"/>
  <c r="O62"/>
  <c r="G63"/>
  <c r="O63"/>
  <c r="G64"/>
  <c r="O64"/>
  <c r="G65"/>
  <c r="O65"/>
  <c r="G66"/>
  <c r="O66"/>
  <c r="G67"/>
  <c r="O67"/>
  <c r="G68"/>
  <c r="O68"/>
  <c r="G69"/>
  <c r="O69"/>
  <c r="G70"/>
  <c r="O70"/>
  <c r="G71"/>
  <c r="O71"/>
  <c r="G72"/>
  <c r="O72"/>
  <c r="G73"/>
  <c r="O73"/>
  <c r="G74"/>
  <c r="O74"/>
  <c r="G75"/>
  <c r="O75"/>
  <c r="G76"/>
  <c r="O76"/>
  <c r="G77"/>
  <c r="O77"/>
  <c r="G78"/>
  <c r="O78"/>
  <c r="G79"/>
  <c r="O79"/>
  <c r="G80"/>
  <c r="O80"/>
  <c r="G81"/>
  <c r="O81"/>
  <c r="G82"/>
  <c r="O82"/>
  <c r="G83"/>
  <c r="O83"/>
  <c r="E79"/>
  <c r="A4"/>
  <c r="I4"/>
  <c r="F7"/>
  <c r="F15"/>
  <c r="N15"/>
  <c r="F16"/>
  <c r="N16"/>
  <c r="F17"/>
  <c r="N17"/>
  <c r="F18"/>
  <c r="N18"/>
  <c r="F19"/>
  <c r="N19"/>
  <c r="F20"/>
  <c r="N20"/>
  <c r="F21"/>
  <c r="N21"/>
  <c r="F22"/>
  <c r="N22"/>
  <c r="F23"/>
  <c r="N23"/>
  <c r="F24"/>
  <c r="N24"/>
  <c r="F25"/>
  <c r="N25"/>
  <c r="F26"/>
  <c r="N26"/>
  <c r="F27"/>
  <c r="N27"/>
  <c r="F28"/>
  <c r="N28"/>
  <c r="F29"/>
  <c r="N29"/>
  <c r="F30"/>
  <c r="N30"/>
  <c r="F31"/>
  <c r="N31"/>
  <c r="F32"/>
  <c r="N32"/>
  <c r="F33"/>
  <c r="N33"/>
  <c r="F34"/>
  <c r="N34"/>
  <c r="F35"/>
  <c r="N35"/>
  <c r="F36"/>
  <c r="N36"/>
  <c r="F37"/>
  <c r="N37"/>
  <c r="F38"/>
  <c r="N38"/>
  <c r="F39"/>
  <c r="N39"/>
  <c r="F40"/>
  <c r="N40"/>
  <c r="F41"/>
  <c r="N41"/>
  <c r="F42"/>
  <c r="N42"/>
  <c r="F43"/>
  <c r="N43"/>
  <c r="F44"/>
  <c r="N44"/>
  <c r="F45"/>
  <c r="N45"/>
  <c r="F46"/>
  <c r="N46"/>
  <c r="F47"/>
  <c r="N47"/>
  <c r="F48"/>
  <c r="N48"/>
  <c r="F49"/>
  <c r="N49"/>
  <c r="F50"/>
  <c r="N50"/>
  <c r="F51"/>
  <c r="N51"/>
  <c r="F52"/>
  <c r="N52"/>
  <c r="F53"/>
  <c r="N53"/>
  <c r="F54"/>
  <c r="N54"/>
  <c r="F55"/>
  <c r="N55"/>
  <c r="F56"/>
  <c r="N56"/>
  <c r="F57"/>
  <c r="N57"/>
  <c r="F58"/>
  <c r="N58"/>
  <c r="F59"/>
  <c r="N59"/>
  <c r="F60"/>
  <c r="N60"/>
  <c r="F61"/>
  <c r="N61"/>
  <c r="F62"/>
  <c r="N62"/>
  <c r="F63"/>
  <c r="N63"/>
  <c r="F64"/>
  <c r="N64"/>
  <c r="F65"/>
  <c r="N65"/>
  <c r="F66"/>
  <c r="N66"/>
  <c r="F67"/>
  <c r="N67"/>
  <c r="F68"/>
  <c r="N68"/>
  <c r="F69"/>
  <c r="N69"/>
  <c r="F70"/>
  <c r="N70"/>
  <c r="F71"/>
  <c r="N71"/>
  <c r="F72"/>
  <c r="N72"/>
  <c r="F73"/>
  <c r="N73"/>
  <c r="F74"/>
  <c r="N74"/>
  <c r="F75"/>
  <c r="N75"/>
  <c r="F76"/>
  <c r="N76"/>
  <c r="F77"/>
  <c r="N77"/>
  <c r="F78"/>
  <c r="N78"/>
  <c r="F79"/>
  <c r="N79"/>
  <c r="F80"/>
  <c r="N80"/>
  <c r="F81"/>
  <c r="N81"/>
  <c r="F82"/>
  <c r="N82"/>
  <c r="F83"/>
  <c r="N83"/>
  <c r="M62"/>
  <c r="E68"/>
  <c r="M69"/>
  <c r="M70"/>
  <c r="E71"/>
  <c r="E72"/>
  <c r="M72"/>
  <c r="M73"/>
  <c r="M74"/>
  <c r="M75"/>
  <c r="E76"/>
  <c r="E77"/>
  <c r="E78"/>
  <c r="M79"/>
  <c r="M81"/>
  <c r="AB82" l="1"/>
  <c r="AB74"/>
  <c r="AB70"/>
  <c r="AC69"/>
  <c r="AC68"/>
  <c r="AC66"/>
  <c r="AB62"/>
  <c r="AC58"/>
  <c r="AC55"/>
  <c r="AB54"/>
  <c r="AC52"/>
  <c r="AC50"/>
  <c r="AC47"/>
  <c r="AB46"/>
  <c r="AC42"/>
  <c r="AC39"/>
  <c r="AB38"/>
  <c r="AC37"/>
  <c r="AC36"/>
  <c r="AC34"/>
  <c r="AC31"/>
  <c r="AB30"/>
  <c r="AC26"/>
  <c r="AB22"/>
  <c r="AC21"/>
  <c r="AC20"/>
  <c r="AB18"/>
  <c r="AC15"/>
  <c r="AJ24" i="2"/>
  <c r="AL17"/>
  <c r="AJ46"/>
  <c r="AL39"/>
  <c r="AJ37"/>
  <c r="AB32"/>
  <c r="AL21"/>
  <c r="AB45"/>
  <c r="AC40"/>
  <c r="AC38"/>
  <c r="AL37"/>
  <c r="AC32"/>
  <c r="AC25"/>
  <c r="AC47"/>
  <c r="AJ45"/>
  <c r="AJ38"/>
  <c r="AL25"/>
  <c r="AL47"/>
  <c r="AL45"/>
  <c r="AL29"/>
  <c r="AB24"/>
  <c r="AJ20"/>
  <c r="AC17"/>
  <c r="AC48"/>
  <c r="AB46"/>
  <c r="AL43"/>
  <c r="AL41"/>
  <c r="AC39"/>
  <c r="AC33"/>
  <c r="AJ17"/>
  <c r="AJ39"/>
  <c r="AC16"/>
  <c r="AJ16"/>
  <c r="AL52" i="1"/>
  <c r="AL68"/>
  <c r="AJ65"/>
  <c r="AJ61"/>
  <c r="AJ46"/>
  <c r="AL35"/>
  <c r="AJ20"/>
  <c r="AJ24"/>
  <c r="AL78"/>
  <c r="AL67"/>
  <c r="AJ48"/>
  <c r="AJ33"/>
  <c r="AJ29"/>
  <c r="AJ64"/>
  <c r="AJ49"/>
  <c r="AJ45"/>
  <c r="AJ30"/>
  <c r="AL19"/>
  <c r="AJ16"/>
  <c r="U49" i="2"/>
  <c r="AK49" s="1"/>
  <c r="U48"/>
  <c r="U47"/>
  <c r="U46"/>
  <c r="AK46" s="1"/>
  <c r="U45"/>
  <c r="U44"/>
  <c r="U43"/>
  <c r="U42"/>
  <c r="AK42" s="1"/>
  <c r="U41"/>
  <c r="AK41" s="1"/>
  <c r="U40"/>
  <c r="U39"/>
  <c r="AK39" s="1"/>
  <c r="U38"/>
  <c r="AK38" s="1"/>
  <c r="T45"/>
  <c r="T47"/>
  <c r="T48"/>
  <c r="AM48" s="1"/>
  <c r="T41"/>
  <c r="T42"/>
  <c r="AM42" s="1"/>
  <c r="T43"/>
  <c r="T44"/>
  <c r="AM44" s="1"/>
  <c r="T49"/>
  <c r="T40"/>
  <c r="T38"/>
  <c r="AM38" s="1"/>
  <c r="T39"/>
  <c r="T46"/>
  <c r="AM46" s="1"/>
  <c r="AJ48"/>
  <c r="AB48"/>
  <c r="AJ44"/>
  <c r="AB44"/>
  <c r="AJ40"/>
  <c r="AB40"/>
  <c r="AJ47"/>
  <c r="AJ43"/>
  <c r="T20"/>
  <c r="T33"/>
  <c r="AM33" s="1"/>
  <c r="T22"/>
  <c r="AM22" s="1"/>
  <c r="T27"/>
  <c r="T32"/>
  <c r="T25"/>
  <c r="AM25" s="1"/>
  <c r="T34"/>
  <c r="AM34" s="1"/>
  <c r="T31"/>
  <c r="T19"/>
  <c r="T24"/>
  <c r="T37"/>
  <c r="AM37" s="1"/>
  <c r="T36"/>
  <c r="T26"/>
  <c r="T29"/>
  <c r="T17"/>
  <c r="AM17" s="1"/>
  <c r="T18"/>
  <c r="AM18" s="1"/>
  <c r="T23"/>
  <c r="T28"/>
  <c r="T16"/>
  <c r="T21"/>
  <c r="T30"/>
  <c r="AM30" s="1"/>
  <c r="T35"/>
  <c r="U37"/>
  <c r="U36"/>
  <c r="AK36" s="1"/>
  <c r="U35"/>
  <c r="U34"/>
  <c r="U33"/>
  <c r="U32"/>
  <c r="AK32" s="1"/>
  <c r="U31"/>
  <c r="U30"/>
  <c r="U29"/>
  <c r="U28"/>
  <c r="AK28" s="1"/>
  <c r="U27"/>
  <c r="U26"/>
  <c r="AK26" s="1"/>
  <c r="U25"/>
  <c r="U24"/>
  <c r="AK24" s="1"/>
  <c r="U23"/>
  <c r="U22"/>
  <c r="U21"/>
  <c r="U20"/>
  <c r="AK20" s="1"/>
  <c r="U19"/>
  <c r="U18"/>
  <c r="U17"/>
  <c r="AK17" s="1"/>
  <c r="U16"/>
  <c r="AK16" s="1"/>
  <c r="AM26"/>
  <c r="AJ35"/>
  <c r="AL35"/>
  <c r="AJ34"/>
  <c r="AB34"/>
  <c r="AL31"/>
  <c r="AJ30"/>
  <c r="AB30"/>
  <c r="AL27"/>
  <c r="AJ26"/>
  <c r="AB26"/>
  <c r="AL23"/>
  <c r="AJ22"/>
  <c r="AB22"/>
  <c r="AL19"/>
  <c r="AJ18"/>
  <c r="AB18"/>
  <c r="AC34"/>
  <c r="AC30"/>
  <c r="AC26"/>
  <c r="AC22"/>
  <c r="AC18"/>
  <c r="AJ33"/>
  <c r="AJ29"/>
  <c r="AJ25"/>
  <c r="AJ21"/>
  <c r="AB35"/>
  <c r="AJ31"/>
  <c r="AB31"/>
  <c r="AJ27"/>
  <c r="AB27"/>
  <c r="AJ23"/>
  <c r="AB23"/>
  <c r="AJ19"/>
  <c r="AB19"/>
  <c r="T15"/>
  <c r="AM15" s="1"/>
  <c r="U15"/>
  <c r="AC15"/>
  <c r="AB15"/>
  <c r="AJ15"/>
  <c r="AB78" i="1"/>
  <c r="AC77"/>
  <c r="AB72"/>
  <c r="AC71"/>
  <c r="AB64"/>
  <c r="AC63"/>
  <c r="AC61"/>
  <c r="AC60"/>
  <c r="AB56"/>
  <c r="AC53"/>
  <c r="AB48"/>
  <c r="AC45"/>
  <c r="AC44"/>
  <c r="AB40"/>
  <c r="AB32"/>
  <c r="AB29"/>
  <c r="AB28"/>
  <c r="AB24"/>
  <c r="AC23"/>
  <c r="AB16"/>
  <c r="AC79"/>
  <c r="T22"/>
  <c r="AM22" s="1"/>
  <c r="T36"/>
  <c r="AM36" s="1"/>
  <c r="T45"/>
  <c r="AM45" s="1"/>
  <c r="T54"/>
  <c r="AM54" s="1"/>
  <c r="T68"/>
  <c r="AM68" s="1"/>
  <c r="T17"/>
  <c r="AM17" s="1"/>
  <c r="T23"/>
  <c r="T27"/>
  <c r="AM27" s="1"/>
  <c r="T40"/>
  <c r="AM40" s="1"/>
  <c r="T42"/>
  <c r="T49"/>
  <c r="AM49" s="1"/>
  <c r="T55"/>
  <c r="T59"/>
  <c r="AM59" s="1"/>
  <c r="T72"/>
  <c r="AM72" s="1"/>
  <c r="T74"/>
  <c r="T78"/>
  <c r="AM78" s="1"/>
  <c r="T79"/>
  <c r="T37"/>
  <c r="AM37" s="1"/>
  <c r="T46"/>
  <c r="AM46" s="1"/>
  <c r="T28"/>
  <c r="AM28" s="1"/>
  <c r="T19"/>
  <c r="T32"/>
  <c r="AM32" s="1"/>
  <c r="T34"/>
  <c r="T41"/>
  <c r="AM41" s="1"/>
  <c r="T47"/>
  <c r="T51"/>
  <c r="AM51" s="1"/>
  <c r="T64"/>
  <c r="AM64" s="1"/>
  <c r="T66"/>
  <c r="T73"/>
  <c r="T80"/>
  <c r="AM80" s="1"/>
  <c r="T82"/>
  <c r="T20"/>
  <c r="AM20" s="1"/>
  <c r="T29"/>
  <c r="AM29" s="1"/>
  <c r="T61"/>
  <c r="AM61" s="1"/>
  <c r="T38"/>
  <c r="AM38" s="1"/>
  <c r="T52"/>
  <c r="AM52" s="1"/>
  <c r="T24"/>
  <c r="AM24" s="1"/>
  <c r="T26"/>
  <c r="T33"/>
  <c r="AM33" s="1"/>
  <c r="T39"/>
  <c r="T43"/>
  <c r="AM43" s="1"/>
  <c r="T56"/>
  <c r="AM56" s="1"/>
  <c r="T58"/>
  <c r="T65"/>
  <c r="AM65" s="1"/>
  <c r="T71"/>
  <c r="AM71" s="1"/>
  <c r="T75"/>
  <c r="AM75" s="1"/>
  <c r="T81"/>
  <c r="T70"/>
  <c r="AM70" s="1"/>
  <c r="T21"/>
  <c r="AM21" s="1"/>
  <c r="T30"/>
  <c r="AM30" s="1"/>
  <c r="T44"/>
  <c r="AM44" s="1"/>
  <c r="T53"/>
  <c r="AM53" s="1"/>
  <c r="T62"/>
  <c r="T76"/>
  <c r="AM76" s="1"/>
  <c r="T16"/>
  <c r="AM16" s="1"/>
  <c r="T18"/>
  <c r="T25"/>
  <c r="AM25" s="1"/>
  <c r="T31"/>
  <c r="T35"/>
  <c r="AM35" s="1"/>
  <c r="T48"/>
  <c r="AM48" s="1"/>
  <c r="T50"/>
  <c r="T57"/>
  <c r="AM57" s="1"/>
  <c r="T63"/>
  <c r="T67"/>
  <c r="T77"/>
  <c r="AM77" s="1"/>
  <c r="T83"/>
  <c r="AM83" s="1"/>
  <c r="T60"/>
  <c r="AM60" s="1"/>
  <c r="T69"/>
  <c r="AM69" s="1"/>
  <c r="U81"/>
  <c r="AK81" s="1"/>
  <c r="U80"/>
  <c r="AK80" s="1"/>
  <c r="U78"/>
  <c r="AK78" s="1"/>
  <c r="U77"/>
  <c r="AK77" s="1"/>
  <c r="U76"/>
  <c r="AK76" s="1"/>
  <c r="U75"/>
  <c r="AK75" s="1"/>
  <c r="U74"/>
  <c r="U73"/>
  <c r="AK73" s="1"/>
  <c r="U72"/>
  <c r="U71"/>
  <c r="U70"/>
  <c r="AK70" s="1"/>
  <c r="U69"/>
  <c r="AK69" s="1"/>
  <c r="U68"/>
  <c r="AK68" s="1"/>
  <c r="U67"/>
  <c r="AK67" s="1"/>
  <c r="U66"/>
  <c r="U65"/>
  <c r="AK65" s="1"/>
  <c r="U64"/>
  <c r="U63"/>
  <c r="U62"/>
  <c r="AK62" s="1"/>
  <c r="U61"/>
  <c r="AK61" s="1"/>
  <c r="U60"/>
  <c r="AK60" s="1"/>
  <c r="U59"/>
  <c r="AK59" s="1"/>
  <c r="U58"/>
  <c r="U57"/>
  <c r="AK57" s="1"/>
  <c r="U56"/>
  <c r="U55"/>
  <c r="U54"/>
  <c r="AK54" s="1"/>
  <c r="U53"/>
  <c r="AK53" s="1"/>
  <c r="U52"/>
  <c r="AK52" s="1"/>
  <c r="U51"/>
  <c r="AK51" s="1"/>
  <c r="U50"/>
  <c r="U49"/>
  <c r="U48"/>
  <c r="AK48" s="1"/>
  <c r="U47"/>
  <c r="U46"/>
  <c r="AK46" s="1"/>
  <c r="U45"/>
  <c r="AK45" s="1"/>
  <c r="U44"/>
  <c r="AK44" s="1"/>
  <c r="U43"/>
  <c r="AK43" s="1"/>
  <c r="U42"/>
  <c r="U41"/>
  <c r="AK41" s="1"/>
  <c r="U40"/>
  <c r="U39"/>
  <c r="U38"/>
  <c r="AK38" s="1"/>
  <c r="U37"/>
  <c r="AK37" s="1"/>
  <c r="U36"/>
  <c r="AK36" s="1"/>
  <c r="U35"/>
  <c r="AK35" s="1"/>
  <c r="U34"/>
  <c r="U33"/>
  <c r="U32"/>
  <c r="U31"/>
  <c r="U30"/>
  <c r="AK30" s="1"/>
  <c r="U29"/>
  <c r="U28"/>
  <c r="AK28" s="1"/>
  <c r="U27"/>
  <c r="AK27" s="1"/>
  <c r="U26"/>
  <c r="U25"/>
  <c r="AK25" s="1"/>
  <c r="U24"/>
  <c r="U23"/>
  <c r="U22"/>
  <c r="AK22" s="1"/>
  <c r="U21"/>
  <c r="AK21" s="1"/>
  <c r="U20"/>
  <c r="AK20" s="1"/>
  <c r="U19"/>
  <c r="AK19" s="1"/>
  <c r="U18"/>
  <c r="U17"/>
  <c r="AK17" s="1"/>
  <c r="U16"/>
  <c r="AK16" s="1"/>
  <c r="U82"/>
  <c r="U79"/>
  <c r="U83"/>
  <c r="AJ82"/>
  <c r="AJ74"/>
  <c r="AJ79"/>
  <c r="AJ71"/>
  <c r="AJ63"/>
  <c r="AJ55"/>
  <c r="AJ47"/>
  <c r="AJ39"/>
  <c r="AJ31"/>
  <c r="AJ23"/>
  <c r="AL82"/>
  <c r="AL74"/>
  <c r="AL66"/>
  <c r="AL58"/>
  <c r="AL50"/>
  <c r="AL42"/>
  <c r="AL34"/>
  <c r="AL26"/>
  <c r="AL18"/>
  <c r="AL63"/>
  <c r="AL55"/>
  <c r="AL47"/>
  <c r="AL39"/>
  <c r="AL31"/>
  <c r="AL23"/>
  <c r="AJ83"/>
  <c r="AJ66"/>
  <c r="AJ58"/>
  <c r="AJ50"/>
  <c r="AJ42"/>
  <c r="AJ34"/>
  <c r="AJ26"/>
  <c r="U15"/>
  <c r="T15"/>
  <c r="AJ15"/>
  <c r="AK33" l="1"/>
  <c r="AK29"/>
  <c r="AK49"/>
  <c r="AK45" i="2"/>
  <c r="AK22"/>
  <c r="AK30"/>
  <c r="AM29"/>
  <c r="AK37"/>
  <c r="AK27"/>
  <c r="AM19"/>
  <c r="AK48"/>
  <c r="AM21"/>
  <c r="AA35"/>
  <c r="AD35" s="1"/>
  <c r="AA23"/>
  <c r="AD23" s="1"/>
  <c r="AA44"/>
  <c r="AD44" s="1"/>
  <c r="AZ44" s="1"/>
  <c r="AA46"/>
  <c r="AD46" s="1"/>
  <c r="AG46" s="1"/>
  <c r="AA40"/>
  <c r="AD40" s="1"/>
  <c r="AQ40" s="1"/>
  <c r="AA38"/>
  <c r="AD38" s="1"/>
  <c r="AS38" s="1"/>
  <c r="AK31"/>
  <c r="AA27"/>
  <c r="AD27" s="1"/>
  <c r="AZ27" s="1"/>
  <c r="AA42"/>
  <c r="AD42" s="1"/>
  <c r="AF42" s="1"/>
  <c r="AK23"/>
  <c r="AA48"/>
  <c r="AD48" s="1"/>
  <c r="AA19"/>
  <c r="AD19" s="1"/>
  <c r="AK35"/>
  <c r="AM45"/>
  <c r="AA45"/>
  <c r="AD45" s="1"/>
  <c r="AX45" s="1"/>
  <c r="AM47"/>
  <c r="AA47"/>
  <c r="AD47" s="1"/>
  <c r="AF47" s="1"/>
  <c r="AA39"/>
  <c r="AD39" s="1"/>
  <c r="AM39"/>
  <c r="AM41"/>
  <c r="AA41"/>
  <c r="AD41" s="1"/>
  <c r="AA43"/>
  <c r="AD43" s="1"/>
  <c r="AS43" s="1"/>
  <c r="AM43"/>
  <c r="AA29"/>
  <c r="AD29" s="1"/>
  <c r="AG29" s="1"/>
  <c r="AM40"/>
  <c r="AA49"/>
  <c r="AD49" s="1"/>
  <c r="AM49"/>
  <c r="AK43"/>
  <c r="AK40"/>
  <c r="AK44"/>
  <c r="AK47"/>
  <c r="AA31"/>
  <c r="AD31" s="1"/>
  <c r="AG31" s="1"/>
  <c r="AA37"/>
  <c r="AD37" s="1"/>
  <c r="AX37" s="1"/>
  <c r="AK34"/>
  <c r="AA21"/>
  <c r="AD21" s="1"/>
  <c r="AE21" s="1"/>
  <c r="AA25"/>
  <c r="AD25" s="1"/>
  <c r="AQ25" s="1"/>
  <c r="AA30"/>
  <c r="AD30" s="1"/>
  <c r="AS30" s="1"/>
  <c r="AM20"/>
  <c r="AA20"/>
  <c r="AD20" s="1"/>
  <c r="AM27"/>
  <c r="AM28"/>
  <c r="AA28"/>
  <c r="AD28" s="1"/>
  <c r="AM24"/>
  <c r="AA24"/>
  <c r="AD24" s="1"/>
  <c r="AM16"/>
  <c r="AA16"/>
  <c r="AD16" s="1"/>
  <c r="AA17"/>
  <c r="AD17" s="1"/>
  <c r="AX17" s="1"/>
  <c r="AA22"/>
  <c r="AD22" s="1"/>
  <c r="AG22" s="1"/>
  <c r="AM36"/>
  <c r="AA36"/>
  <c r="AD36" s="1"/>
  <c r="AM32"/>
  <c r="AA32"/>
  <c r="AD32" s="1"/>
  <c r="AA33"/>
  <c r="AD33" s="1"/>
  <c r="AE33" s="1"/>
  <c r="AA26"/>
  <c r="AD26" s="1"/>
  <c r="AA34"/>
  <c r="AD34" s="1"/>
  <c r="AA18"/>
  <c r="AD18" s="1"/>
  <c r="AK25"/>
  <c r="AK29"/>
  <c r="AK21"/>
  <c r="AK18"/>
  <c r="AM35"/>
  <c r="AM23"/>
  <c r="AK33"/>
  <c r="AK19"/>
  <c r="AM31"/>
  <c r="AA15"/>
  <c r="AD15" s="1"/>
  <c r="AK15"/>
  <c r="AB60" i="1"/>
  <c r="AB68"/>
  <c r="AB52"/>
  <c r="AB69"/>
  <c r="AB77"/>
  <c r="AC28"/>
  <c r="AA58"/>
  <c r="AB50"/>
  <c r="AC29"/>
  <c r="AB53"/>
  <c r="AA42"/>
  <c r="AA26"/>
  <c r="AB61"/>
  <c r="AB21"/>
  <c r="AB45"/>
  <c r="AA34"/>
  <c r="AA40"/>
  <c r="AB66"/>
  <c r="AA80"/>
  <c r="AC74"/>
  <c r="AC82"/>
  <c r="AA66"/>
  <c r="AB20"/>
  <c r="AK39"/>
  <c r="AB37"/>
  <c r="AB79"/>
  <c r="AB36"/>
  <c r="AK71"/>
  <c r="AK63"/>
  <c r="AB44"/>
  <c r="AK31"/>
  <c r="AC72"/>
  <c r="AB31"/>
  <c r="AB63"/>
  <c r="AC40"/>
  <c r="AC64"/>
  <c r="AB55"/>
  <c r="AC24"/>
  <c r="AC56"/>
  <c r="AK66"/>
  <c r="AK58"/>
  <c r="AB47"/>
  <c r="AK42"/>
  <c r="AA41"/>
  <c r="AK47"/>
  <c r="AK23"/>
  <c r="AA65"/>
  <c r="AB58"/>
  <c r="AA24"/>
  <c r="AA32"/>
  <c r="AA64"/>
  <c r="AA33"/>
  <c r="AA57"/>
  <c r="AC18"/>
  <c r="AA48"/>
  <c r="AA56"/>
  <c r="AA72"/>
  <c r="AK72"/>
  <c r="AC70"/>
  <c r="AC78"/>
  <c r="AK40"/>
  <c r="AC62"/>
  <c r="AK64"/>
  <c r="AA19"/>
  <c r="AA59"/>
  <c r="AC32"/>
  <c r="AB23"/>
  <c r="AK55"/>
  <c r="AK56"/>
  <c r="AC46"/>
  <c r="AC30"/>
  <c r="AC54"/>
  <c r="AA63"/>
  <c r="AK24"/>
  <c r="AA67"/>
  <c r="AA27"/>
  <c r="AC22"/>
  <c r="AB42"/>
  <c r="AM67"/>
  <c r="AA18"/>
  <c r="AA50"/>
  <c r="AA79"/>
  <c r="AM79"/>
  <c r="AA49"/>
  <c r="AK74"/>
  <c r="AB26"/>
  <c r="AA77"/>
  <c r="AA21"/>
  <c r="AA43"/>
  <c r="AA29"/>
  <c r="AA47"/>
  <c r="AA22"/>
  <c r="AB34"/>
  <c r="AK32"/>
  <c r="AA83"/>
  <c r="AA31"/>
  <c r="AA30"/>
  <c r="AA61"/>
  <c r="AA51"/>
  <c r="AA37"/>
  <c r="AA36"/>
  <c r="AB76"/>
  <c r="AC76"/>
  <c r="AK50"/>
  <c r="AA25"/>
  <c r="AK18"/>
  <c r="AA60"/>
  <c r="AA35"/>
  <c r="AA44"/>
  <c r="AA38"/>
  <c r="AA46"/>
  <c r="AA45"/>
  <c r="AB19"/>
  <c r="AC19"/>
  <c r="AB27"/>
  <c r="AC27"/>
  <c r="AB35"/>
  <c r="AC35"/>
  <c r="AB43"/>
  <c r="AC43"/>
  <c r="AB51"/>
  <c r="AC51"/>
  <c r="AB59"/>
  <c r="AC59"/>
  <c r="AB67"/>
  <c r="AC67"/>
  <c r="AB75"/>
  <c r="AC75"/>
  <c r="AA69"/>
  <c r="AA53"/>
  <c r="AA52"/>
  <c r="AA28"/>
  <c r="AA55"/>
  <c r="AA54"/>
  <c r="AA73"/>
  <c r="AM73"/>
  <c r="AA62"/>
  <c r="AA71"/>
  <c r="AA68"/>
  <c r="AC17"/>
  <c r="AB17"/>
  <c r="AB25"/>
  <c r="AC25"/>
  <c r="AC33"/>
  <c r="AB33"/>
  <c r="AC41"/>
  <c r="AB41"/>
  <c r="AC49"/>
  <c r="AB49"/>
  <c r="AC57"/>
  <c r="AB57"/>
  <c r="AB65"/>
  <c r="AC65"/>
  <c r="AC73"/>
  <c r="AB73"/>
  <c r="AC81"/>
  <c r="AB81"/>
  <c r="AK34"/>
  <c r="AK26"/>
  <c r="AC16"/>
  <c r="AC48"/>
  <c r="AA17"/>
  <c r="AB39"/>
  <c r="AB71"/>
  <c r="AK82"/>
  <c r="AC38"/>
  <c r="AM19"/>
  <c r="AM62"/>
  <c r="AA76"/>
  <c r="AA75"/>
  <c r="AC80"/>
  <c r="AB80"/>
  <c r="AA81"/>
  <c r="AM81"/>
  <c r="AA16"/>
  <c r="AA82"/>
  <c r="AA74"/>
  <c r="AA23"/>
  <c r="AB83"/>
  <c r="AC83"/>
  <c r="AA70"/>
  <c r="AA39"/>
  <c r="AA20"/>
  <c r="AA78"/>
  <c r="AM55"/>
  <c r="AM34"/>
  <c r="AM66"/>
  <c r="AM82"/>
  <c r="AK79"/>
  <c r="AK83"/>
  <c r="AM31"/>
  <c r="AM47"/>
  <c r="AM63"/>
  <c r="AM42"/>
  <c r="AM18"/>
  <c r="AM74"/>
  <c r="AM50"/>
  <c r="AM23"/>
  <c r="AM39"/>
  <c r="AM26"/>
  <c r="AM58"/>
  <c r="AB15"/>
  <c r="AA15"/>
  <c r="AM15"/>
  <c r="AK15"/>
  <c r="AG44" i="2" l="1"/>
  <c r="AX46"/>
  <c r="AQ44"/>
  <c r="AF44"/>
  <c r="AP44" s="1"/>
  <c r="AS44"/>
  <c r="AG45"/>
  <c r="AF45"/>
  <c r="AW45" s="1"/>
  <c r="AF38"/>
  <c r="AW38" s="1"/>
  <c r="AX44"/>
  <c r="AQ31"/>
  <c r="AE44"/>
  <c r="AH44" s="1"/>
  <c r="AT44" s="1"/>
  <c r="AQ46"/>
  <c r="AE46"/>
  <c r="AH46" s="1"/>
  <c r="AS46"/>
  <c r="AZ46"/>
  <c r="AQ27"/>
  <c r="AF17"/>
  <c r="AP17" s="1"/>
  <c r="AZ38"/>
  <c r="AE17"/>
  <c r="AH17" s="1"/>
  <c r="AX38"/>
  <c r="AF46"/>
  <c r="AW46" s="1"/>
  <c r="AX29"/>
  <c r="AE38"/>
  <c r="AH38" s="1"/>
  <c r="AG17"/>
  <c r="AS31"/>
  <c r="AF31"/>
  <c r="AP31" s="1"/>
  <c r="AZ31"/>
  <c r="AQ38"/>
  <c r="AS21"/>
  <c r="AG37"/>
  <c r="AX27"/>
  <c r="AF29"/>
  <c r="AW29" s="1"/>
  <c r="AS29"/>
  <c r="AG42"/>
  <c r="AZ29"/>
  <c r="AE29"/>
  <c r="AH29" s="1"/>
  <c r="AQ29"/>
  <c r="AQ47"/>
  <c r="AE37"/>
  <c r="AH37" s="1"/>
  <c r="AS17"/>
  <c r="AX31"/>
  <c r="AS25"/>
  <c r="AG38"/>
  <c r="AZ42"/>
  <c r="AZ37"/>
  <c r="AZ17"/>
  <c r="AF37"/>
  <c r="AP37" s="1"/>
  <c r="AQ17"/>
  <c r="AQ37"/>
  <c r="AS37"/>
  <c r="AX48"/>
  <c r="AS48"/>
  <c r="AE48"/>
  <c r="AH48" s="1"/>
  <c r="AF48"/>
  <c r="AP48" s="1"/>
  <c r="AQ48"/>
  <c r="AG48"/>
  <c r="AE47"/>
  <c r="AH47" s="1"/>
  <c r="AS47"/>
  <c r="AE42"/>
  <c r="AH42" s="1"/>
  <c r="AX21"/>
  <c r="AZ47"/>
  <c r="AS42"/>
  <c r="AS40"/>
  <c r="AZ40"/>
  <c r="AQ42"/>
  <c r="AX42"/>
  <c r="AZ43"/>
  <c r="AG47"/>
  <c r="AG27"/>
  <c r="AX43"/>
  <c r="AE45"/>
  <c r="AI45" s="1"/>
  <c r="AX33"/>
  <c r="AF27"/>
  <c r="AP27" s="1"/>
  <c r="AF30"/>
  <c r="AW30" s="1"/>
  <c r="AZ25"/>
  <c r="AE27"/>
  <c r="AH27" s="1"/>
  <c r="AE30"/>
  <c r="AH30" s="1"/>
  <c r="AG43"/>
  <c r="AS45"/>
  <c r="AF43"/>
  <c r="AP43" s="1"/>
  <c r="AZ45"/>
  <c r="AS27"/>
  <c r="AF25"/>
  <c r="AP25" s="1"/>
  <c r="AE43"/>
  <c r="AH43" s="1"/>
  <c r="AQ45"/>
  <c r="AZ48"/>
  <c r="AQ43"/>
  <c r="AE25"/>
  <c r="AH25" s="1"/>
  <c r="AT25" s="1"/>
  <c r="AE40"/>
  <c r="AI40" s="1"/>
  <c r="AZ21"/>
  <c r="AX30"/>
  <c r="AX47"/>
  <c r="AX40"/>
  <c r="AQ21"/>
  <c r="AG30"/>
  <c r="AG40"/>
  <c r="AQ33"/>
  <c r="AF40"/>
  <c r="AW40" s="1"/>
  <c r="AG39"/>
  <c r="AX39"/>
  <c r="AQ39"/>
  <c r="AZ39"/>
  <c r="AS39"/>
  <c r="AE39"/>
  <c r="AF39"/>
  <c r="AF49"/>
  <c r="AG49"/>
  <c r="AX49"/>
  <c r="AS49"/>
  <c r="AQ49"/>
  <c r="AZ49"/>
  <c r="AE49"/>
  <c r="AX41"/>
  <c r="AQ41"/>
  <c r="AZ41"/>
  <c r="AS41"/>
  <c r="AE41"/>
  <c r="AF41"/>
  <c r="AG41"/>
  <c r="AW42"/>
  <c r="AP42"/>
  <c r="AW47"/>
  <c r="AP47"/>
  <c r="AG21"/>
  <c r="AS33"/>
  <c r="AF21"/>
  <c r="AP21" s="1"/>
  <c r="AZ33"/>
  <c r="AF33"/>
  <c r="AP33" s="1"/>
  <c r="AQ30"/>
  <c r="AE31"/>
  <c r="AH31" s="1"/>
  <c r="AG33"/>
  <c r="AZ30"/>
  <c r="AG25"/>
  <c r="AX25"/>
  <c r="AZ22"/>
  <c r="AQ22"/>
  <c r="AX22"/>
  <c r="AQ26"/>
  <c r="AZ26"/>
  <c r="AS26"/>
  <c r="AE26"/>
  <c r="AH26" s="1"/>
  <c r="AF26"/>
  <c r="AP26" s="1"/>
  <c r="AG26"/>
  <c r="AX26"/>
  <c r="AF34"/>
  <c r="AW34" s="1"/>
  <c r="AQ34"/>
  <c r="AZ34"/>
  <c r="AG34"/>
  <c r="AS34"/>
  <c r="AX34"/>
  <c r="AE34"/>
  <c r="AI34" s="1"/>
  <c r="AF18"/>
  <c r="AW18" s="1"/>
  <c r="AG18"/>
  <c r="AX18"/>
  <c r="AQ18"/>
  <c r="AZ18"/>
  <c r="AS18"/>
  <c r="AE18"/>
  <c r="AH18" s="1"/>
  <c r="AF32"/>
  <c r="AS32"/>
  <c r="AG32"/>
  <c r="AX32"/>
  <c r="AQ32"/>
  <c r="AZ32"/>
  <c r="AE32"/>
  <c r="AF22"/>
  <c r="AW22" s="1"/>
  <c r="AF16"/>
  <c r="AG16"/>
  <c r="AX16"/>
  <c r="AQ16"/>
  <c r="AZ16"/>
  <c r="AS16"/>
  <c r="AE16"/>
  <c r="AF20"/>
  <c r="AG20"/>
  <c r="AX20"/>
  <c r="AQ20"/>
  <c r="AZ20"/>
  <c r="AS20"/>
  <c r="AE20"/>
  <c r="AE22"/>
  <c r="AH22" s="1"/>
  <c r="AS22"/>
  <c r="AE28"/>
  <c r="AF28"/>
  <c r="AG28"/>
  <c r="AX28"/>
  <c r="AQ28"/>
  <c r="AZ28"/>
  <c r="AS28"/>
  <c r="AZ36"/>
  <c r="AQ36"/>
  <c r="AE36"/>
  <c r="AF36"/>
  <c r="AS36"/>
  <c r="AG36"/>
  <c r="AX36"/>
  <c r="AG24"/>
  <c r="AX24"/>
  <c r="AQ24"/>
  <c r="AZ24"/>
  <c r="AS24"/>
  <c r="AE24"/>
  <c r="AF24"/>
  <c r="AS19"/>
  <c r="AZ19"/>
  <c r="AQ19"/>
  <c r="AX19"/>
  <c r="AG19"/>
  <c r="AF19"/>
  <c r="AE19"/>
  <c r="AI21"/>
  <c r="AH21"/>
  <c r="AT21" s="1"/>
  <c r="AS23"/>
  <c r="AZ23"/>
  <c r="AQ23"/>
  <c r="AX23"/>
  <c r="AG23"/>
  <c r="AF23"/>
  <c r="AE23"/>
  <c r="AI33"/>
  <c r="BA33" s="1"/>
  <c r="AH33"/>
  <c r="AT33" s="1"/>
  <c r="AS35"/>
  <c r="AZ35"/>
  <c r="AX35"/>
  <c r="AG35"/>
  <c r="AF35"/>
  <c r="AE35"/>
  <c r="AQ35"/>
  <c r="AE15"/>
  <c r="AF15"/>
  <c r="AG15"/>
  <c r="AX15"/>
  <c r="AQ15"/>
  <c r="AZ15"/>
  <c r="AS15"/>
  <c r="AD52" i="1"/>
  <c r="AF52" s="1"/>
  <c r="AP52" s="1"/>
  <c r="AD60"/>
  <c r="AG60" s="1"/>
  <c r="AD68"/>
  <c r="AX68" s="1"/>
  <c r="AD53"/>
  <c r="AG53" s="1"/>
  <c r="AD69"/>
  <c r="AE69" s="1"/>
  <c r="AH69" s="1"/>
  <c r="AD77"/>
  <c r="AF77" s="1"/>
  <c r="AP77" s="1"/>
  <c r="AD28"/>
  <c r="AQ28" s="1"/>
  <c r="AD21"/>
  <c r="AF21" s="1"/>
  <c r="AP21" s="1"/>
  <c r="AD29"/>
  <c r="AF29" s="1"/>
  <c r="AP29" s="1"/>
  <c r="AD58"/>
  <c r="AZ58" s="1"/>
  <c r="AD50"/>
  <c r="AQ50" s="1"/>
  <c r="AD42"/>
  <c r="AS42" s="1"/>
  <c r="AD61"/>
  <c r="AE61" s="1"/>
  <c r="AH61" s="1"/>
  <c r="AD26"/>
  <c r="AZ26" s="1"/>
  <c r="AD40"/>
  <c r="AZ40" s="1"/>
  <c r="AD45"/>
  <c r="AQ45" s="1"/>
  <c r="AD34"/>
  <c r="AQ34" s="1"/>
  <c r="AD82"/>
  <c r="AF82" s="1"/>
  <c r="AP82" s="1"/>
  <c r="AD66"/>
  <c r="AF66" s="1"/>
  <c r="AD74"/>
  <c r="AX74" s="1"/>
  <c r="AD37"/>
  <c r="AZ37" s="1"/>
  <c r="AD72"/>
  <c r="AE72" s="1"/>
  <c r="AD36"/>
  <c r="AF36" s="1"/>
  <c r="AW36" s="1"/>
  <c r="AD20"/>
  <c r="AZ20" s="1"/>
  <c r="AD79"/>
  <c r="AS79" s="1"/>
  <c r="AD31"/>
  <c r="AF31" s="1"/>
  <c r="AD76"/>
  <c r="AQ76" s="1"/>
  <c r="AD62"/>
  <c r="AX62" s="1"/>
  <c r="AD30"/>
  <c r="AE30" s="1"/>
  <c r="AD78"/>
  <c r="AQ78" s="1"/>
  <c r="AD44"/>
  <c r="AF44" s="1"/>
  <c r="AW44" s="1"/>
  <c r="AD63"/>
  <c r="AF63" s="1"/>
  <c r="AD64"/>
  <c r="AS64" s="1"/>
  <c r="AD47"/>
  <c r="AF47" s="1"/>
  <c r="AD70"/>
  <c r="AQ70" s="1"/>
  <c r="AD55"/>
  <c r="AF55" s="1"/>
  <c r="AP55" s="1"/>
  <c r="AD24"/>
  <c r="AF24" s="1"/>
  <c r="AD54"/>
  <c r="AX54" s="1"/>
  <c r="AD56"/>
  <c r="AZ56" s="1"/>
  <c r="AD23"/>
  <c r="AX23" s="1"/>
  <c r="AD75"/>
  <c r="AX75" s="1"/>
  <c r="AD80"/>
  <c r="AZ80" s="1"/>
  <c r="AD46"/>
  <c r="AS46" s="1"/>
  <c r="AD32"/>
  <c r="AE32" s="1"/>
  <c r="AD71"/>
  <c r="AS71" s="1"/>
  <c r="AD18"/>
  <c r="AZ18" s="1"/>
  <c r="AD65"/>
  <c r="AQ65" s="1"/>
  <c r="AD67"/>
  <c r="AS67" s="1"/>
  <c r="AD19"/>
  <c r="AZ19" s="1"/>
  <c r="AD48"/>
  <c r="AZ48" s="1"/>
  <c r="AD59"/>
  <c r="AQ59" s="1"/>
  <c r="AD27"/>
  <c r="AG27" s="1"/>
  <c r="AD57"/>
  <c r="AZ57" s="1"/>
  <c r="AD33"/>
  <c r="AX33" s="1"/>
  <c r="AD41"/>
  <c r="AZ41" s="1"/>
  <c r="AD22"/>
  <c r="AD49"/>
  <c r="AD17"/>
  <c r="AD35"/>
  <c r="AD83"/>
  <c r="AD39"/>
  <c r="AD38"/>
  <c r="AD81"/>
  <c r="AD16"/>
  <c r="AD73"/>
  <c r="AD25"/>
  <c r="AD51"/>
  <c r="AD43"/>
  <c r="AD15"/>
  <c r="AZ15" s="1"/>
  <c r="AW43" i="2" l="1"/>
  <c r="AI17"/>
  <c r="AY17" s="1"/>
  <c r="AP30"/>
  <c r="AW37"/>
  <c r="AW17"/>
  <c r="AH34"/>
  <c r="AR34" s="1"/>
  <c r="AW27"/>
  <c r="AI37"/>
  <c r="AY37" s="1"/>
  <c r="AW26"/>
  <c r="AW44"/>
  <c r="AH45"/>
  <c r="AN45" s="1"/>
  <c r="AO45" s="1"/>
  <c r="AI44"/>
  <c r="BA44" s="1"/>
  <c r="AP38"/>
  <c r="AP45"/>
  <c r="AI38"/>
  <c r="AY38" s="1"/>
  <c r="AP29"/>
  <c r="AI25"/>
  <c r="BA25" s="1"/>
  <c r="AN38"/>
  <c r="AO38" s="1"/>
  <c r="AN27"/>
  <c r="AO27" s="1"/>
  <c r="AN29"/>
  <c r="AO29" s="1"/>
  <c r="AN31"/>
  <c r="AO31" s="1"/>
  <c r="AN46"/>
  <c r="AO46" s="1"/>
  <c r="AW33"/>
  <c r="AN33"/>
  <c r="AO33" s="1"/>
  <c r="AI27"/>
  <c r="AU27" s="1"/>
  <c r="AV27" s="1"/>
  <c r="AI29"/>
  <c r="BA29" s="1"/>
  <c r="AP46"/>
  <c r="AI46"/>
  <c r="BA46" s="1"/>
  <c r="AW21"/>
  <c r="AP22"/>
  <c r="AP40"/>
  <c r="AW31"/>
  <c r="AI47"/>
  <c r="BA47" s="1"/>
  <c r="AI48"/>
  <c r="AU48" s="1"/>
  <c r="AV48" s="1"/>
  <c r="AN43"/>
  <c r="AO43" s="1"/>
  <c r="AU21"/>
  <c r="AV21" s="1"/>
  <c r="AI22"/>
  <c r="AY22" s="1"/>
  <c r="AI43"/>
  <c r="AU43" s="1"/>
  <c r="AV43" s="1"/>
  <c r="AH40"/>
  <c r="AT40" s="1"/>
  <c r="AT47"/>
  <c r="AN47"/>
  <c r="AO47" s="1"/>
  <c r="AP34"/>
  <c r="AW48"/>
  <c r="AW25"/>
  <c r="AI42"/>
  <c r="BA42" s="1"/>
  <c r="AI30"/>
  <c r="BA30" s="1"/>
  <c r="AN44"/>
  <c r="AO44" s="1"/>
  <c r="AI31"/>
  <c r="AY31" s="1"/>
  <c r="AW49"/>
  <c r="AP49"/>
  <c r="AU40"/>
  <c r="AV40" s="1"/>
  <c r="AH41"/>
  <c r="AI41"/>
  <c r="AW41"/>
  <c r="AP41"/>
  <c r="AI49"/>
  <c r="AH49"/>
  <c r="AN49" s="1"/>
  <c r="AO49" s="1"/>
  <c r="AH39"/>
  <c r="AN39" s="1"/>
  <c r="AO39" s="1"/>
  <c r="AI39"/>
  <c r="AW39"/>
  <c r="AP39"/>
  <c r="AT48"/>
  <c r="AR48"/>
  <c r="AN48"/>
  <c r="AO48" s="1"/>
  <c r="AU45"/>
  <c r="AV45" s="1"/>
  <c r="BA45"/>
  <c r="AY45"/>
  <c r="AR44"/>
  <c r="AY40"/>
  <c r="BA40"/>
  <c r="AT42"/>
  <c r="AR42"/>
  <c r="AR47"/>
  <c r="AT46"/>
  <c r="AR46"/>
  <c r="AT38"/>
  <c r="AR38"/>
  <c r="AT43"/>
  <c r="AR43"/>
  <c r="AN42"/>
  <c r="AO42" s="1"/>
  <c r="AI26"/>
  <c r="AU26" s="1"/>
  <c r="AV26" s="1"/>
  <c r="AR33"/>
  <c r="AU33"/>
  <c r="AV33" s="1"/>
  <c r="AY33"/>
  <c r="AT18"/>
  <c r="AN18"/>
  <c r="AO18" s="1"/>
  <c r="AP36"/>
  <c r="AW36"/>
  <c r="AI18"/>
  <c r="AP18"/>
  <c r="AH24"/>
  <c r="AI24"/>
  <c r="AP24"/>
  <c r="AW24"/>
  <c r="AH20"/>
  <c r="AI20"/>
  <c r="AH16"/>
  <c r="AI16"/>
  <c r="AH32"/>
  <c r="AI32"/>
  <c r="AW20"/>
  <c r="AP20"/>
  <c r="AH28"/>
  <c r="AI28"/>
  <c r="AP16"/>
  <c r="AW16"/>
  <c r="AW32"/>
  <c r="AP32"/>
  <c r="AH36"/>
  <c r="AI36"/>
  <c r="AP28"/>
  <c r="AW28"/>
  <c r="AU34"/>
  <c r="AV34" s="1"/>
  <c r="AY34"/>
  <c r="BA34"/>
  <c r="AP19"/>
  <c r="AW19"/>
  <c r="AT27"/>
  <c r="AR27"/>
  <c r="AW23"/>
  <c r="AP23"/>
  <c r="AI19"/>
  <c r="AH19"/>
  <c r="AN25"/>
  <c r="AO25" s="1"/>
  <c r="AT37"/>
  <c r="AR37"/>
  <c r="AR26"/>
  <c r="AN26"/>
  <c r="AO26" s="1"/>
  <c r="AT26"/>
  <c r="AI23"/>
  <c r="AH23"/>
  <c r="AR30"/>
  <c r="AN30"/>
  <c r="AO30" s="1"/>
  <c r="AT30"/>
  <c r="AW35"/>
  <c r="AP35"/>
  <c r="AR25"/>
  <c r="AR18"/>
  <c r="AN21"/>
  <c r="AO21" s="1"/>
  <c r="AI35"/>
  <c r="AH35"/>
  <c r="AN37"/>
  <c r="AO37" s="1"/>
  <c r="AN22"/>
  <c r="AO22" s="1"/>
  <c r="AT22"/>
  <c r="AR22"/>
  <c r="AR31"/>
  <c r="AT31"/>
  <c r="AT29"/>
  <c r="AR29"/>
  <c r="AY21"/>
  <c r="BA21"/>
  <c r="AR21"/>
  <c r="AT17"/>
  <c r="AR17"/>
  <c r="AN17"/>
  <c r="AO17" s="1"/>
  <c r="AH15"/>
  <c r="AI15"/>
  <c r="AW15"/>
  <c r="AP15"/>
  <c r="AG52" i="1"/>
  <c r="AQ52"/>
  <c r="AZ52"/>
  <c r="AS52"/>
  <c r="AE52"/>
  <c r="AI52" s="1"/>
  <c r="BA52" s="1"/>
  <c r="AX52"/>
  <c r="AZ60"/>
  <c r="AE60"/>
  <c r="AI60" s="1"/>
  <c r="BA60" s="1"/>
  <c r="AF60"/>
  <c r="AW60" s="1"/>
  <c r="AS60"/>
  <c r="AX60"/>
  <c r="AQ60"/>
  <c r="AG68"/>
  <c r="AQ68"/>
  <c r="AS68"/>
  <c r="AE68"/>
  <c r="AI68" s="1"/>
  <c r="BA68" s="1"/>
  <c r="AZ68"/>
  <c r="AF68"/>
  <c r="AP68" s="1"/>
  <c r="AQ29"/>
  <c r="AX53"/>
  <c r="AE53"/>
  <c r="AI53" s="1"/>
  <c r="AY53" s="1"/>
  <c r="AZ34"/>
  <c r="AF53"/>
  <c r="AW53" s="1"/>
  <c r="AZ53"/>
  <c r="AQ53"/>
  <c r="AS26"/>
  <c r="AS53"/>
  <c r="AE29"/>
  <c r="AH29" s="1"/>
  <c r="AN29" s="1"/>
  <c r="AO29" s="1"/>
  <c r="AF37"/>
  <c r="AP37" s="1"/>
  <c r="AF69"/>
  <c r="AP69" s="1"/>
  <c r="AX69"/>
  <c r="AG69"/>
  <c r="AS69"/>
  <c r="AZ69"/>
  <c r="AQ69"/>
  <c r="AG29"/>
  <c r="AE34"/>
  <c r="AH34" s="1"/>
  <c r="AT34" s="1"/>
  <c r="AZ77"/>
  <c r="AE26"/>
  <c r="AH26" s="1"/>
  <c r="AS77"/>
  <c r="AS34"/>
  <c r="AF34"/>
  <c r="AW34" s="1"/>
  <c r="AW77"/>
  <c r="AG77"/>
  <c r="AX77"/>
  <c r="AG26"/>
  <c r="AE77"/>
  <c r="AH77" s="1"/>
  <c r="AR77" s="1"/>
  <c r="AF26"/>
  <c r="AP26" s="1"/>
  <c r="AQ77"/>
  <c r="AF28"/>
  <c r="AP28" s="1"/>
  <c r="AS28"/>
  <c r="AE78"/>
  <c r="AH78" s="1"/>
  <c r="AZ28"/>
  <c r="AG36"/>
  <c r="AX28"/>
  <c r="AX78"/>
  <c r="AE28"/>
  <c r="AI28" s="1"/>
  <c r="BA28" s="1"/>
  <c r="AG78"/>
  <c r="AZ78"/>
  <c r="AG28"/>
  <c r="AZ61"/>
  <c r="AG21"/>
  <c r="AX21"/>
  <c r="AF20"/>
  <c r="AW20" s="1"/>
  <c r="AE45"/>
  <c r="AH45" s="1"/>
  <c r="AT45" s="1"/>
  <c r="AS21"/>
  <c r="AS45"/>
  <c r="AE21"/>
  <c r="AH21" s="1"/>
  <c r="AN21" s="1"/>
  <c r="AO21" s="1"/>
  <c r="AW21"/>
  <c r="AF45"/>
  <c r="AW45" s="1"/>
  <c r="AQ21"/>
  <c r="AZ45"/>
  <c r="AZ21"/>
  <c r="AG34"/>
  <c r="AZ29"/>
  <c r="AX34"/>
  <c r="AS29"/>
  <c r="AX29"/>
  <c r="AX36"/>
  <c r="AQ36"/>
  <c r="AG42"/>
  <c r="AG44"/>
  <c r="AZ44"/>
  <c r="AG58"/>
  <c r="AS36"/>
  <c r="AS78"/>
  <c r="AX45"/>
  <c r="AF78"/>
  <c r="AP78" s="1"/>
  <c r="AE36"/>
  <c r="AI36" s="1"/>
  <c r="AX20"/>
  <c r="AZ36"/>
  <c r="AS20"/>
  <c r="AX65"/>
  <c r="AQ58"/>
  <c r="AE58"/>
  <c r="AI58" s="1"/>
  <c r="BA58" s="1"/>
  <c r="AF58"/>
  <c r="AP58" s="1"/>
  <c r="AX58"/>
  <c r="AS58"/>
  <c r="AF50"/>
  <c r="AW50" s="1"/>
  <c r="AZ50"/>
  <c r="AX31"/>
  <c r="AS50"/>
  <c r="AG31"/>
  <c r="AX50"/>
  <c r="AG50"/>
  <c r="AE50"/>
  <c r="AH50" s="1"/>
  <c r="AT50" s="1"/>
  <c r="AQ42"/>
  <c r="AX70"/>
  <c r="AG37"/>
  <c r="AS61"/>
  <c r="AX42"/>
  <c r="AI69"/>
  <c r="AE80"/>
  <c r="AH80" s="1"/>
  <c r="AT80" s="1"/>
  <c r="AQ37"/>
  <c r="AQ26"/>
  <c r="AX61"/>
  <c r="AH52"/>
  <c r="AR52" s="1"/>
  <c r="AS70"/>
  <c r="AX37"/>
  <c r="AF42"/>
  <c r="AW42" s="1"/>
  <c r="AF61"/>
  <c r="AP61" s="1"/>
  <c r="AZ42"/>
  <c r="AE42"/>
  <c r="AH42" s="1"/>
  <c r="AG61"/>
  <c r="AG70"/>
  <c r="AQ61"/>
  <c r="AS37"/>
  <c r="AG55"/>
  <c r="AE70"/>
  <c r="AH70" s="1"/>
  <c r="AT70" s="1"/>
  <c r="AE37"/>
  <c r="AH37" s="1"/>
  <c r="AF70"/>
  <c r="AW70" s="1"/>
  <c r="AG45"/>
  <c r="AG20"/>
  <c r="AX26"/>
  <c r="AF40"/>
  <c r="AQ66"/>
  <c r="AE40"/>
  <c r="AX40"/>
  <c r="AQ40"/>
  <c r="AG40"/>
  <c r="AS40"/>
  <c r="AZ31"/>
  <c r="AX48"/>
  <c r="AG66"/>
  <c r="AS66"/>
  <c r="AZ23"/>
  <c r="AS44"/>
  <c r="AX57"/>
  <c r="AZ66"/>
  <c r="AE66"/>
  <c r="AE31"/>
  <c r="AI31" s="1"/>
  <c r="AS57"/>
  <c r="AQ31"/>
  <c r="AE20"/>
  <c r="AI20" s="1"/>
  <c r="BA20" s="1"/>
  <c r="AS31"/>
  <c r="AQ20"/>
  <c r="AE62"/>
  <c r="AQ57"/>
  <c r="AW55"/>
  <c r="AE23"/>
  <c r="AH23" s="1"/>
  <c r="AT23" s="1"/>
  <c r="AW82"/>
  <c r="AZ82"/>
  <c r="AW66"/>
  <c r="AP66"/>
  <c r="AQ44"/>
  <c r="AX44"/>
  <c r="AZ72"/>
  <c r="AX55"/>
  <c r="AX80"/>
  <c r="AE82"/>
  <c r="AI82" s="1"/>
  <c r="BA82" s="1"/>
  <c r="AX66"/>
  <c r="AZ55"/>
  <c r="AQ74"/>
  <c r="AQ72"/>
  <c r="AX82"/>
  <c r="AE55"/>
  <c r="AI55" s="1"/>
  <c r="BA55" s="1"/>
  <c r="AS74"/>
  <c r="AQ55"/>
  <c r="AS82"/>
  <c r="AZ74"/>
  <c r="AQ82"/>
  <c r="AG82"/>
  <c r="AZ62"/>
  <c r="AS55"/>
  <c r="AQ30"/>
  <c r="AS62"/>
  <c r="AE44"/>
  <c r="AG80"/>
  <c r="AQ80"/>
  <c r="AS80"/>
  <c r="AG74"/>
  <c r="AE74"/>
  <c r="AH74" s="1"/>
  <c r="AE65"/>
  <c r="AI65" s="1"/>
  <c r="BA65" s="1"/>
  <c r="AF74"/>
  <c r="AP74" s="1"/>
  <c r="AG72"/>
  <c r="AF72"/>
  <c r="AH72"/>
  <c r="AT72" s="1"/>
  <c r="AI72"/>
  <c r="BA72" s="1"/>
  <c r="AF65"/>
  <c r="AW65" s="1"/>
  <c r="AS19"/>
  <c r="AG23"/>
  <c r="AZ63"/>
  <c r="AS72"/>
  <c r="AZ64"/>
  <c r="AS65"/>
  <c r="AF23"/>
  <c r="AP23" s="1"/>
  <c r="AX72"/>
  <c r="AP44"/>
  <c r="AG65"/>
  <c r="AS23"/>
  <c r="AF64"/>
  <c r="AP64" s="1"/>
  <c r="AS76"/>
  <c r="AG24"/>
  <c r="AG76"/>
  <c r="AQ62"/>
  <c r="AZ76"/>
  <c r="AE76"/>
  <c r="AH76" s="1"/>
  <c r="AX76"/>
  <c r="AX79"/>
  <c r="AF76"/>
  <c r="AH30"/>
  <c r="AT30" s="1"/>
  <c r="AI30"/>
  <c r="BA30" s="1"/>
  <c r="AZ65"/>
  <c r="AQ23"/>
  <c r="AF62"/>
  <c r="AW62" s="1"/>
  <c r="AZ24"/>
  <c r="AZ79"/>
  <c r="AE48"/>
  <c r="AI48" s="1"/>
  <c r="BA48" s="1"/>
  <c r="AX71"/>
  <c r="AS54"/>
  <c r="AE64"/>
  <c r="AF30"/>
  <c r="AP30" s="1"/>
  <c r="AQ33"/>
  <c r="AG62"/>
  <c r="AE19"/>
  <c r="AI19" s="1"/>
  <c r="AQ63"/>
  <c r="AX19"/>
  <c r="AF32"/>
  <c r="AP32" s="1"/>
  <c r="AF19"/>
  <c r="AW19" s="1"/>
  <c r="AG63"/>
  <c r="AE79"/>
  <c r="AG79"/>
  <c r="AF79"/>
  <c r="AG19"/>
  <c r="AS63"/>
  <c r="AQ19"/>
  <c r="AE63"/>
  <c r="AH63" s="1"/>
  <c r="AN63" s="1"/>
  <c r="AO63" s="1"/>
  <c r="AQ79"/>
  <c r="AS32"/>
  <c r="AX32"/>
  <c r="AX63"/>
  <c r="AW52"/>
  <c r="AG30"/>
  <c r="AZ30"/>
  <c r="AS30"/>
  <c r="AX30"/>
  <c r="AF75"/>
  <c r="AP75" s="1"/>
  <c r="AE57"/>
  <c r="AI57" s="1"/>
  <c r="AQ64"/>
  <c r="AX64"/>
  <c r="AQ67"/>
  <c r="AG67"/>
  <c r="AG64"/>
  <c r="AX67"/>
  <c r="AZ67"/>
  <c r="AF57"/>
  <c r="AW57" s="1"/>
  <c r="AF80"/>
  <c r="AF67"/>
  <c r="AW67" s="1"/>
  <c r="AI61"/>
  <c r="AZ70"/>
  <c r="AX24"/>
  <c r="AW47"/>
  <c r="AP47"/>
  <c r="AS33"/>
  <c r="AQ47"/>
  <c r="AQ75"/>
  <c r="AS47"/>
  <c r="AE47"/>
  <c r="AH47" s="1"/>
  <c r="AN47" s="1"/>
  <c r="AO47" s="1"/>
  <c r="AS56"/>
  <c r="AZ75"/>
  <c r="AS75"/>
  <c r="AG47"/>
  <c r="AX47"/>
  <c r="AZ47"/>
  <c r="AG75"/>
  <c r="AE75"/>
  <c r="AI75" s="1"/>
  <c r="AE18"/>
  <c r="AP24"/>
  <c r="AW24"/>
  <c r="AG54"/>
  <c r="AX56"/>
  <c r="AE24"/>
  <c r="AZ27"/>
  <c r="AS24"/>
  <c r="AE54"/>
  <c r="AH54" s="1"/>
  <c r="AQ24"/>
  <c r="AF56"/>
  <c r="AF54"/>
  <c r="AQ56"/>
  <c r="AE56"/>
  <c r="AG56"/>
  <c r="AQ41"/>
  <c r="AQ54"/>
  <c r="AZ54"/>
  <c r="AE33"/>
  <c r="AF27"/>
  <c r="AF18"/>
  <c r="AG18"/>
  <c r="AW29"/>
  <c r="AG57"/>
  <c r="AX27"/>
  <c r="AG41"/>
  <c r="AF71"/>
  <c r="AP71" s="1"/>
  <c r="AQ46"/>
  <c r="AG46"/>
  <c r="AZ46"/>
  <c r="AE46"/>
  <c r="AX46"/>
  <c r="AF46"/>
  <c r="AH32"/>
  <c r="AT32" s="1"/>
  <c r="AI32"/>
  <c r="AS41"/>
  <c r="AZ59"/>
  <c r="AG32"/>
  <c r="AS59"/>
  <c r="AE59"/>
  <c r="AH59" s="1"/>
  <c r="AQ18"/>
  <c r="AE41"/>
  <c r="AG33"/>
  <c r="AG59"/>
  <c r="AS18"/>
  <c r="AQ32"/>
  <c r="AX41"/>
  <c r="AF33"/>
  <c r="AZ32"/>
  <c r="AF41"/>
  <c r="AZ33"/>
  <c r="AX18"/>
  <c r="AE71"/>
  <c r="AZ71"/>
  <c r="AQ71"/>
  <c r="AG71"/>
  <c r="AE67"/>
  <c r="AF59"/>
  <c r="AX59"/>
  <c r="AS48"/>
  <c r="AE27"/>
  <c r="AQ27"/>
  <c r="AS27"/>
  <c r="AG48"/>
  <c r="AF48"/>
  <c r="AP36"/>
  <c r="AQ48"/>
  <c r="AP63"/>
  <c r="AW63"/>
  <c r="AE22"/>
  <c r="AX22"/>
  <c r="AF22"/>
  <c r="AS22"/>
  <c r="AQ22"/>
  <c r="AG22"/>
  <c r="AZ22"/>
  <c r="AS81"/>
  <c r="AX81"/>
  <c r="AF81"/>
  <c r="AG81"/>
  <c r="AZ81"/>
  <c r="AE81"/>
  <c r="AQ81"/>
  <c r="AQ16"/>
  <c r="AG16"/>
  <c r="AS16"/>
  <c r="AZ16"/>
  <c r="AE16"/>
  <c r="AX16"/>
  <c r="AF16"/>
  <c r="AE39"/>
  <c r="AX39"/>
  <c r="AF39"/>
  <c r="AS39"/>
  <c r="AG39"/>
  <c r="AZ39"/>
  <c r="AQ39"/>
  <c r="AZ73"/>
  <c r="AQ73"/>
  <c r="AS73"/>
  <c r="AX73"/>
  <c r="AF73"/>
  <c r="AE73"/>
  <c r="AG73"/>
  <c r="AF38"/>
  <c r="AX38"/>
  <c r="AG38"/>
  <c r="AE38"/>
  <c r="AZ38"/>
  <c r="AQ38"/>
  <c r="AS38"/>
  <c r="AQ25"/>
  <c r="AS25"/>
  <c r="AE25"/>
  <c r="AZ25"/>
  <c r="AX25"/>
  <c r="AF25"/>
  <c r="AG25"/>
  <c r="AQ51"/>
  <c r="AE51"/>
  <c r="AX51"/>
  <c r="AF51"/>
  <c r="AS51"/>
  <c r="AG51"/>
  <c r="AZ51"/>
  <c r="AX43"/>
  <c r="AG43"/>
  <c r="AZ43"/>
  <c r="AQ43"/>
  <c r="AS43"/>
  <c r="AE43"/>
  <c r="AF43"/>
  <c r="AG49"/>
  <c r="AF49"/>
  <c r="AX49"/>
  <c r="AZ49"/>
  <c r="AQ49"/>
  <c r="AS49"/>
  <c r="AE49"/>
  <c r="AW31"/>
  <c r="AP31"/>
  <c r="AX35"/>
  <c r="AE35"/>
  <c r="AF35"/>
  <c r="AG35"/>
  <c r="AZ35"/>
  <c r="AQ35"/>
  <c r="AS35"/>
  <c r="AS17"/>
  <c r="AE17"/>
  <c r="AQ17"/>
  <c r="AX17"/>
  <c r="AF17"/>
  <c r="AG17"/>
  <c r="AZ17"/>
  <c r="AF83"/>
  <c r="AG83"/>
  <c r="AE83"/>
  <c r="AZ83"/>
  <c r="AX83"/>
  <c r="AQ83"/>
  <c r="AS83"/>
  <c r="AT61"/>
  <c r="AT69"/>
  <c r="AS15"/>
  <c r="AE15"/>
  <c r="AH15" s="1"/>
  <c r="AT15" s="1"/>
  <c r="AG15"/>
  <c r="AX15"/>
  <c r="AF15"/>
  <c r="AP15" s="1"/>
  <c r="AQ15"/>
  <c r="BA17" i="2" l="1"/>
  <c r="AU17"/>
  <c r="AV17" s="1"/>
  <c r="AY46"/>
  <c r="BA27"/>
  <c r="BA22"/>
  <c r="AY25"/>
  <c r="AT34"/>
  <c r="AN34"/>
  <c r="AO34" s="1"/>
  <c r="AY27"/>
  <c r="BA38"/>
  <c r="AU38"/>
  <c r="AV38" s="1"/>
  <c r="BA37"/>
  <c r="AU37"/>
  <c r="AV37" s="1"/>
  <c r="AU44"/>
  <c r="AV44" s="1"/>
  <c r="AU22"/>
  <c r="AV22" s="1"/>
  <c r="AY44"/>
  <c r="AT45"/>
  <c r="AR45"/>
  <c r="AU46"/>
  <c r="AV46" s="1"/>
  <c r="AU25"/>
  <c r="AV25" s="1"/>
  <c r="AY29"/>
  <c r="AU29"/>
  <c r="AV29" s="1"/>
  <c r="AR40"/>
  <c r="AU47"/>
  <c r="AV47" s="1"/>
  <c r="AY47"/>
  <c r="BA48"/>
  <c r="AY48"/>
  <c r="AY42"/>
  <c r="AY43"/>
  <c r="BA43"/>
  <c r="AU42"/>
  <c r="AV42" s="1"/>
  <c r="AN40"/>
  <c r="AO40" s="1"/>
  <c r="BA31"/>
  <c r="AU31"/>
  <c r="AV31" s="1"/>
  <c r="BA26"/>
  <c r="AU30"/>
  <c r="AV30" s="1"/>
  <c r="AY26"/>
  <c r="AY30"/>
  <c r="BA49"/>
  <c r="AY49"/>
  <c r="AU49"/>
  <c r="AV49" s="1"/>
  <c r="AT49"/>
  <c r="AR49"/>
  <c r="AR39"/>
  <c r="AT39"/>
  <c r="AU39"/>
  <c r="AV39" s="1"/>
  <c r="AY39"/>
  <c r="BA39"/>
  <c r="AR41"/>
  <c r="AN41"/>
  <c r="AO41" s="1"/>
  <c r="AT41"/>
  <c r="AY41"/>
  <c r="AU41"/>
  <c r="AV41" s="1"/>
  <c r="BA41"/>
  <c r="AY32"/>
  <c r="AU32"/>
  <c r="AV32" s="1"/>
  <c r="BA32"/>
  <c r="AN36"/>
  <c r="AO36" s="1"/>
  <c r="AT36"/>
  <c r="AR36"/>
  <c r="AY36"/>
  <c r="AU36"/>
  <c r="AV36" s="1"/>
  <c r="BA36"/>
  <c r="AT28"/>
  <c r="AR28"/>
  <c r="AN28"/>
  <c r="AO28" s="1"/>
  <c r="AR20"/>
  <c r="AT20"/>
  <c r="AN20"/>
  <c r="AO20" s="1"/>
  <c r="AU28"/>
  <c r="AV28" s="1"/>
  <c r="AY28"/>
  <c r="BA28"/>
  <c r="AY20"/>
  <c r="AU20"/>
  <c r="AV20" s="1"/>
  <c r="BA20"/>
  <c r="BA18"/>
  <c r="AY18"/>
  <c r="AU18"/>
  <c r="AV18" s="1"/>
  <c r="AR16"/>
  <c r="AN16"/>
  <c r="AO16" s="1"/>
  <c r="AT16"/>
  <c r="BA16"/>
  <c r="AU16"/>
  <c r="AV16" s="1"/>
  <c r="AY16"/>
  <c r="AN24"/>
  <c r="AO24" s="1"/>
  <c r="AT24"/>
  <c r="AR24"/>
  <c r="AN32"/>
  <c r="AO32" s="1"/>
  <c r="AT32"/>
  <c r="AR32"/>
  <c r="AU24"/>
  <c r="AV24" s="1"/>
  <c r="BA24"/>
  <c r="AY24"/>
  <c r="BA35"/>
  <c r="AU35"/>
  <c r="AV35" s="1"/>
  <c r="AY35"/>
  <c r="BA23"/>
  <c r="AU23"/>
  <c r="AV23" s="1"/>
  <c r="AY23"/>
  <c r="AT35"/>
  <c r="AN35"/>
  <c r="AO35" s="1"/>
  <c r="AR35"/>
  <c r="AT23"/>
  <c r="AN23"/>
  <c r="AO23" s="1"/>
  <c r="AR23"/>
  <c r="BA19"/>
  <c r="AY19"/>
  <c r="AU19"/>
  <c r="AV19" s="1"/>
  <c r="AT19"/>
  <c r="AR19"/>
  <c r="AN19"/>
  <c r="AO19" s="1"/>
  <c r="AT15"/>
  <c r="AR15"/>
  <c r="BA15"/>
  <c r="AY15"/>
  <c r="AU15"/>
  <c r="AV15" s="1"/>
  <c r="AN15"/>
  <c r="AO15" s="1"/>
  <c r="AH60" i="1"/>
  <c r="AT60" s="1"/>
  <c r="AY52"/>
  <c r="AU52"/>
  <c r="AV52" s="1"/>
  <c r="AT52"/>
  <c r="AU60"/>
  <c r="AV60" s="1"/>
  <c r="AW26"/>
  <c r="AP60"/>
  <c r="AN26"/>
  <c r="AO26" s="1"/>
  <c r="AY69"/>
  <c r="AY60"/>
  <c r="AH68"/>
  <c r="AT68" s="1"/>
  <c r="AN77"/>
  <c r="AO77" s="1"/>
  <c r="AT77"/>
  <c r="AI26"/>
  <c r="BA26" s="1"/>
  <c r="AI77"/>
  <c r="AU77" s="1"/>
  <c r="AV77" s="1"/>
  <c r="AP53"/>
  <c r="AW58"/>
  <c r="AN37"/>
  <c r="AO37" s="1"/>
  <c r="AY68"/>
  <c r="AW68"/>
  <c r="AW69"/>
  <c r="AN69"/>
  <c r="AO69" s="1"/>
  <c r="AR69"/>
  <c r="AI34"/>
  <c r="BA34" s="1"/>
  <c r="AU68"/>
  <c r="AV68" s="1"/>
  <c r="BA53"/>
  <c r="AU53"/>
  <c r="AV53" s="1"/>
  <c r="AH53"/>
  <c r="AR53" s="1"/>
  <c r="AW37"/>
  <c r="AR45"/>
  <c r="AR34"/>
  <c r="AR80"/>
  <c r="AI29"/>
  <c r="BA29" s="1"/>
  <c r="AW78"/>
  <c r="BA69"/>
  <c r="AU69"/>
  <c r="AV69" s="1"/>
  <c r="AR29"/>
  <c r="AT29"/>
  <c r="AY36"/>
  <c r="AU36"/>
  <c r="AV36" s="1"/>
  <c r="AI45"/>
  <c r="AY45" s="1"/>
  <c r="BA36"/>
  <c r="AW28"/>
  <c r="AN34"/>
  <c r="AO34" s="1"/>
  <c r="AP34"/>
  <c r="AH36"/>
  <c r="AN36" s="1"/>
  <c r="AO36" s="1"/>
  <c r="AH28"/>
  <c r="AN28" s="1"/>
  <c r="AO28" s="1"/>
  <c r="AI80"/>
  <c r="BA80" s="1"/>
  <c r="AP20"/>
  <c r="AT63"/>
  <c r="AR63"/>
  <c r="AI70"/>
  <c r="BA70" s="1"/>
  <c r="AN61"/>
  <c r="AO61" s="1"/>
  <c r="AR61"/>
  <c r="AR50"/>
  <c r="AP50"/>
  <c r="AN50"/>
  <c r="AO50" s="1"/>
  <c r="AY28"/>
  <c r="AP42"/>
  <c r="AW61"/>
  <c r="AT21"/>
  <c r="AU28"/>
  <c r="AV28" s="1"/>
  <c r="AR21"/>
  <c r="AI78"/>
  <c r="AU78" s="1"/>
  <c r="AV78" s="1"/>
  <c r="AI21"/>
  <c r="AY21" s="1"/>
  <c r="AN45"/>
  <c r="AO45" s="1"/>
  <c r="AP45"/>
  <c r="AU31"/>
  <c r="AV31" s="1"/>
  <c r="AP19"/>
  <c r="AH58"/>
  <c r="AN58" s="1"/>
  <c r="AO58" s="1"/>
  <c r="AY58"/>
  <c r="AU58"/>
  <c r="AV58" s="1"/>
  <c r="AI50"/>
  <c r="AY50" s="1"/>
  <c r="AW75"/>
  <c r="AN52"/>
  <c r="AO52" s="1"/>
  <c r="AU20"/>
  <c r="AV20" s="1"/>
  <c r="AH82"/>
  <c r="AN82" s="1"/>
  <c r="AO82" s="1"/>
  <c r="AY82"/>
  <c r="AU82"/>
  <c r="AV82" s="1"/>
  <c r="AH55"/>
  <c r="AN55" s="1"/>
  <c r="AO55" s="1"/>
  <c r="AT37"/>
  <c r="AI37"/>
  <c r="AU37" s="1"/>
  <c r="AV37" s="1"/>
  <c r="AR37"/>
  <c r="AU55"/>
  <c r="AV55" s="1"/>
  <c r="AR76"/>
  <c r="AY55"/>
  <c r="AY20"/>
  <c r="AH20"/>
  <c r="AR20" s="1"/>
  <c r="AR74"/>
  <c r="AN42"/>
  <c r="AO42" s="1"/>
  <c r="AI63"/>
  <c r="BA63" s="1"/>
  <c r="AN59"/>
  <c r="AO59" s="1"/>
  <c r="AI74"/>
  <c r="AY61"/>
  <c r="AN70"/>
  <c r="AO70" s="1"/>
  <c r="AN80"/>
  <c r="AO80" s="1"/>
  <c r="AR70"/>
  <c r="AI42"/>
  <c r="AU42" s="1"/>
  <c r="AV42" s="1"/>
  <c r="AP70"/>
  <c r="AY30"/>
  <c r="AR42"/>
  <c r="AN74"/>
  <c r="AO74" s="1"/>
  <c r="AT74"/>
  <c r="AT42"/>
  <c r="AP65"/>
  <c r="AP40"/>
  <c r="AW40"/>
  <c r="AH40"/>
  <c r="AI40"/>
  <c r="AY57"/>
  <c r="AY65"/>
  <c r="AN72"/>
  <c r="AO72" s="1"/>
  <c r="AR72"/>
  <c r="AT76"/>
  <c r="AU65"/>
  <c r="AV65" s="1"/>
  <c r="BA57"/>
  <c r="AU57"/>
  <c r="AV57" s="1"/>
  <c r="AH31"/>
  <c r="AN31" s="1"/>
  <c r="AO31" s="1"/>
  <c r="AH66"/>
  <c r="AI66"/>
  <c r="AU72"/>
  <c r="AV72" s="1"/>
  <c r="BA31"/>
  <c r="AY31"/>
  <c r="BA61"/>
  <c r="AU61"/>
  <c r="AV61" s="1"/>
  <c r="AH65"/>
  <c r="AI23"/>
  <c r="BA23" s="1"/>
  <c r="AH62"/>
  <c r="AN62" s="1"/>
  <c r="AO62" s="1"/>
  <c r="AI62"/>
  <c r="AR23"/>
  <c r="AH75"/>
  <c r="AN75" s="1"/>
  <c r="AO75" s="1"/>
  <c r="AU30"/>
  <c r="AV30" s="1"/>
  <c r="AY72"/>
  <c r="AN76"/>
  <c r="AO76" s="1"/>
  <c r="AH44"/>
  <c r="AI44"/>
  <c r="AW72"/>
  <c r="AP72"/>
  <c r="AI76"/>
  <c r="AW74"/>
  <c r="AH19"/>
  <c r="AR19" s="1"/>
  <c r="AW23"/>
  <c r="AN23"/>
  <c r="AO23" s="1"/>
  <c r="AU48"/>
  <c r="AV48" s="1"/>
  <c r="AY48"/>
  <c r="AY32"/>
  <c r="AW64"/>
  <c r="AH48"/>
  <c r="AN48" s="1"/>
  <c r="AO48" s="1"/>
  <c r="AH57"/>
  <c r="AN57" s="1"/>
  <c r="AO57" s="1"/>
  <c r="AR59"/>
  <c r="AW76"/>
  <c r="AP76"/>
  <c r="AP62"/>
  <c r="AR32"/>
  <c r="AR54"/>
  <c r="AN32"/>
  <c r="AO32" s="1"/>
  <c r="AR30"/>
  <c r="AP67"/>
  <c r="AW30"/>
  <c r="AH64"/>
  <c r="AI64"/>
  <c r="BA64" s="1"/>
  <c r="AN30"/>
  <c r="AO30" s="1"/>
  <c r="AW32"/>
  <c r="AP79"/>
  <c r="AW79"/>
  <c r="AH79"/>
  <c r="AI79"/>
  <c r="AW71"/>
  <c r="AU32"/>
  <c r="AV32" s="1"/>
  <c r="AT59"/>
  <c r="AT54"/>
  <c r="AI54"/>
  <c r="AP57"/>
  <c r="AR47"/>
  <c r="BA32"/>
  <c r="AT47"/>
  <c r="AI47"/>
  <c r="AN54"/>
  <c r="AO54" s="1"/>
  <c r="AW80"/>
  <c r="AP80"/>
  <c r="AH18"/>
  <c r="AN18" s="1"/>
  <c r="AO18" s="1"/>
  <c r="AI18"/>
  <c r="AW56"/>
  <c r="AP56"/>
  <c r="AH24"/>
  <c r="AI24"/>
  <c r="AP54"/>
  <c r="AW54"/>
  <c r="AI56"/>
  <c r="AH56"/>
  <c r="AH33"/>
  <c r="AI33"/>
  <c r="AP27"/>
  <c r="AW27"/>
  <c r="AW18"/>
  <c r="AP18"/>
  <c r="AI59"/>
  <c r="AP46"/>
  <c r="AW46"/>
  <c r="AH46"/>
  <c r="AI46"/>
  <c r="AW33"/>
  <c r="AP33"/>
  <c r="AW41"/>
  <c r="AP41"/>
  <c r="AH41"/>
  <c r="AI41"/>
  <c r="AI71"/>
  <c r="AH71"/>
  <c r="AH67"/>
  <c r="AI67"/>
  <c r="AW48"/>
  <c r="AP48"/>
  <c r="AP59"/>
  <c r="AW59"/>
  <c r="AH27"/>
  <c r="AI27"/>
  <c r="AH22"/>
  <c r="AI22"/>
  <c r="AW22"/>
  <c r="AP22"/>
  <c r="AP17"/>
  <c r="AW17"/>
  <c r="AW49"/>
  <c r="AP49"/>
  <c r="AW38"/>
  <c r="AP38"/>
  <c r="AI43"/>
  <c r="AH43"/>
  <c r="AH25"/>
  <c r="AI25"/>
  <c r="AW39"/>
  <c r="AP39"/>
  <c r="AP43"/>
  <c r="AW43"/>
  <c r="AW81"/>
  <c r="AP81"/>
  <c r="AR26"/>
  <c r="AT26"/>
  <c r="AU75"/>
  <c r="AV75" s="1"/>
  <c r="BA75"/>
  <c r="AY75"/>
  <c r="AH51"/>
  <c r="AN51" s="1"/>
  <c r="AO51" s="1"/>
  <c r="AI51"/>
  <c r="AH38"/>
  <c r="AI38"/>
  <c r="AW25"/>
  <c r="AP25"/>
  <c r="AH16"/>
  <c r="AI16"/>
  <c r="AW83"/>
  <c r="AP83"/>
  <c r="AH17"/>
  <c r="AI17"/>
  <c r="AI49"/>
  <c r="AH49"/>
  <c r="AP51"/>
  <c r="AW51"/>
  <c r="AP73"/>
  <c r="AW73"/>
  <c r="AH81"/>
  <c r="AN81" s="1"/>
  <c r="AO81" s="1"/>
  <c r="AI81"/>
  <c r="AI35"/>
  <c r="AH35"/>
  <c r="AR78"/>
  <c r="AN78"/>
  <c r="AO78" s="1"/>
  <c r="AT78"/>
  <c r="AH73"/>
  <c r="AI73"/>
  <c r="AW16"/>
  <c r="AP16"/>
  <c r="AH83"/>
  <c r="AI83"/>
  <c r="AW35"/>
  <c r="AP35"/>
  <c r="BA19"/>
  <c r="AU19"/>
  <c r="AV19" s="1"/>
  <c r="AY19"/>
  <c r="AH39"/>
  <c r="AI39"/>
  <c r="AI15"/>
  <c r="BA15" s="1"/>
  <c r="AR15"/>
  <c r="AN15"/>
  <c r="AO15" s="1"/>
  <c r="AW15"/>
  <c r="AN60" l="1"/>
  <c r="AO60" s="1"/>
  <c r="AR60"/>
  <c r="AN53"/>
  <c r="AO53" s="1"/>
  <c r="AU26"/>
  <c r="AV26" s="1"/>
  <c r="AY26"/>
  <c r="AR68"/>
  <c r="AN68"/>
  <c r="AO68" s="1"/>
  <c r="AY77"/>
  <c r="BA77"/>
  <c r="AT53"/>
  <c r="AY34"/>
  <c r="AU34"/>
  <c r="AV34" s="1"/>
  <c r="AY80"/>
  <c r="BA45"/>
  <c r="AU70"/>
  <c r="AV70" s="1"/>
  <c r="AT36"/>
  <c r="AU45"/>
  <c r="AV45" s="1"/>
  <c r="AU29"/>
  <c r="AV29" s="1"/>
  <c r="AY29"/>
  <c r="AR28"/>
  <c r="AR58"/>
  <c r="AT28"/>
  <c r="AT58"/>
  <c r="AR36"/>
  <c r="AU80"/>
  <c r="AV80" s="1"/>
  <c r="AU21"/>
  <c r="AV21" s="1"/>
  <c r="BA78"/>
  <c r="AY78"/>
  <c r="AY70"/>
  <c r="BA21"/>
  <c r="AY37"/>
  <c r="AU50"/>
  <c r="AV50" s="1"/>
  <c r="BA37"/>
  <c r="AT20"/>
  <c r="BA50"/>
  <c r="AN20"/>
  <c r="AO20" s="1"/>
  <c r="AT55"/>
  <c r="AR55"/>
  <c r="AT82"/>
  <c r="AR82"/>
  <c r="AU63"/>
  <c r="AV63" s="1"/>
  <c r="AY63"/>
  <c r="BA42"/>
  <c r="AY42"/>
  <c r="BA74"/>
  <c r="AY74"/>
  <c r="AU74"/>
  <c r="AV74" s="1"/>
  <c r="AT19"/>
  <c r="AN19"/>
  <c r="AO19" s="1"/>
  <c r="AN40"/>
  <c r="AO40" s="1"/>
  <c r="AR40"/>
  <c r="AT40"/>
  <c r="AT31"/>
  <c r="AY40"/>
  <c r="BA40"/>
  <c r="AU40"/>
  <c r="AV40" s="1"/>
  <c r="AR31"/>
  <c r="AT75"/>
  <c r="AN66"/>
  <c r="AO66" s="1"/>
  <c r="AT66"/>
  <c r="AR66"/>
  <c r="AR75"/>
  <c r="AU66"/>
  <c r="AV66" s="1"/>
  <c r="BA66"/>
  <c r="AY66"/>
  <c r="AY23"/>
  <c r="AU23"/>
  <c r="AV23" s="1"/>
  <c r="AR65"/>
  <c r="AT65"/>
  <c r="AN65"/>
  <c r="AO65" s="1"/>
  <c r="AR62"/>
  <c r="AT62"/>
  <c r="AY62"/>
  <c r="BA62"/>
  <c r="AU62"/>
  <c r="AV62" s="1"/>
  <c r="AY44"/>
  <c r="AU44"/>
  <c r="AV44" s="1"/>
  <c r="BA44"/>
  <c r="AY76"/>
  <c r="AU76"/>
  <c r="AV76" s="1"/>
  <c r="BA76"/>
  <c r="AT44"/>
  <c r="AN44"/>
  <c r="AO44" s="1"/>
  <c r="AR44"/>
  <c r="AT48"/>
  <c r="AR48"/>
  <c r="AT57"/>
  <c r="AR57"/>
  <c r="AU64"/>
  <c r="AV64" s="1"/>
  <c r="AY64"/>
  <c r="AN64"/>
  <c r="AO64" s="1"/>
  <c r="AR64"/>
  <c r="AT64"/>
  <c r="AT79"/>
  <c r="AR79"/>
  <c r="AN79"/>
  <c r="AO79" s="1"/>
  <c r="AU79"/>
  <c r="AV79" s="1"/>
  <c r="AY79"/>
  <c r="BA79"/>
  <c r="BA54"/>
  <c r="AY54"/>
  <c r="AU54"/>
  <c r="AV54" s="1"/>
  <c r="AU47"/>
  <c r="AV47" s="1"/>
  <c r="AY47"/>
  <c r="BA47"/>
  <c r="AR18"/>
  <c r="AT18"/>
  <c r="AY18"/>
  <c r="AU18"/>
  <c r="AV18" s="1"/>
  <c r="BA18"/>
  <c r="AR24"/>
  <c r="AN24"/>
  <c r="AO24" s="1"/>
  <c r="AT24"/>
  <c r="AY24"/>
  <c r="BA24"/>
  <c r="AU24"/>
  <c r="AV24" s="1"/>
  <c r="AY56"/>
  <c r="BA56"/>
  <c r="AU56"/>
  <c r="AV56" s="1"/>
  <c r="AR56"/>
  <c r="AT56"/>
  <c r="AN56"/>
  <c r="AO56" s="1"/>
  <c r="AR33"/>
  <c r="AT33"/>
  <c r="AN33"/>
  <c r="AO33" s="1"/>
  <c r="BA59"/>
  <c r="AY59"/>
  <c r="AU59"/>
  <c r="AV59" s="1"/>
  <c r="AY33"/>
  <c r="AU33"/>
  <c r="AV33" s="1"/>
  <c r="BA33"/>
  <c r="AR46"/>
  <c r="AT46"/>
  <c r="AN46"/>
  <c r="AO46" s="1"/>
  <c r="AY46"/>
  <c r="AU46"/>
  <c r="AV46" s="1"/>
  <c r="BA46"/>
  <c r="AN41"/>
  <c r="AO41" s="1"/>
  <c r="AR41"/>
  <c r="AT41"/>
  <c r="AY41"/>
  <c r="AU41"/>
  <c r="AV41" s="1"/>
  <c r="BA41"/>
  <c r="AU71"/>
  <c r="AV71" s="1"/>
  <c r="BA71"/>
  <c r="AY71"/>
  <c r="AN71"/>
  <c r="AO71" s="1"/>
  <c r="AR71"/>
  <c r="AT71"/>
  <c r="AN67"/>
  <c r="AO67" s="1"/>
  <c r="AR67"/>
  <c r="AT67"/>
  <c r="AY67"/>
  <c r="BA67"/>
  <c r="AU67"/>
  <c r="AV67" s="1"/>
  <c r="AN27"/>
  <c r="AO27" s="1"/>
  <c r="AT27"/>
  <c r="AR27"/>
  <c r="AU27"/>
  <c r="AV27" s="1"/>
  <c r="AY27"/>
  <c r="BA27"/>
  <c r="AN22"/>
  <c r="AO22" s="1"/>
  <c r="AR22"/>
  <c r="AT22"/>
  <c r="AU22"/>
  <c r="AV22" s="1"/>
  <c r="BA22"/>
  <c r="AY22"/>
  <c r="BA39"/>
  <c r="AU39"/>
  <c r="AV39" s="1"/>
  <c r="AY39"/>
  <c r="AR35"/>
  <c r="AT35"/>
  <c r="AN35"/>
  <c r="AO35" s="1"/>
  <c r="AR17"/>
  <c r="AT17"/>
  <c r="AU43"/>
  <c r="AV43" s="1"/>
  <c r="BA43"/>
  <c r="AY43"/>
  <c r="AN17"/>
  <c r="AO17" s="1"/>
  <c r="AY17"/>
  <c r="AU17"/>
  <c r="AV17" s="1"/>
  <c r="BA17"/>
  <c r="AN43"/>
  <c r="AO43" s="1"/>
  <c r="AR43"/>
  <c r="AT43"/>
  <c r="AU83"/>
  <c r="AV83" s="1"/>
  <c r="AY83"/>
  <c r="BA83"/>
  <c r="AR39"/>
  <c r="AT39"/>
  <c r="BA49"/>
  <c r="AU49"/>
  <c r="AV49" s="1"/>
  <c r="AY49"/>
  <c r="AN25"/>
  <c r="AO25" s="1"/>
  <c r="AR25"/>
  <c r="AT25"/>
  <c r="AR83"/>
  <c r="AN83"/>
  <c r="AO83" s="1"/>
  <c r="AT83"/>
  <c r="AR49"/>
  <c r="AT49"/>
  <c r="AT51"/>
  <c r="AR51"/>
  <c r="BA25"/>
  <c r="AY25"/>
  <c r="AU25"/>
  <c r="AV25" s="1"/>
  <c r="AN49"/>
  <c r="AO49" s="1"/>
  <c r="AT73"/>
  <c r="AR73"/>
  <c r="AT16"/>
  <c r="AN16"/>
  <c r="AO16" s="1"/>
  <c r="AR16"/>
  <c r="BA51"/>
  <c r="AU51"/>
  <c r="AV51" s="1"/>
  <c r="AY51"/>
  <c r="AN73"/>
  <c r="AO73" s="1"/>
  <c r="AN38"/>
  <c r="AO38" s="1"/>
  <c r="AR38"/>
  <c r="AT38"/>
  <c r="AR81"/>
  <c r="AT81"/>
  <c r="AY38"/>
  <c r="AU38"/>
  <c r="AV38" s="1"/>
  <c r="BA38"/>
  <c r="AU73"/>
  <c r="AV73" s="1"/>
  <c r="BA73"/>
  <c r="AY73"/>
  <c r="AU16"/>
  <c r="AV16" s="1"/>
  <c r="AY16"/>
  <c r="BA16"/>
  <c r="AU81"/>
  <c r="AV81" s="1"/>
  <c r="BA81"/>
  <c r="AY81"/>
  <c r="AU35"/>
  <c r="AV35" s="1"/>
  <c r="AY35"/>
  <c r="BA35"/>
  <c r="AN39"/>
  <c r="AO39" s="1"/>
  <c r="AY15"/>
  <c r="AU15"/>
  <c r="AV15" s="1"/>
</calcChain>
</file>

<file path=xl/sharedStrings.xml><?xml version="1.0" encoding="utf-8"?>
<sst xmlns="http://schemas.openxmlformats.org/spreadsheetml/2006/main" count="241" uniqueCount="81">
  <si>
    <t>Stock quote and option quote for TSLA on 4/13/16 14:51:35</t>
  </si>
  <si>
    <t>UNDERLYING</t>
  </si>
  <si>
    <t>LAST</t>
  </si>
  <si>
    <t>LX</t>
  </si>
  <si>
    <t>Net Chng</t>
  </si>
  <si>
    <t>BID</t>
  </si>
  <si>
    <t>BX</t>
  </si>
  <si>
    <t>ASK</t>
  </si>
  <si>
    <t>AX</t>
  </si>
  <si>
    <t>Size</t>
  </si>
  <si>
    <t>Volume</t>
  </si>
  <si>
    <t>Open</t>
  </si>
  <si>
    <t>High</t>
  </si>
  <si>
    <t>Low</t>
  </si>
  <si>
    <t>UNDERLYING EXTRA INFO</t>
  </si>
  <si>
    <t>Yield</t>
  </si>
  <si>
    <t>PE</t>
  </si>
  <si>
    <t>EPS</t>
  </si>
  <si>
    <t>Div</t>
  </si>
  <si>
    <t>Div.Freq</t>
  </si>
  <si>
    <t>Ex Div.Date</t>
  </si>
  <si>
    <t>52High</t>
  </si>
  <si>
    <t>52Low</t>
  </si>
  <si>
    <t>Shares</t>
  </si>
  <si>
    <t>Beta</t>
  </si>
  <si>
    <t>--</t>
  </si>
  <si>
    <t>APR 16  (2)  100</t>
  </si>
  <si>
    <t>APR4 16  (9)  100 (Weeklys)</t>
  </si>
  <si>
    <t>APR5 16  (16)  100 (Weeklys)</t>
  </si>
  <si>
    <t>MAY1 16  (23)  100 (Weeklys)</t>
  </si>
  <si>
    <t>MAY2 16  (30)  100 (Weeklys)</t>
  </si>
  <si>
    <t>MAY 16  (37)  100</t>
  </si>
  <si>
    <t>Impl Vol</t>
  </si>
  <si>
    <t>Prob.OTM</t>
  </si>
  <si>
    <t>Delta</t>
  </si>
  <si>
    <t>Exp</t>
  </si>
  <si>
    <t>Strike</t>
  </si>
  <si>
    <t>MAY4 16  (44)  100 (Weeklys)</t>
  </si>
  <si>
    <t>JUN 16  (65)  100</t>
  </si>
  <si>
    <t>SEP 16  (156)  100</t>
  </si>
  <si>
    <t>JAN 17  (282)  100</t>
  </si>
  <si>
    <t>JAN 18  (646)  100</t>
  </si>
  <si>
    <t>Underlying</t>
  </si>
  <si>
    <t>Volatility</t>
  </si>
  <si>
    <t>Interest rate</t>
  </si>
  <si>
    <t>Dividend yld</t>
  </si>
  <si>
    <t>Days to exp</t>
  </si>
  <si>
    <t>Time to exp</t>
  </si>
  <si>
    <r>
      <t>ln(S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/x)</t>
    </r>
  </si>
  <si>
    <r>
      <t>t(r-q+sigma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/2)</t>
    </r>
  </si>
  <si>
    <t>sigma*sqrt(t)</t>
  </si>
  <si>
    <r>
      <t>d</t>
    </r>
    <r>
      <rPr>
        <vertAlign val="subscript"/>
        <sz val="11"/>
        <color theme="1"/>
        <rFont val="Calibri"/>
        <family val="2"/>
        <scheme val="minor"/>
      </rPr>
      <t>1</t>
    </r>
  </si>
  <si>
    <r>
      <t>d</t>
    </r>
    <r>
      <rPr>
        <vertAlign val="subscript"/>
        <sz val="11"/>
        <color theme="1"/>
        <rFont val="Calibri"/>
        <family val="2"/>
        <scheme val="minor"/>
      </rPr>
      <t>2</t>
    </r>
  </si>
  <si>
    <r>
      <t>N(d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</t>
    </r>
  </si>
  <si>
    <r>
      <t>N(-d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</t>
    </r>
  </si>
  <si>
    <r>
      <t>N(d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</si>
  <si>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N(-d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</si>
  <si>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e</t>
    </r>
    <r>
      <rPr>
        <vertAlign val="superscript"/>
        <sz val="11"/>
        <color theme="1"/>
        <rFont val="Calibri"/>
        <family val="2"/>
        <scheme val="minor"/>
      </rPr>
      <t>-rt</t>
    </r>
  </si>
  <si>
    <r>
      <t>Xe</t>
    </r>
    <r>
      <rPr>
        <vertAlign val="superscript"/>
        <sz val="11"/>
        <color theme="1"/>
        <rFont val="Calibri"/>
        <family val="2"/>
        <scheme val="minor"/>
      </rPr>
      <t>-rt</t>
    </r>
  </si>
  <si>
    <r>
      <t>e</t>
    </r>
    <r>
      <rPr>
        <vertAlign val="superscript"/>
        <sz val="11"/>
        <color theme="1"/>
        <rFont val="Calibri"/>
        <family val="2"/>
        <scheme val="minor"/>
      </rPr>
      <t>-qt</t>
    </r>
  </si>
  <si>
    <r>
      <t>S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e</t>
    </r>
    <r>
      <rPr>
        <vertAlign val="superscript"/>
        <sz val="11"/>
        <color theme="1"/>
        <rFont val="Calibri"/>
        <family val="2"/>
        <scheme val="minor"/>
      </rPr>
      <t>-qt</t>
    </r>
  </si>
  <si>
    <t>Call price</t>
  </si>
  <si>
    <t>Call delta</t>
  </si>
  <si>
    <t>Call gamma</t>
  </si>
  <si>
    <t>Call theta</t>
  </si>
  <si>
    <t>Call vega</t>
  </si>
  <si>
    <t>Call rho</t>
  </si>
  <si>
    <t>Put price</t>
  </si>
  <si>
    <t>Put delta</t>
  </si>
  <si>
    <t>Put gamma</t>
  </si>
  <si>
    <t>Put theta</t>
  </si>
  <si>
    <t>Put vega</t>
  </si>
  <si>
    <t>Put rho</t>
  </si>
  <si>
    <t>Call price difference</t>
  </si>
  <si>
    <t>Put price difference</t>
  </si>
  <si>
    <t>Stock quote and option quote for AAPL on 4/13/16 15:15:24</t>
  </si>
  <si>
    <t>Q</t>
  </si>
  <si>
    <t>JUL 16  (93)  100</t>
  </si>
  <si>
    <t>OCT 16  (191)  100</t>
  </si>
  <si>
    <t>JAN 17  (282)  10 (Mini)</t>
  </si>
  <si>
    <t>JUN 17  (429)  100</t>
  </si>
</sst>
</file>

<file path=xl/styles.xml><?xml version="1.0" encoding="utf-8"?>
<styleSheet xmlns="http://schemas.openxmlformats.org/spreadsheetml/2006/main">
  <numFmts count="1">
    <numFmt numFmtId="164" formatCode="0.0000"/>
  </numFmts>
  <fonts count="3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volatileDependencies.xml><?xml version="1.0" encoding="utf-8"?>
<volTypes xmlns="http://schemas.openxmlformats.org/spreadsheetml/2006/main">
  <volType type="realTimeData">
    <main first="tos.rtd">
      <tp>
        <v>6.48</v>
        <stp/>
        <stp>NET_CHANGE</stp>
        <stp>TSLA</stp>
        <tr r="C4" s="1"/>
      </tp>
      <tp>
        <v>-0.06</v>
        <stp/>
        <stp>NET_CHANGE</stp>
        <stp>.AAPL160715P80</stp>
        <tr r="R60" s="2"/>
      </tp>
      <tp>
        <v>-0.55000000000000004</v>
        <stp/>
        <stp>NET_CHANGE</stp>
        <stp>.AAPL170616P90</stp>
        <tr r="R149" s="2"/>
      </tp>
      <tp>
        <v>-0.11</v>
        <stp/>
        <stp>NET_CHANGE</stp>
        <stp>.AAPL160715P85</stp>
        <tr r="R61" s="2"/>
      </tp>
      <tp>
        <v>-0.09</v>
        <stp/>
        <stp>NET_CHANGE</stp>
        <stp>.AAPL170616P95</stp>
        <tr r="R151" s="2"/>
      </tp>
      <tp>
        <v>-0.14000000000000001</v>
        <stp/>
        <stp>NET_CHANGE</stp>
        <stp>.AAPL160715P90</stp>
        <tr r="R63" s="2"/>
      </tp>
      <tp>
        <v>0</v>
        <stp/>
        <stp>NET_CHANGE</stp>
        <stp>.AAPL170616P80</stp>
        <tr r="R146" s="2"/>
      </tp>
      <tp>
        <v>-0.22</v>
        <stp/>
        <stp>NET_CHANGE</stp>
        <stp>.AAPL160715P95</stp>
        <tr r="R65" s="2"/>
      </tp>
      <tp>
        <v>-0.52</v>
        <stp/>
        <stp>NET_CHANGE</stp>
        <stp>.AAPL170616P85</stp>
        <tr r="R147" s="2"/>
      </tp>
      <tp>
        <v>-0.01</v>
        <stp/>
        <stp>NET_CHANGE</stp>
        <stp>.AAPL160520P80</stp>
        <tr r="R21" s="2"/>
      </tp>
      <tp>
        <v>-0.02</v>
        <stp/>
        <stp>NET_CHANGE</stp>
        <stp>.AAPL160520P85</stp>
        <tr r="R22" s="2"/>
      </tp>
      <tp>
        <v>-7.0000000000000007E-2</v>
        <stp/>
        <stp>NET_CHANGE</stp>
        <stp>.AAPL160520P90</stp>
        <tr r="R24" s="2"/>
      </tp>
      <tp>
        <v>-0.09</v>
        <stp/>
        <stp>NET_CHANGE</stp>
        <stp>.AAPL160520P95</stp>
        <tr r="R26" s="2"/>
      </tp>
      <tp>
        <v>0</v>
        <stp/>
        <stp>NET_CHANGE</stp>
        <stp>.AAPL170616P50</stp>
        <tr r="R140" s="2"/>
      </tp>
      <tp>
        <v>0</v>
        <stp/>
        <stp>NET_CHANGE</stp>
        <stp>.AAPL160520P60</stp>
        <tr r="R17" s="2"/>
      </tp>
      <tp>
        <v>0</v>
        <stp/>
        <stp>NET_CHANGE</stp>
        <stp>.AAPL170616P55</stp>
        <tr r="R141" s="2"/>
      </tp>
      <tp>
        <v>0</v>
        <stp/>
        <stp>NET_CHANGE</stp>
        <stp>.AAPL160520P65</stp>
        <tr r="R18" s="2"/>
      </tp>
      <tp>
        <v>0</v>
        <stp/>
        <stp>NET_CHANGE</stp>
        <stp>.AAPL160715P50</stp>
        <tr r="R54" s="2"/>
      </tp>
      <tp>
        <v>0</v>
        <stp/>
        <stp>NET_CHANGE</stp>
        <stp>.AAPL160520P70</stp>
        <tr r="R19" s="2"/>
      </tp>
      <tp>
        <v>0</v>
        <stp/>
        <stp>NET_CHANGE</stp>
        <stp>.AAPL160715P55</stp>
        <tr r="R55" s="2"/>
      </tp>
      <tp>
        <v>-0.01</v>
        <stp/>
        <stp>NET_CHANGE</stp>
        <stp>.AAPL160520P75</stp>
        <tr r="R20" s="2"/>
      </tp>
      <tp>
        <v>0</v>
        <stp/>
        <stp>NET_CHANGE</stp>
        <stp>.AAPL160715P60</stp>
        <tr r="R56" s="2"/>
      </tp>
      <tp>
        <v>0</v>
        <stp/>
        <stp>NET_CHANGE</stp>
        <stp>.AAPL170616P70</stp>
        <tr r="R144" s="2"/>
      </tp>
      <tp>
        <v>0</v>
        <stp/>
        <stp>NET_CHANGE</stp>
        <stp>.AAPL160715P65</stp>
        <tr r="R57" s="2"/>
      </tp>
      <tp>
        <v>0</v>
        <stp/>
        <stp>NET_CHANGE</stp>
        <stp>.AAPL170616P75</stp>
        <tr r="R145" s="2"/>
      </tp>
      <tp>
        <v>-0.03</v>
        <stp/>
        <stp>NET_CHANGE</stp>
        <stp>.AAPL160715P70</stp>
        <tr r="R58" s="2"/>
      </tp>
      <tp>
        <v>0</v>
        <stp/>
        <stp>NET_CHANGE</stp>
        <stp>.AAPL170616P60</stp>
        <tr r="R142" s="2"/>
      </tp>
      <tp>
        <v>0</v>
        <stp/>
        <stp>NET_CHANGE</stp>
        <stp>.AAPL160520P50</stp>
        <tr r="R15" s="2"/>
      </tp>
      <tp>
        <v>-0.03</v>
        <stp/>
        <stp>NET_CHANGE</stp>
        <stp>.AAPL160715P75</stp>
        <tr r="R59" s="2"/>
      </tp>
      <tp>
        <v>-0.12</v>
        <stp/>
        <stp>NET_CHANGE</stp>
        <stp>.AAPL170616P65</stp>
        <tr r="R143" s="2"/>
      </tp>
      <tp>
        <v>0</v>
        <stp/>
        <stp>NET_CHANGE</stp>
        <stp>.AAPL160520P55</stp>
        <tr r="R16" s="2"/>
      </tp>
      <tp>
        <v>-0.26</v>
        <stp/>
        <stp>NET_CHANGE</stp>
        <stp>.AAPL161021P90</stp>
        <tr r="R95" s="2"/>
      </tp>
      <tp>
        <v>-0.4</v>
        <stp/>
        <stp>NET_CHANGE</stp>
        <stp>.AAPL161021P95</stp>
        <tr r="R97" s="2"/>
      </tp>
      <tp>
        <v>-0.08</v>
        <stp/>
        <stp>NET_CHANGE</stp>
        <stp>.AAPL161021P80</stp>
        <tr r="R92" s="2"/>
      </tp>
      <tp>
        <v>-0.27</v>
        <stp/>
        <stp>NET_CHANGE</stp>
        <stp>.AAPL161021P85</stp>
        <tr r="R93" s="2"/>
      </tp>
      <tp>
        <v>-0.05</v>
        <stp/>
        <stp>NET_CHANGE</stp>
        <stp>.AAPL161021P70</stp>
        <tr r="R90" s="2"/>
      </tp>
      <tp>
        <v>-0.1</v>
        <stp/>
        <stp>NET_CHANGE</stp>
        <stp>.AAPL161021P75</stp>
        <tr r="R91" s="2"/>
      </tp>
      <tp>
        <v>-0.03</v>
        <stp/>
        <stp>NET_CHANGE</stp>
        <stp>.AAPL161021P60</stp>
        <tr r="R88" s="2"/>
      </tp>
      <tp>
        <v>-0.04</v>
        <stp/>
        <stp>NET_CHANGE</stp>
        <stp>.AAPL161021P65</stp>
        <tr r="R89" s="2"/>
      </tp>
      <tp>
        <v>0</v>
        <stp/>
        <stp>NET_CHANGE</stp>
        <stp>.AAPL161021P50</stp>
        <tr r="R86" s="2"/>
      </tp>
      <tp>
        <v>0</v>
        <stp/>
        <stp>NET_CHANGE</stp>
        <stp>.AAPL161021P55</stp>
        <tr r="R87" s="2"/>
      </tp>
      <tp t="s">
        <v>D</v>
        <stp/>
        <stp>LX</stp>
        <stp>TSLA</stp>
        <tr r="B4" s="1"/>
      </tp>
      <tp>
        <v>1.306</v>
        <stp/>
        <stp>STOCK_BETA</stp>
        <stp>TSLA</stp>
        <tr r="J7" s="1"/>
      </tp>
      <tp t="s">
        <v>C</v>
        <stp/>
        <stp>LX</stp>
        <stp>.AAPL160520C75</stp>
        <tr r="D20" s="2"/>
      </tp>
      <tp t="s">
        <v>Q</v>
        <stp/>
        <stp>LX</stp>
        <stp>.AAPL160715C55</stp>
        <tr r="D55" s="2"/>
      </tp>
      <tp t="s">
        <v>N</v>
        <stp/>
        <stp>LX</stp>
        <stp>.AAPL160520C70</stp>
        <tr r="D19" s="2"/>
      </tp>
      <tp t="s">
        <v>I</v>
        <stp/>
        <stp>LX</stp>
        <stp>.AAPL160715C50</stp>
        <tr r="D54" s="2"/>
      </tp>
      <tp t="s">
        <v>N</v>
        <stp/>
        <stp>AX</stp>
        <stp>.AAPL160520C70</stp>
        <tr r="I19" s="2"/>
      </tp>
      <tp t="s">
        <v>C</v>
        <stp/>
        <stp>BX</stp>
        <stp>.AAPL160715C50</stp>
        <tr r="G54" s="2"/>
      </tp>
      <tp t="s">
        <v>C</v>
        <stp/>
        <stp>BX</stp>
        <stp>.AAPL160520C70</stp>
        <tr r="G19" s="2"/>
      </tp>
      <tp t="s">
        <v>M</v>
        <stp/>
        <stp>AX</stp>
        <stp>.AAPL160715C50</stp>
        <tr r="I54" s="2"/>
      </tp>
      <tp t="s">
        <v>C</v>
        <stp/>
        <stp>AX</stp>
        <stp>.AAPL160520C75</stp>
        <tr r="I20" s="2"/>
      </tp>
      <tp t="s">
        <v>M</v>
        <stp/>
        <stp>BX</stp>
        <stp>.AAPL160715C55</stp>
        <tr r="G55" s="2"/>
      </tp>
      <tp t="s">
        <v>C</v>
        <stp/>
        <stp>BX</stp>
        <stp>.AAPL160520C75</stp>
        <tr r="G20" s="2"/>
      </tp>
      <tp t="s">
        <v>M</v>
        <stp/>
        <stp>AX</stp>
        <stp>.AAPL160715C55</stp>
        <tr r="I55" s="2"/>
      </tp>
      <tp t="s">
        <v>Z</v>
        <stp/>
        <stp>LX</stp>
        <stp>.AAPL160520C65</stp>
        <tr r="D18" s="2"/>
      </tp>
      <tp t="s">
        <v>N</v>
        <stp/>
        <stp>LX</stp>
        <stp>.AAPL170616C55</stp>
        <tr r="D141" s="2"/>
      </tp>
      <tp t="s">
        <v>I</v>
        <stp/>
        <stp>LX</stp>
        <stp>.AAPL160520C60</stp>
        <tr r="D17" s="2"/>
      </tp>
      <tp t="s">
        <v>M</v>
        <stp/>
        <stp>LX</stp>
        <stp>.AAPL170616C50</stp>
        <tr r="D140" s="2"/>
      </tp>
      <tp t="s">
        <v>C</v>
        <stp/>
        <stp>AX</stp>
        <stp>.AAPL160520C60</stp>
        <tr r="I17" s="2"/>
      </tp>
      <tp t="s">
        <v>C</v>
        <stp/>
        <stp>BX</stp>
        <stp>.AAPL170616C50</stp>
        <tr r="G140" s="2"/>
      </tp>
      <tp t="s">
        <v>C</v>
        <stp/>
        <stp>BX</stp>
        <stp>.AAPL160520C60</stp>
        <tr r="G17" s="2"/>
      </tp>
      <tp t="s">
        <v>T</v>
        <stp/>
        <stp>AX</stp>
        <stp>.AAPL170616C50</stp>
        <tr r="I140" s="2"/>
      </tp>
      <tp t="s">
        <v>W</v>
        <stp/>
        <stp>AX</stp>
        <stp>.AAPL160520C65</stp>
        <tr r="I18" s="2"/>
      </tp>
      <tp t="s">
        <v>C</v>
        <stp/>
        <stp>BX</stp>
        <stp>.AAPL170616C55</stp>
        <tr r="G141" s="2"/>
      </tp>
      <tp t="s">
        <v>C</v>
        <stp/>
        <stp>BX</stp>
        <stp>.AAPL160520C65</stp>
        <tr r="G18" s="2"/>
      </tp>
      <tp t="s">
        <v>C</v>
        <stp/>
        <stp>AX</stp>
        <stp>.AAPL170616C55</stp>
        <tr r="I141" s="2"/>
      </tp>
      <tp t="s">
        <v/>
        <stp/>
        <stp>LX</stp>
        <stp>.AAPL160520C55</stp>
        <tr r="D16" s="2"/>
      </tp>
      <tp t="s">
        <v>T</v>
        <stp/>
        <stp>LX</stp>
        <stp>.AAPL160715C75</stp>
        <tr r="D59" s="2"/>
      </tp>
      <tp t="s">
        <v>A</v>
        <stp/>
        <stp>LX</stp>
        <stp>.AAPL170616C65</stp>
        <tr r="D143" s="2"/>
      </tp>
      <tp t="s">
        <v>I</v>
        <stp/>
        <stp>LX</stp>
        <stp>.AAPL160520C50</stp>
        <tr r="D15" s="2"/>
      </tp>
      <tp t="s">
        <v>C</v>
        <stp/>
        <stp>LX</stp>
        <stp>.AAPL160715C70</stp>
        <tr r="D58" s="2"/>
      </tp>
      <tp t="s">
        <v>Q</v>
        <stp/>
        <stp>LX</stp>
        <stp>.AAPL170616C60</stp>
        <tr r="D142" s="2"/>
      </tp>
      <tp t="s">
        <v>C</v>
        <stp/>
        <stp>AX</stp>
        <stp>.AAPL160520C50</stp>
        <tr r="I15" s="2"/>
      </tp>
      <tp t="s">
        <v>M</v>
        <stp/>
        <stp>BX</stp>
        <stp>.AAPL160715C70</stp>
        <tr r="G58" s="2"/>
      </tp>
      <tp t="s">
        <v>C</v>
        <stp/>
        <stp>BX</stp>
        <stp>.AAPL170616C60</stp>
        <tr r="G142" s="2"/>
      </tp>
      <tp t="s">
        <v>C</v>
        <stp/>
        <stp>BX</stp>
        <stp>.AAPL160520C50</stp>
        <tr r="G15" s="2"/>
      </tp>
      <tp t="s">
        <v>X</v>
        <stp/>
        <stp>AX</stp>
        <stp>.AAPL160715C70</stp>
        <tr r="I58" s="2"/>
      </tp>
      <tp t="s">
        <v>C</v>
        <stp/>
        <stp>AX</stp>
        <stp>.AAPL170616C60</stp>
        <tr r="I142" s="2"/>
      </tp>
      <tp t="s">
        <v>C</v>
        <stp/>
        <stp>AX</stp>
        <stp>.AAPL160520C55</stp>
        <tr r="I16" s="2"/>
      </tp>
      <tp t="s">
        <v>C</v>
        <stp/>
        <stp>BX</stp>
        <stp>.AAPL160715C75</stp>
        <tr r="G59" s="2"/>
      </tp>
      <tp t="s">
        <v>C</v>
        <stp/>
        <stp>BX</stp>
        <stp>.AAPL170616C65</stp>
        <tr r="G143" s="2"/>
      </tp>
      <tp t="s">
        <v>C</v>
        <stp/>
        <stp>BX</stp>
        <stp>.AAPL160520C55</stp>
        <tr r="G16" s="2"/>
      </tp>
      <tp t="s">
        <v>M</v>
        <stp/>
        <stp>AX</stp>
        <stp>.AAPL160715C75</stp>
        <tr r="I59" s="2"/>
      </tp>
      <tp t="s">
        <v>C</v>
        <stp/>
        <stp>AX</stp>
        <stp>.AAPL170616C65</stp>
        <tr r="I143" s="2"/>
      </tp>
      <tp t="s">
        <v>Q</v>
        <stp/>
        <stp>LX</stp>
        <stp>.AAPL160715C65</stp>
        <tr r="D57" s="2"/>
      </tp>
      <tp t="s">
        <v>Z</v>
        <stp/>
        <stp>LX</stp>
        <stp>.AAPL170616C75</stp>
        <tr r="D145" s="2"/>
      </tp>
      <tp t="s">
        <v>C</v>
        <stp/>
        <stp>LX</stp>
        <stp>.AAPL160715C60</stp>
        <tr r="D56" s="2"/>
      </tp>
      <tp t="s">
        <v>Z</v>
        <stp/>
        <stp>LX</stp>
        <stp>.AAPL170616C70</stp>
        <tr r="D144" s="2"/>
      </tp>
      <tp t="s">
        <v>M</v>
        <stp/>
        <stp>BX</stp>
        <stp>.AAPL160715C60</stp>
        <tr r="G56" s="2"/>
      </tp>
      <tp t="s">
        <v>C</v>
        <stp/>
        <stp>BX</stp>
        <stp>.AAPL170616C70</stp>
        <tr r="G144" s="2"/>
      </tp>
      <tp t="s">
        <v>T</v>
        <stp/>
        <stp>AX</stp>
        <stp>.AAPL160715C60</stp>
        <tr r="I56" s="2"/>
      </tp>
      <tp t="s">
        <v>A</v>
        <stp/>
        <stp>AX</stp>
        <stp>.AAPL170616C70</stp>
        <tr r="I144" s="2"/>
      </tp>
      <tp t="s">
        <v>C</v>
        <stp/>
        <stp>BX</stp>
        <stp>.AAPL160715C65</stp>
        <tr r="G57" s="2"/>
      </tp>
      <tp t="s">
        <v>T</v>
        <stp/>
        <stp>BX</stp>
        <stp>.AAPL170616C75</stp>
        <tr r="G145" s="2"/>
      </tp>
      <tp t="s">
        <v>C</v>
        <stp/>
        <stp>AX</stp>
        <stp>.AAPL160715C65</stp>
        <tr r="I57" s="2"/>
      </tp>
      <tp t="s">
        <v>X</v>
        <stp/>
        <stp>AX</stp>
        <stp>.AAPL170616C75</stp>
        <tr r="I145" s="2"/>
      </tp>
      <tp t="s">
        <v>M</v>
        <stp/>
        <stp>LX</stp>
        <stp>.AAPL160715C95</stp>
        <tr r="D65" s="2"/>
      </tp>
      <tp t="s">
        <v>X</v>
        <stp/>
        <stp>LX</stp>
        <stp>.AAPL170616C85</stp>
        <tr r="D147" s="2"/>
      </tp>
      <tp t="s">
        <v>N</v>
        <stp/>
        <stp>LX</stp>
        <stp>.AAPL160715C90</stp>
        <tr r="D63" s="2"/>
      </tp>
      <tp t="s">
        <v>X</v>
        <stp/>
        <stp>LX</stp>
        <stp>.AAPL170616C80</stp>
        <tr r="D146" s="2"/>
      </tp>
      <tp t="s">
        <v>X</v>
        <stp/>
        <stp>BX</stp>
        <stp>.AAPL160715C90</stp>
        <tr r="G63" s="2"/>
      </tp>
      <tp t="s">
        <v>C</v>
        <stp/>
        <stp>BX</stp>
        <stp>.AAPL170616C80</stp>
        <tr r="G146" s="2"/>
      </tp>
      <tp t="s">
        <v>C</v>
        <stp/>
        <stp>AX</stp>
        <stp>.AAPL160715C90</stp>
        <tr r="I63" s="2"/>
      </tp>
      <tp t="s">
        <v>C</v>
        <stp/>
        <stp>AX</stp>
        <stp>.AAPL170616C80</stp>
        <tr r="I146" s="2"/>
      </tp>
      <tp t="s">
        <v>C</v>
        <stp/>
        <stp>BX</stp>
        <stp>.AAPL160715C95</stp>
        <tr r="G65" s="2"/>
      </tp>
      <tp t="s">
        <v>X</v>
        <stp/>
        <stp>BX</stp>
        <stp>.AAPL170616C85</stp>
        <tr r="G147" s="2"/>
      </tp>
      <tp t="s">
        <v>C</v>
        <stp/>
        <stp>AX</stp>
        <stp>.AAPL160715C95</stp>
        <tr r="I65" s="2"/>
      </tp>
      <tp t="s">
        <v>X</v>
        <stp/>
        <stp>AX</stp>
        <stp>.AAPL170616C85</stp>
        <tr r="I147" s="2"/>
      </tp>
      <tp t="s">
        <v>M</v>
        <stp/>
        <stp>LX</stp>
        <stp>.AAPL160715C85</stp>
        <tr r="D61" s="2"/>
      </tp>
      <tp t="s">
        <v>N</v>
        <stp/>
        <stp>LX</stp>
        <stp>.AAPL170616C95</stp>
        <tr r="D151" s="2"/>
      </tp>
      <tp t="s">
        <v>X</v>
        <stp/>
        <stp>LX</stp>
        <stp>.AAPL160715C80</stp>
        <tr r="D60" s="2"/>
      </tp>
      <tp t="s">
        <v>Z</v>
        <stp/>
        <stp>LX</stp>
        <stp>.AAPL170616C90</stp>
        <tr r="D149" s="2"/>
      </tp>
      <tp t="s">
        <v>C</v>
        <stp/>
        <stp>BX</stp>
        <stp>.AAPL160715C80</stp>
        <tr r="G60" s="2"/>
      </tp>
      <tp t="s">
        <v>C</v>
        <stp/>
        <stp>BX</stp>
        <stp>.AAPL170616C90</stp>
        <tr r="G149" s="2"/>
      </tp>
      <tp t="s">
        <v>C</v>
        <stp/>
        <stp>AX</stp>
        <stp>.AAPL160715C80</stp>
        <tr r="I60" s="2"/>
      </tp>
      <tp t="s">
        <v>C</v>
        <stp/>
        <stp>AX</stp>
        <stp>.AAPL170616C90</stp>
        <tr r="I149" s="2"/>
      </tp>
      <tp t="s">
        <v>C</v>
        <stp/>
        <stp>BX</stp>
        <stp>.AAPL160715C85</stp>
        <tr r="G61" s="2"/>
      </tp>
      <tp t="s">
        <v>X</v>
        <stp/>
        <stp>BX</stp>
        <stp>.AAPL170616C95</stp>
        <tr r="G151" s="2"/>
      </tp>
      <tp t="s">
        <v>H</v>
        <stp/>
        <stp>AX</stp>
        <stp>.AAPL160715C85</stp>
        <tr r="I61" s="2"/>
      </tp>
      <tp t="s">
        <v>C</v>
        <stp/>
        <stp>AX</stp>
        <stp>.AAPL170616C95</stp>
        <tr r="I151" s="2"/>
      </tp>
      <tp t="s">
        <v>Q</v>
        <stp/>
        <stp>LX</stp>
        <stp>.AAPL160520C95</stp>
        <tr r="D26" s="2"/>
      </tp>
      <tp t="s">
        <v>N</v>
        <stp/>
        <stp>LX</stp>
        <stp>.AAPL160520C90</stp>
        <tr r="D24" s="2"/>
      </tp>
      <tp t="s">
        <v>C</v>
        <stp/>
        <stp>AX</stp>
        <stp>.AAPL160520C90</stp>
        <tr r="I24" s="2"/>
      </tp>
      <tp t="s">
        <v>C</v>
        <stp/>
        <stp>BX</stp>
        <stp>.AAPL160520C90</stp>
        <tr r="G24" s="2"/>
      </tp>
      <tp t="s">
        <v>C</v>
        <stp/>
        <stp>AX</stp>
        <stp>.AAPL160520C95</stp>
        <tr r="I26" s="2"/>
      </tp>
      <tp t="s">
        <v>C</v>
        <stp/>
        <stp>BX</stp>
        <stp>.AAPL160520C95</stp>
        <tr r="G26" s="2"/>
      </tp>
      <tp t="s">
        <v>X</v>
        <stp/>
        <stp>LX</stp>
        <stp>.AAPL160520C85</stp>
        <tr r="D22" s="2"/>
      </tp>
      <tp t="s">
        <v>X</v>
        <stp/>
        <stp>LX</stp>
        <stp>.AAPL160520C80</stp>
        <tr r="D21" s="2"/>
      </tp>
      <tp t="s">
        <v>C</v>
        <stp/>
        <stp>AX</stp>
        <stp>.AAPL160520C80</stp>
        <tr r="I21" s="2"/>
      </tp>
      <tp t="s">
        <v>C</v>
        <stp/>
        <stp>BX</stp>
        <stp>.AAPL160520C80</stp>
        <tr r="G21" s="2"/>
      </tp>
      <tp t="s">
        <v>C</v>
        <stp/>
        <stp>AX</stp>
        <stp>.AAPL160520C85</stp>
        <tr r="I22" s="2"/>
      </tp>
      <tp t="s">
        <v>C</v>
        <stp/>
        <stp>BX</stp>
        <stp>.AAPL160520C85</stp>
        <tr r="G22" s="2"/>
      </tp>
      <tp>
        <v>112.19</v>
        <stp/>
        <stp>ASK</stp>
        <stp>AAPL</stp>
        <tr r="F4" s="2"/>
      </tp>
      <tp t="s">
        <v>H</v>
        <stp/>
        <stp>LX</stp>
        <stp>.AAPL161021C65</stp>
        <tr r="D89" s="2"/>
      </tp>
      <tp t="s">
        <v>Q</v>
        <stp/>
        <stp>LX</stp>
        <stp>.AAPL161021C60</stp>
        <tr r="D88" s="2"/>
      </tp>
      <tp t="s">
        <v>M</v>
        <stp/>
        <stp>AX</stp>
        <stp>.AAPL161021C60</stp>
        <tr r="I88" s="2"/>
      </tp>
      <tp t="s">
        <v>C</v>
        <stp/>
        <stp>BX</stp>
        <stp>.AAPL161021C60</stp>
        <tr r="G88" s="2"/>
      </tp>
      <tp t="s">
        <v>M</v>
        <stp/>
        <stp>AX</stp>
        <stp>.AAPL161021C65</stp>
        <tr r="I89" s="2"/>
      </tp>
      <tp t="s">
        <v>C</v>
        <stp/>
        <stp>BX</stp>
        <stp>.AAPL161021C65</stp>
        <tr r="G89" s="2"/>
      </tp>
      <tp t="s">
        <v>C</v>
        <stp/>
        <stp>LX</stp>
        <stp>.AAPL161021C75</stp>
        <tr r="D91" s="2"/>
      </tp>
      <tp t="s">
        <v>X</v>
        <stp/>
        <stp>LX</stp>
        <stp>.AAPL161021C70</stp>
        <tr r="D90" s="2"/>
      </tp>
      <tp t="s">
        <v>C</v>
        <stp/>
        <stp>AX</stp>
        <stp>.AAPL161021C70</stp>
        <tr r="I90" s="2"/>
      </tp>
      <tp t="s">
        <v>C</v>
        <stp/>
        <stp>BX</stp>
        <stp>.AAPL161021C70</stp>
        <tr r="G90" s="2"/>
      </tp>
      <tp t="s">
        <v>X</v>
        <stp/>
        <stp>AX</stp>
        <stp>.AAPL161021C75</stp>
        <tr r="I91" s="2"/>
      </tp>
      <tp t="s">
        <v>C</v>
        <stp/>
        <stp>BX</stp>
        <stp>.AAPL161021C75</stp>
        <tr r="G91" s="2"/>
      </tp>
      <tp t="s">
        <v>N</v>
        <stp/>
        <stp>LX</stp>
        <stp>.AAPL161021C55</stp>
        <tr r="D87" s="2"/>
      </tp>
      <tp t="s">
        <v>I</v>
        <stp/>
        <stp>LX</stp>
        <stp>.AAPL161021C50</stp>
        <tr r="D86" s="2"/>
      </tp>
      <tp t="s">
        <v>M</v>
        <stp/>
        <stp>AX</stp>
        <stp>.AAPL161021C50</stp>
        <tr r="I86" s="2"/>
      </tp>
      <tp t="s">
        <v>C</v>
        <stp/>
        <stp>BX</stp>
        <stp>.AAPL161021C50</stp>
        <tr r="G86" s="2"/>
      </tp>
      <tp t="s">
        <v>M</v>
        <stp/>
        <stp>AX</stp>
        <stp>.AAPL161021C55</stp>
        <tr r="I87" s="2"/>
      </tp>
      <tp t="s">
        <v>C</v>
        <stp/>
        <stp>BX</stp>
        <stp>.AAPL161021C55</stp>
        <tr r="G87" s="2"/>
      </tp>
      <tp t="s">
        <v>N</v>
        <stp/>
        <stp>LX</stp>
        <stp>.AAPL161021C85</stp>
        <tr r="D93" s="2"/>
      </tp>
      <tp t="s">
        <v>Q</v>
        <stp/>
        <stp>LX</stp>
        <stp>.AAPL161021C80</stp>
        <tr r="D92" s="2"/>
      </tp>
      <tp t="s">
        <v>A</v>
        <stp/>
        <stp>AX</stp>
        <stp>.AAPL161021C80</stp>
        <tr r="I92" s="2"/>
      </tp>
      <tp t="s">
        <v>C</v>
        <stp/>
        <stp>BX</stp>
        <stp>.AAPL161021C80</stp>
        <tr r="G92" s="2"/>
      </tp>
      <tp t="s">
        <v>A</v>
        <stp/>
        <stp>AX</stp>
        <stp>.AAPL161021C85</stp>
        <tr r="I93" s="2"/>
      </tp>
      <tp t="s">
        <v>M</v>
        <stp/>
        <stp>BX</stp>
        <stp>.AAPL161021C85</stp>
        <tr r="G93" s="2"/>
      </tp>
      <tp t="s">
        <v>N</v>
        <stp/>
        <stp>LX</stp>
        <stp>.AAPL161021C95</stp>
        <tr r="D97" s="2"/>
      </tp>
      <tp t="s">
        <v>Z</v>
        <stp/>
        <stp>LX</stp>
        <stp>.AAPL161021C90</stp>
        <tr r="D95" s="2"/>
      </tp>
      <tp t="s">
        <v>C</v>
        <stp/>
        <stp>AX</stp>
        <stp>.AAPL161021C90</stp>
        <tr r="I95" s="2"/>
      </tp>
      <tp t="s">
        <v>C</v>
        <stp/>
        <stp>BX</stp>
        <stp>.AAPL161021C90</stp>
        <tr r="G95" s="2"/>
      </tp>
      <tp t="s">
        <v>C</v>
        <stp/>
        <stp>AX</stp>
        <stp>.AAPL161021C95</stp>
        <tr r="I97" s="2"/>
      </tp>
      <tp t="s">
        <v>C</v>
        <stp/>
        <stp>BX</stp>
        <stp>.AAPL161021C95</stp>
        <tr r="G97" s="2"/>
      </tp>
      <tp t="s">
        <v xml:space="preserve"> </v>
        <stp/>
        <stp>AX</stp>
        <stp>.AAPL7170120P95</stp>
        <tr r="O128" s="2"/>
      </tp>
      <tp t="s">
        <v>Z</v>
        <stp/>
        <stp>AX</stp>
        <stp>.AAPL7170120P90</stp>
        <tr r="O127" s="2"/>
      </tp>
      <tp t="s">
        <v>A</v>
        <stp/>
        <stp>AX</stp>
        <stp>.AAPL7170120P85</stp>
        <tr r="O126" s="2"/>
      </tp>
      <tp t="s">
        <v>Z</v>
        <stp/>
        <stp>AX</stp>
        <stp>.AAPL7170120P80</stp>
        <tr r="O125" s="2"/>
      </tp>
      <tp t="s">
        <v>Z</v>
        <stp/>
        <stp>BX</stp>
        <stp>.AAPL7170120P85</stp>
        <tr r="M126" s="2"/>
      </tp>
      <tp t="s">
        <v>A</v>
        <stp/>
        <stp>LX</stp>
        <stp>.AAPL7170120P65</stp>
        <tr r="Q122" s="2"/>
      </tp>
      <tp t="s">
        <v>Z</v>
        <stp/>
        <stp>BX</stp>
        <stp>.AAPL7170120P80</stp>
        <tr r="M125" s="2"/>
      </tp>
      <tp t="s">
        <v>Z</v>
        <stp/>
        <stp>BX</stp>
        <stp>.AAPL7170120P95</stp>
        <tr r="M128" s="2"/>
      </tp>
      <tp t="s">
        <v>B</v>
        <stp/>
        <stp>LX</stp>
        <stp>.AAPL7170120P75</stp>
        <tr r="Q124" s="2"/>
      </tp>
      <tp t="s">
        <v>Z</v>
        <stp/>
        <stp>BX</stp>
        <stp>.AAPL7170120P90</stp>
        <tr r="M127" s="2"/>
      </tp>
      <tp t="s">
        <v>Z</v>
        <stp/>
        <stp>LX</stp>
        <stp>.AAPL7170120P70</stp>
        <tr r="Q123" s="2"/>
      </tp>
      <tp t="s">
        <v>Z</v>
        <stp/>
        <stp>BX</stp>
        <stp>.AAPL7170120P65</stp>
        <tr r="M122" s="2"/>
      </tp>
      <tp t="s">
        <v>N</v>
        <stp/>
        <stp>LX</stp>
        <stp>.AAPL7170120P85</stp>
        <tr r="Q126" s="2"/>
      </tp>
      <tp t="s">
        <v>Z</v>
        <stp/>
        <stp>LX</stp>
        <stp>.AAPL7170120P80</stp>
        <tr r="Q125" s="2"/>
      </tp>
      <tp t="s">
        <v>Z</v>
        <stp/>
        <stp>BX</stp>
        <stp>.AAPL7170120P75</stp>
        <tr r="M124" s="2"/>
      </tp>
      <tp t="s">
        <v>Z</v>
        <stp/>
        <stp>LX</stp>
        <stp>.AAPL7170120P95</stp>
        <tr r="Q128" s="2"/>
      </tp>
      <tp t="s">
        <v>Z</v>
        <stp/>
        <stp>BX</stp>
        <stp>.AAPL7170120P70</stp>
        <tr r="M123" s="2"/>
      </tp>
      <tp t="s">
        <v>Z</v>
        <stp/>
        <stp>LX</stp>
        <stp>.AAPL7170120P90</stp>
        <tr r="Q127" s="2"/>
      </tp>
      <tp t="s">
        <v>Z</v>
        <stp/>
        <stp>AX</stp>
        <stp>.AAPL7170120P75</stp>
        <tr r="O124" s="2"/>
      </tp>
      <tp t="s">
        <v>Z</v>
        <stp/>
        <stp>AX</stp>
        <stp>.AAPL7170120P70</stp>
        <tr r="O123" s="2"/>
      </tp>
      <tp>
        <v>9.3919999999999995</v>
        <stp/>
        <stp>EPS</stp>
        <stp>AAPL</stp>
        <tr r="C7" s="2"/>
      </tp>
      <tp t="s">
        <v>Z</v>
        <stp/>
        <stp>AX</stp>
        <stp>.AAPL7170120P65</stp>
        <tr r="O122" s="2"/>
      </tp>
      <tp t="s">
        <v>K</v>
        <stp/>
        <stp>AX</stp>
        <stp>TSLA</stp>
        <tr r="G4" s="1"/>
      </tp>
      <tp>
        <v>5.76</v>
        <stp/>
        <stp>LAST</stp>
        <stp>.AAPL170616P92.5</stp>
        <tr r="P150" s="2"/>
      </tp>
      <tp>
        <v>23.66</v>
        <stp/>
        <stp>LAST</stp>
        <stp>.AAPL170616C92.5</stp>
        <tr r="C150" s="2"/>
      </tp>
      <tp>
        <v>0.82</v>
        <stp/>
        <stp>LAST</stp>
        <stp>.AAPL160715P92.5</stp>
        <tr r="P64" s="2"/>
      </tp>
      <tp>
        <v>20.100000000000001</v>
        <stp/>
        <stp>LAST</stp>
        <stp>.AAPL160715C92.5</stp>
        <tr r="C64" s="2"/>
      </tp>
      <tp>
        <v>11.95</v>
        <stp/>
        <stp>PE</stp>
        <stp>AAPL</stp>
        <tr r="B7" s="2"/>
      </tp>
      <tp t="s">
        <v>Y</v>
        <stp/>
        <stp>BX</stp>
        <stp>TSLA</stp>
        <tr r="E4" s="1"/>
      </tp>
      <tp>
        <v>2.15</v>
        <stp/>
        <stp>LAST</stp>
        <stp>.AAPL161021P92.5</stp>
        <tr r="P96" s="2"/>
      </tp>
      <tp>
        <v>21.35</v>
        <stp/>
        <stp>LAST</stp>
        <stp>.AAPL161021C92.5</stp>
        <tr r="C96" s="2"/>
      </tp>
      <tp>
        <v>0.26</v>
        <stp/>
        <stp>LAST</stp>
        <stp>.AAPL160520P92.5</stp>
        <tr r="P25" s="2"/>
      </tp>
      <tp>
        <v>20</v>
        <stp/>
        <stp>LAST</stp>
        <stp>.AAPL160520C92.5</stp>
        <tr r="C25" s="2"/>
      </tp>
      <tp>
        <v>0.02</v>
        <stp/>
        <stp>DELTA</stp>
        <stp>.TSLA160520C400</stp>
        <tr r="E75" s="1"/>
      </tp>
      <tp>
        <v>-0.84</v>
        <stp/>
        <stp>DELTA</stp>
        <stp>.TSLA160520P400</stp>
        <tr r="R75" s="1"/>
      </tp>
      <tp>
        <v>0.02</v>
        <stp/>
        <stp>DELTA</stp>
        <stp>.TSLA160520C410</stp>
        <tr r="E76" s="1"/>
      </tp>
      <tp>
        <v>-0.83</v>
        <stp/>
        <stp>DELTA</stp>
        <stp>.TSLA160520P410</stp>
        <tr r="R76" s="1"/>
      </tp>
      <tp>
        <v>247.33</v>
        <stp/>
        <stp>LOW</stp>
        <stp>TSLA</stp>
        <tr r="L4" s="1"/>
      </tp>
      <tp>
        <v>0.01</v>
        <stp/>
        <stp>DELTA</stp>
        <stp>.TSLA160520C420</stp>
        <tr r="E77" s="1"/>
      </tp>
      <tp>
        <v>-0.82</v>
        <stp/>
        <stp>DELTA</stp>
        <stp>.TSLA160520P420</stp>
        <tr r="R77" s="1"/>
      </tp>
      <tp>
        <v>0.01</v>
        <stp/>
        <stp>DELTA</stp>
        <stp>.TSLA160520C430</stp>
        <tr r="E78" s="1"/>
      </tp>
      <tp>
        <v>-0.82</v>
        <stp/>
        <stp>DELTA</stp>
        <stp>.TSLA160520P430</stp>
        <tr r="R78" s="1"/>
      </tp>
      <tp>
        <v>0.03</v>
        <stp/>
        <stp>DELTA</stp>
        <stp>.TSLA160520C440</stp>
        <tr r="E79" s="1"/>
      </tp>
      <tp>
        <v>-0.81</v>
        <stp/>
        <stp>DELTA</stp>
        <stp>.TSLA160520P440</stp>
        <tr r="R79" s="1"/>
      </tp>
      <tp>
        <v>0.02</v>
        <stp/>
        <stp>DELTA</stp>
        <stp>.TSLA160520C450</stp>
        <tr r="E80" s="1"/>
      </tp>
      <tp>
        <v>-0.8</v>
        <stp/>
        <stp>DELTA</stp>
        <stp>.TSLA160520P450</stp>
        <tr r="R80" s="1"/>
      </tp>
      <tp>
        <v>0</v>
        <stp/>
        <stp>DELTA</stp>
        <stp>.TSLA160520C460</stp>
        <tr r="E81" s="1"/>
      </tp>
      <tp>
        <v>-0.8</v>
        <stp/>
        <stp>DELTA</stp>
        <stp>.TSLA160520P460</stp>
        <tr r="R81" s="1"/>
      </tp>
      <tp>
        <v>0</v>
        <stp/>
        <stp>DELTA</stp>
        <stp>.TSLA160520C470</stp>
        <tr r="E82" s="1"/>
      </tp>
      <tp>
        <v>-0.79</v>
        <stp/>
        <stp>DELTA</stp>
        <stp>.TSLA160520P470</stp>
        <tr r="R82" s="1"/>
      </tp>
      <tp>
        <v>0</v>
        <stp/>
        <stp>DELTA</stp>
        <stp>.TSLA160520C480</stp>
        <tr r="E83" s="1"/>
      </tp>
      <tp>
        <v>-0.78</v>
        <stp/>
        <stp>DELTA</stp>
        <stp>.TSLA160520P480</stp>
        <tr r="R83" s="1"/>
      </tp>
      <tp>
        <v>0</v>
        <stp/>
        <stp>NET_CHANGE</stp>
        <stp>.AAPL7170120C65</stp>
        <tr r="E122" s="2"/>
      </tp>
      <tp>
        <v>0</v>
        <stp/>
        <stp>NET_CHANGE</stp>
        <stp>.AAPL7170120C75</stp>
        <tr r="E124" s="2"/>
      </tp>
      <tp>
        <v>0</v>
        <stp/>
        <stp>NET_CHANGE</stp>
        <stp>.AAPL7170120C70</stp>
        <tr r="E123" s="2"/>
      </tp>
      <tp>
        <v>9.9</v>
        <stp/>
        <stp>LAST</stp>
        <stp>.AAPL7170120C100</stp>
        <tr r="C129" s="2"/>
      </tp>
      <tp>
        <v>6.8</v>
        <stp/>
        <stp>LAST</stp>
        <stp>.AAPL7170120P100</stp>
        <tr r="P129" s="2"/>
      </tp>
      <tp>
        <v>8.4</v>
        <stp/>
        <stp>LAST</stp>
        <stp>.AAPL7170120C105</stp>
        <tr r="C130" s="2"/>
      </tp>
      <tp>
        <v>8.31</v>
        <stp/>
        <stp>LAST</stp>
        <stp>.AAPL7170120P105</stp>
        <tr r="P130" s="2"/>
      </tp>
      <tp>
        <v>6.7</v>
        <stp/>
        <stp>LAST</stp>
        <stp>.AAPL7170120C110</stp>
        <tr r="C131" s="2"/>
      </tp>
      <tp>
        <v>0</v>
        <stp/>
        <stp>LAST</stp>
        <stp>.AAPL7170120P110</stp>
        <tr r="P131" s="2"/>
      </tp>
      <tp>
        <v>5</v>
        <stp/>
        <stp>LAST</stp>
        <stp>.AAPL7170120C115</stp>
        <tr r="C132" s="2"/>
      </tp>
      <tp>
        <v>20</v>
        <stp/>
        <stp>LAST</stp>
        <stp>.AAPL7170120P115</stp>
        <tr r="P132" s="2"/>
      </tp>
      <tp>
        <v>3</v>
        <stp/>
        <stp>LAST</stp>
        <stp>.AAPL7170120C120</stp>
        <tr r="C133" s="2"/>
      </tp>
      <tp>
        <v>0</v>
        <stp/>
        <stp>LAST</stp>
        <stp>.AAPL7170120P120</stp>
        <tr r="P133" s="2"/>
      </tp>
      <tp>
        <v>20.399999999999999</v>
        <stp/>
        <stp>LAST</stp>
        <stp>.AAPL7170120C125</stp>
        <tr r="C134" s="2"/>
      </tp>
      <tp>
        <v>33</v>
        <stp/>
        <stp>LAST</stp>
        <stp>.AAPL7170120P125</stp>
        <tr r="P134" s="2"/>
      </tp>
      <tp>
        <v>17.2</v>
        <stp/>
        <stp>LAST</stp>
        <stp>.AAPL7170120C130</stp>
        <tr r="C135" s="2"/>
      </tp>
      <tp>
        <v>0</v>
        <stp/>
        <stp>LAST</stp>
        <stp>.AAPL7170120P130</stp>
        <tr r="P135" s="2"/>
      </tp>
      <tp>
        <v>2.2000000000000002</v>
        <stp/>
        <stp>LAST</stp>
        <stp>.AAPL7170120C135</stp>
        <tr r="C136" s="2"/>
      </tp>
      <tp>
        <v>39</v>
        <stp/>
        <stp>LAST</stp>
        <stp>.AAPL7170120P135</stp>
        <tr r="P136" s="2"/>
      </tp>
      <tp>
        <v>0</v>
        <stp/>
        <stp>NET_CHANGE</stp>
        <stp>.AAPL7170120C85</stp>
        <tr r="E126" s="2"/>
      </tp>
      <tp>
        <v>0</v>
        <stp/>
        <stp>NET_CHANGE</stp>
        <stp>.AAPL7170120C80</stp>
        <tr r="E125" s="2"/>
      </tp>
      <tp>
        <v>0</v>
        <stp/>
        <stp>NET_CHANGE</stp>
        <stp>.AAPL7170120C95</stp>
        <tr r="E128" s="2"/>
      </tp>
      <tp>
        <v>0</v>
        <stp/>
        <stp>NET_CHANGE</stp>
        <stp>.AAPL7170120C90</stp>
        <tr r="E127" s="2"/>
      </tp>
      <tp>
        <v>0.17</v>
        <stp/>
        <stp>DELTA</stp>
        <stp>.TSLA160520C300</stp>
        <tr r="E55" s="1"/>
      </tp>
      <tp>
        <v>-0.77</v>
        <stp/>
        <stp>DELTA</stp>
        <stp>.TSLA160520P300</stp>
        <tr r="R55" s="1"/>
      </tp>
      <tp>
        <v>0.15</v>
        <stp/>
        <stp>DELTA</stp>
        <stp>.TSLA160520C305</stp>
        <tr r="E56" s="1"/>
      </tp>
      <tp>
        <v>-0.79</v>
        <stp/>
        <stp>DELTA</stp>
        <stp>.TSLA160520P305</stp>
        <tr r="R56" s="1"/>
      </tp>
      <tp>
        <v>0.13</v>
        <stp/>
        <stp>DELTA</stp>
        <stp>.TSLA160520C310</stp>
        <tr r="E57" s="1"/>
      </tp>
      <tp>
        <v>-0.8</v>
        <stp/>
        <stp>DELTA</stp>
        <stp>.TSLA160520P310</stp>
        <tr r="R57" s="1"/>
      </tp>
      <tp>
        <v>0.11</v>
        <stp/>
        <stp>DELTA</stp>
        <stp>.TSLA160520C315</stp>
        <tr r="E58" s="1"/>
      </tp>
      <tp>
        <v>-0.82</v>
        <stp/>
        <stp>DELTA</stp>
        <stp>.TSLA160520P315</stp>
        <tr r="R58" s="1"/>
      </tp>
      <tp>
        <v>0.09</v>
        <stp/>
        <stp>DELTA</stp>
        <stp>.TSLA160520C320</stp>
        <tr r="E59" s="1"/>
      </tp>
      <tp>
        <v>-0.83</v>
        <stp/>
        <stp>DELTA</stp>
        <stp>.TSLA160520P320</stp>
        <tr r="R59" s="1"/>
      </tp>
      <tp>
        <v>0.08</v>
        <stp/>
        <stp>DELTA</stp>
        <stp>.TSLA160520C325</stp>
        <tr r="E60" s="1"/>
      </tp>
      <tp>
        <v>-0.83</v>
        <stp/>
        <stp>DELTA</stp>
        <stp>.TSLA160520P325</stp>
        <tr r="R60" s="1"/>
      </tp>
      <tp>
        <v>7.0000000000000007E-2</v>
        <stp/>
        <stp>DELTA</stp>
        <stp>.TSLA160520C330</stp>
        <tr r="E61" s="1"/>
      </tp>
      <tp>
        <v>-0.84</v>
        <stp/>
        <stp>DELTA</stp>
        <stp>.TSLA160520P330</stp>
        <tr r="R61" s="1"/>
      </tp>
      <tp>
        <v>0.05</v>
        <stp/>
        <stp>DELTA</stp>
        <stp>.TSLA160520C335</stp>
        <tr r="E62" s="1"/>
      </tp>
      <tp>
        <v>-0.84</v>
        <stp/>
        <stp>DELTA</stp>
        <stp>.TSLA160520P335</stp>
        <tr r="R62" s="1"/>
      </tp>
      <tp>
        <v>0.04</v>
        <stp/>
        <stp>DELTA</stp>
        <stp>.TSLA160520C340</stp>
        <tr r="E63" s="1"/>
      </tp>
      <tp>
        <v>-0.85</v>
        <stp/>
        <stp>DELTA</stp>
        <stp>.TSLA160520P340</stp>
        <tr r="R63" s="1"/>
      </tp>
      <tp>
        <v>0.04</v>
        <stp/>
        <stp>DELTA</stp>
        <stp>.TSLA160520C345</stp>
        <tr r="E64" s="1"/>
      </tp>
      <tp>
        <v>-0.85</v>
        <stp/>
        <stp>DELTA</stp>
        <stp>.TSLA160520P345</stp>
        <tr r="R64" s="1"/>
      </tp>
      <tp>
        <v>0.04</v>
        <stp/>
        <stp>DELTA</stp>
        <stp>.TSLA160520C350</stp>
        <tr r="E65" s="1"/>
      </tp>
      <tp>
        <v>-0.85</v>
        <stp/>
        <stp>DELTA</stp>
        <stp>.TSLA160520P350</stp>
        <tr r="R65" s="1"/>
      </tp>
      <tp>
        <v>0.03</v>
        <stp/>
        <stp>DELTA</stp>
        <stp>.TSLA160520C355</stp>
        <tr r="E66" s="1"/>
      </tp>
      <tp>
        <v>-0.85</v>
        <stp/>
        <stp>DELTA</stp>
        <stp>.TSLA160520P355</stp>
        <tr r="R66" s="1"/>
      </tp>
      <tp>
        <v>0.02</v>
        <stp/>
        <stp>DELTA</stp>
        <stp>.TSLA160520C360</stp>
        <tr r="E67" s="1"/>
      </tp>
      <tp>
        <v>-0.85</v>
        <stp/>
        <stp>DELTA</stp>
        <stp>.TSLA160520P360</stp>
        <tr r="R67" s="1"/>
      </tp>
      <tp>
        <v>0.02</v>
        <stp/>
        <stp>DELTA</stp>
        <stp>.TSLA160520C365</stp>
        <tr r="E68" s="1"/>
      </tp>
      <tp>
        <v>-0.85</v>
        <stp/>
        <stp>DELTA</stp>
        <stp>.TSLA160520P365</stp>
        <tr r="R68" s="1"/>
      </tp>
      <tp>
        <v>0.02</v>
        <stp/>
        <stp>DELTA</stp>
        <stp>.TSLA160520C370</stp>
        <tr r="E69" s="1"/>
      </tp>
      <tp>
        <v>-0.85</v>
        <stp/>
        <stp>DELTA</stp>
        <stp>.TSLA160520P370</stp>
        <tr r="R69" s="1"/>
      </tp>
      <tp>
        <v>0.03</v>
        <stp/>
        <stp>DELTA</stp>
        <stp>.TSLA160520C375</stp>
        <tr r="E70" s="1"/>
      </tp>
      <tp>
        <v>-0.85</v>
        <stp/>
        <stp>DELTA</stp>
        <stp>.TSLA160520P375</stp>
        <tr r="R70" s="1"/>
      </tp>
      <tp>
        <v>0.49</v>
        <stp/>
        <stp>LAST</stp>
        <stp>.AAPL170616P47.5</stp>
        <tr r="P139" s="2"/>
      </tp>
      <tp>
        <v>4.6900000000000004</v>
        <stp/>
        <stp>LAST</stp>
        <stp>.AAPL170616P87.5</stp>
        <tr r="P148" s="2"/>
      </tp>
      <tp>
        <v>7.35</v>
        <stp/>
        <stp>LAST</stp>
        <stp>.AAPL170616P97.5</stp>
        <tr r="P152" s="2"/>
      </tp>
      <tp>
        <v>54.73</v>
        <stp/>
        <stp>LAST</stp>
        <stp>.AAPL170616C47.5</stp>
        <tr r="C139" s="2"/>
      </tp>
      <tp>
        <v>26.5</v>
        <stp/>
        <stp>LAST</stp>
        <stp>.AAPL170616C87.5</stp>
        <tr r="C148" s="2"/>
      </tp>
      <tp>
        <v>19.5</v>
        <stp/>
        <stp>LAST</stp>
        <stp>.AAPL170616C97.5</stp>
        <tr r="C152" s="2"/>
      </tp>
      <tp>
        <v>0.02</v>
        <stp/>
        <stp>DELTA</stp>
        <stp>.TSLA160520C380</stp>
        <tr r="E71" s="1"/>
      </tp>
      <tp>
        <v>-0.85</v>
        <stp/>
        <stp>DELTA</stp>
        <stp>.TSLA160520P380</stp>
        <tr r="R71" s="1"/>
      </tp>
      <tp>
        <v>0.02</v>
        <stp/>
        <stp>DELTA</stp>
        <stp>.TSLA160520C385</stp>
        <tr r="E72" s="1"/>
      </tp>
      <tp>
        <v>-0.85</v>
        <stp/>
        <stp>DELTA</stp>
        <stp>.TSLA160520P385</stp>
        <tr r="R72" s="1"/>
      </tp>
      <tp>
        <v>0.02</v>
        <stp/>
        <stp>DELTA</stp>
        <stp>.TSLA160520C390</stp>
        <tr r="E73" s="1"/>
      </tp>
      <tp>
        <v>-0.84</v>
        <stp/>
        <stp>DELTA</stp>
        <stp>.TSLA160520P390</stp>
        <tr r="R73" s="1"/>
      </tp>
      <tp>
        <v>0.02</v>
        <stp/>
        <stp>DELTA</stp>
        <stp>.TSLA160520C395</stp>
        <tr r="E74" s="1"/>
      </tp>
      <tp>
        <v>-0.84</v>
        <stp/>
        <stp>DELTA</stp>
        <stp>.TSLA160520P395</stp>
        <tr r="R74" s="1"/>
      </tp>
      <tp>
        <v>1.33</v>
        <stp/>
        <stp>LAST</stp>
        <stp>.AAPL160715P97.5</stp>
        <tr r="P66" s="2"/>
      </tp>
      <tp>
        <v>0.47</v>
        <stp/>
        <stp>LAST</stp>
        <stp>.AAPL160715P87.5</stp>
        <tr r="P62" s="2"/>
      </tp>
      <tp>
        <v>15.55</v>
        <stp/>
        <stp>LAST</stp>
        <stp>.AAPL160715C97.5</stp>
        <tr r="C66" s="2"/>
      </tp>
      <tp>
        <v>24.57</v>
        <stp/>
        <stp>LAST</stp>
        <stp>.AAPL160715C87.5</stp>
        <tr r="C62" s="2"/>
      </tp>
      <tp t="s">
        <v>2/4/16</v>
        <stp/>
        <stp>EX_DIV_DATE</stp>
        <stp>AAPL</stp>
        <tr r="F7" s="2"/>
      </tp>
      <tp>
        <v>254.28</v>
        <stp/>
        <stp>BID</stp>
        <stp>TSLA</stp>
        <tr r="D4" s="1"/>
      </tp>
      <tp>
        <v>92</v>
        <stp/>
        <stp>52LOW</stp>
        <stp>AAPL</stp>
        <tr r="H7" s="2"/>
      </tp>
      <tp>
        <v>0.95</v>
        <stp/>
        <stp>DELTA</stp>
        <stp>.TSLA160520C200</stp>
        <tr r="E35" s="1"/>
      </tp>
      <tp>
        <v>-0.1</v>
        <stp/>
        <stp>DELTA</stp>
        <stp>.TSLA160520P200</stp>
        <tr r="R35" s="1"/>
      </tp>
      <tp>
        <v>0.91</v>
        <stp/>
        <stp>DELTA</stp>
        <stp>.TSLA160520C205</stp>
        <tr r="E36" s="1"/>
      </tp>
      <tp>
        <v>-0.12</v>
        <stp/>
        <stp>DELTA</stp>
        <stp>.TSLA160520P205</stp>
        <tr r="R36" s="1"/>
      </tp>
      <tp>
        <v>0.89</v>
        <stp/>
        <stp>DELTA</stp>
        <stp>.TSLA160520C210</stp>
        <tr r="E37" s="1"/>
      </tp>
      <tp>
        <v>-0.14000000000000001</v>
        <stp/>
        <stp>DELTA</stp>
        <stp>.TSLA160520P210</stp>
        <tr r="R37" s="1"/>
      </tp>
      <tp>
        <v>0.86</v>
        <stp/>
        <stp>DELTA</stp>
        <stp>.TSLA160520C215</stp>
        <tr r="E38" s="1"/>
      </tp>
      <tp>
        <v>-0.17</v>
        <stp/>
        <stp>DELTA</stp>
        <stp>.TSLA160520P215</stp>
        <tr r="R38" s="1"/>
      </tp>
      <tp>
        <v>0.83</v>
        <stp/>
        <stp>DELTA</stp>
        <stp>.TSLA160520C220</stp>
        <tr r="E39" s="1"/>
      </tp>
      <tp>
        <v>-0.2</v>
        <stp/>
        <stp>DELTA</stp>
        <stp>.TSLA160520P220</stp>
        <tr r="R39" s="1"/>
      </tp>
      <tp>
        <v>0.79</v>
        <stp/>
        <stp>DELTA</stp>
        <stp>.TSLA160520C225</stp>
        <tr r="E40" s="1"/>
      </tp>
      <tp>
        <v>-0.23</v>
        <stp/>
        <stp>DELTA</stp>
        <stp>.TSLA160520P225</stp>
        <tr r="R40" s="1"/>
      </tp>
      <tp t="s">
        <v>N/A</v>
        <stp/>
        <stp>DIV</stp>
        <stp>TSLA</stp>
        <tr r="D7" s="1"/>
      </tp>
      <tp>
        <v>0.76</v>
        <stp/>
        <stp>DELTA</stp>
        <stp>.TSLA160520C230</stp>
        <tr r="E41" s="1"/>
      </tp>
      <tp>
        <v>-0.26</v>
        <stp/>
        <stp>DELTA</stp>
        <stp>.TSLA160520P230</stp>
        <tr r="R41" s="1"/>
      </tp>
      <tp>
        <v>0.71</v>
        <stp/>
        <stp>DELTA</stp>
        <stp>.TSLA160520C235</stp>
        <tr r="E42" s="1"/>
      </tp>
      <tp>
        <v>-0.3</v>
        <stp/>
        <stp>DELTA</stp>
        <stp>.TSLA160520P235</stp>
        <tr r="R42" s="1"/>
      </tp>
      <tp>
        <v>0.67</v>
        <stp/>
        <stp>DELTA</stp>
        <stp>.TSLA160520C240</stp>
        <tr r="E43" s="1"/>
      </tp>
      <tp>
        <v>-0.34</v>
        <stp/>
        <stp>DELTA</stp>
        <stp>.TSLA160520P240</stp>
        <tr r="R43" s="1"/>
      </tp>
      <tp>
        <v>0.62</v>
        <stp/>
        <stp>DELTA</stp>
        <stp>.TSLA160520C245</stp>
        <tr r="E44" s="1"/>
      </tp>
      <tp>
        <v>-0.38</v>
        <stp/>
        <stp>DELTA</stp>
        <stp>.TSLA160520P245</stp>
        <tr r="R44" s="1"/>
      </tp>
      <tp>
        <v>0.57999999999999996</v>
        <stp/>
        <stp>DELTA</stp>
        <stp>.TSLA160520C250</stp>
        <tr r="E45" s="1"/>
      </tp>
      <tp>
        <v>-0.43</v>
        <stp/>
        <stp>DELTA</stp>
        <stp>.TSLA160520P250</stp>
        <tr r="R45" s="1"/>
      </tp>
      <tp>
        <v>0.53</v>
        <stp/>
        <stp>DELTA</stp>
        <stp>.TSLA160520C255</stp>
        <tr r="E46" s="1"/>
      </tp>
      <tp>
        <v>-0.47</v>
        <stp/>
        <stp>DELTA</stp>
        <stp>.TSLA160520P255</stp>
        <tr r="R46" s="1"/>
      </tp>
      <tp>
        <v>0.48</v>
        <stp/>
        <stp>DELTA</stp>
        <stp>.TSLA160520C260</stp>
        <tr r="E47" s="1"/>
      </tp>
      <tp>
        <v>-0.51</v>
        <stp/>
        <stp>DELTA</stp>
        <stp>.TSLA160520P260</stp>
        <tr r="R47" s="1"/>
      </tp>
      <tp>
        <v>0.43</v>
        <stp/>
        <stp>DELTA</stp>
        <stp>.TSLA160520C265</stp>
        <tr r="E48" s="1"/>
      </tp>
      <tp>
        <v>-0.55000000000000004</v>
        <stp/>
        <stp>DELTA</stp>
        <stp>.TSLA160520P265</stp>
        <tr r="R48" s="1"/>
      </tp>
      <tp>
        <v>0.39</v>
        <stp/>
        <stp>DELTA</stp>
        <stp>.TSLA160520C270</stp>
        <tr r="E49" s="1"/>
      </tp>
      <tp>
        <v>-0.59</v>
        <stp/>
        <stp>DELTA</stp>
        <stp>.TSLA160520P270</stp>
        <tr r="R49" s="1"/>
      </tp>
      <tp>
        <v>0.34</v>
        <stp/>
        <stp>DELTA</stp>
        <stp>.TSLA160520C275</stp>
        <tr r="E50" s="1"/>
      </tp>
      <tp>
        <v>-0.63</v>
        <stp/>
        <stp>DELTA</stp>
        <stp>.TSLA160520P275</stp>
        <tr r="R50" s="1"/>
      </tp>
      <tp>
        <v>0.3</v>
        <stp/>
        <stp>DELTA</stp>
        <stp>.TSLA160520C280</stp>
        <tr r="E51" s="1"/>
      </tp>
      <tp>
        <v>-0.67</v>
        <stp/>
        <stp>DELTA</stp>
        <stp>.TSLA160520P280</stp>
        <tr r="R51" s="1"/>
      </tp>
      <tp>
        <v>0.26</v>
        <stp/>
        <stp>DELTA</stp>
        <stp>.TSLA160520C285</stp>
        <tr r="E52" s="1"/>
      </tp>
      <tp>
        <v>-0.7</v>
        <stp/>
        <stp>DELTA</stp>
        <stp>.TSLA160520P285</stp>
        <tr r="R52" s="1"/>
      </tp>
      <tp>
        <v>0.23</v>
        <stp/>
        <stp>DELTA</stp>
        <stp>.TSLA160520C290</stp>
        <tr r="E53" s="1"/>
      </tp>
      <tp>
        <v>-0.73</v>
        <stp/>
        <stp>DELTA</stp>
        <stp>.TSLA160520P290</stp>
        <tr r="R53" s="1"/>
      </tp>
      <tp>
        <v>0.2</v>
        <stp/>
        <stp>DELTA</stp>
        <stp>.TSLA160520C295</stp>
        <tr r="E54" s="1"/>
      </tp>
      <tp>
        <v>-0.75</v>
        <stp/>
        <stp>DELTA</stp>
        <stp>.TSLA160520P295</stp>
        <tr r="R54" s="1"/>
      </tp>
      <tp>
        <v>1</v>
        <stp/>
        <stp>DELTA</stp>
        <stp>.TSLA160520C100</stp>
        <tr r="E15" s="1"/>
      </tp>
      <tp>
        <v>0</v>
        <stp/>
        <stp>DELTA</stp>
        <stp>.TSLA160520P100</stp>
        <tr r="R15" s="1"/>
      </tp>
      <tp>
        <v>1</v>
        <stp/>
        <stp>DELTA</stp>
        <stp>.TSLA160520C105</stp>
        <tr r="E16" s="1"/>
      </tp>
      <tp>
        <v>-0.01</v>
        <stp/>
        <stp>DELTA</stp>
        <stp>.TSLA160520P105</stp>
        <tr r="R16" s="1"/>
      </tp>
      <tp>
        <v>1</v>
        <stp/>
        <stp>DELTA</stp>
        <stp>.TSLA160520C110</stp>
        <tr r="E17" s="1"/>
      </tp>
      <tp>
        <v>-0.01</v>
        <stp/>
        <stp>DELTA</stp>
        <stp>.TSLA160520P110</stp>
        <tr r="R17" s="1"/>
      </tp>
      <tp>
        <v>1</v>
        <stp/>
        <stp>DELTA</stp>
        <stp>.TSLA160520C115</stp>
        <tr r="E18" s="1"/>
      </tp>
      <tp>
        <v>-0.01</v>
        <stp/>
        <stp>DELTA</stp>
        <stp>.TSLA160520P115</stp>
        <tr r="R18" s="1"/>
      </tp>
      <tp>
        <v>1</v>
        <stp/>
        <stp>DELTA</stp>
        <stp>.TSLA160520C120</stp>
        <tr r="E19" s="1"/>
      </tp>
      <tp>
        <v>0</v>
        <stp/>
        <stp>DELTA</stp>
        <stp>.TSLA160520P120</stp>
        <tr r="R19" s="1"/>
      </tp>
      <tp>
        <v>1</v>
        <stp/>
        <stp>DELTA</stp>
        <stp>.TSLA160520C125</stp>
        <tr r="E20" s="1"/>
      </tp>
      <tp>
        <v>-0.01</v>
        <stp/>
        <stp>DELTA</stp>
        <stp>.TSLA160520P125</stp>
        <tr r="R20" s="1"/>
      </tp>
      <tp>
        <v>1</v>
        <stp/>
        <stp>DELTA</stp>
        <stp>.TSLA160520C130</stp>
        <tr r="E21" s="1"/>
      </tp>
      <tp>
        <v>-0.01</v>
        <stp/>
        <stp>DELTA</stp>
        <stp>.TSLA160520P130</stp>
        <tr r="R21" s="1"/>
      </tp>
      <tp>
        <v>1</v>
        <stp/>
        <stp>DELTA</stp>
        <stp>.TSLA160520C135</stp>
        <tr r="E22" s="1"/>
      </tp>
      <tp>
        <v>-0.01</v>
        <stp/>
        <stp>DELTA</stp>
        <stp>.TSLA160520P135</stp>
        <tr r="R22" s="1"/>
      </tp>
      <tp>
        <v>1</v>
        <stp/>
        <stp>DELTA</stp>
        <stp>.TSLA160520C140</stp>
        <tr r="E23" s="1"/>
      </tp>
      <tp>
        <v>-0.02</v>
        <stp/>
        <stp>DELTA</stp>
        <stp>.TSLA160520P140</stp>
        <tr r="R23" s="1"/>
      </tp>
      <tp>
        <v>1</v>
        <stp/>
        <stp>DELTA</stp>
        <stp>.TSLA160520C145</stp>
        <tr r="E24" s="1"/>
      </tp>
      <tp>
        <v>-0.02</v>
        <stp/>
        <stp>DELTA</stp>
        <stp>.TSLA160520P145</stp>
        <tr r="R24" s="1"/>
      </tp>
      <tp>
        <v>1</v>
        <stp/>
        <stp>DELTA</stp>
        <stp>.TSLA160520C150</stp>
        <tr r="E25" s="1"/>
      </tp>
      <tp>
        <v>-0.02</v>
        <stp/>
        <stp>DELTA</stp>
        <stp>.TSLA160520P150</stp>
        <tr r="R25" s="1"/>
      </tp>
      <tp>
        <v>0.99</v>
        <stp/>
        <stp>DELTA</stp>
        <stp>.TSLA160520C155</stp>
        <tr r="E26" s="1"/>
      </tp>
      <tp>
        <v>-0.02</v>
        <stp/>
        <stp>DELTA</stp>
        <stp>.TSLA160520P155</stp>
        <tr r="R26" s="1"/>
      </tp>
      <tp>
        <v>1</v>
        <stp/>
        <stp>DELTA</stp>
        <stp>.TSLA160520C160</stp>
        <tr r="E27" s="1"/>
      </tp>
      <tp>
        <v>-0.03</v>
        <stp/>
        <stp>DELTA</stp>
        <stp>.TSLA160520P160</stp>
        <tr r="R27" s="1"/>
      </tp>
      <tp>
        <v>1</v>
        <stp/>
        <stp>DELTA</stp>
        <stp>.TSLA160520C165</stp>
        <tr r="E28" s="1"/>
      </tp>
      <tp>
        <v>-0.03</v>
        <stp/>
        <stp>DELTA</stp>
        <stp>.TSLA160520P165</stp>
        <tr r="R28" s="1"/>
      </tp>
      <tp>
        <v>0.99</v>
        <stp/>
        <stp>DELTA</stp>
        <stp>.TSLA160520C170</stp>
        <tr r="E29" s="1"/>
      </tp>
      <tp>
        <v>-0.03</v>
        <stp/>
        <stp>DELTA</stp>
        <stp>.TSLA160520P170</stp>
        <tr r="R29" s="1"/>
      </tp>
      <tp>
        <v>1</v>
        <stp/>
        <stp>DELTA</stp>
        <stp>.TSLA160520C175</stp>
        <tr r="E30" s="1"/>
      </tp>
      <tp>
        <v>-0.04</v>
        <stp/>
        <stp>DELTA</stp>
        <stp>.TSLA160520P175</stp>
        <tr r="R30" s="1"/>
      </tp>
      <tp>
        <v>1</v>
        <stp/>
        <stp>DELTA</stp>
        <stp>.TSLA160520C180</stp>
        <tr r="E31" s="1"/>
      </tp>
      <tp>
        <v>-0.05</v>
        <stp/>
        <stp>DELTA</stp>
        <stp>.TSLA160520P180</stp>
        <tr r="R31" s="1"/>
      </tp>
      <tp>
        <v>0.99</v>
        <stp/>
        <stp>DELTA</stp>
        <stp>.TSLA160520C185</stp>
        <tr r="E32" s="1"/>
      </tp>
      <tp>
        <v>-0.06</v>
        <stp/>
        <stp>DELTA</stp>
        <stp>.TSLA160520P185</stp>
        <tr r="R32" s="1"/>
      </tp>
      <tp>
        <v>0.97</v>
        <stp/>
        <stp>DELTA</stp>
        <stp>.TSLA160520C190</stp>
        <tr r="E33" s="1"/>
      </tp>
      <tp>
        <v>-7.0000000000000007E-2</v>
        <stp/>
        <stp>DELTA</stp>
        <stp>.TSLA160520P190</stp>
        <tr r="R33" s="1"/>
      </tp>
      <tp>
        <v>0.96</v>
        <stp/>
        <stp>DELTA</stp>
        <stp>.TSLA160520C195</stp>
        <tr r="E34" s="1"/>
      </tp>
      <tp>
        <v>-0.08</v>
        <stp/>
        <stp>DELTA</stp>
        <stp>.TSLA160520P195</stp>
        <tr r="R34" s="1"/>
      </tp>
      <tp t="s">
        <v>1.85%</v>
        <stp/>
        <stp>YIELD</stp>
        <stp>AAPL</stp>
        <tr r="A7" s="2"/>
      </tp>
      <tp>
        <v>1.48</v>
        <stp/>
        <stp>LAST</stp>
        <stp>.AAPL161021P87.5</stp>
        <tr r="P94" s="2"/>
      </tp>
      <tp>
        <v>3.15</v>
        <stp/>
        <stp>LAST</stp>
        <stp>.AAPL161021P97.5</stp>
        <tr r="P98" s="2"/>
      </tp>
      <tp>
        <v>25.54</v>
        <stp/>
        <stp>LAST</stp>
        <stp>.AAPL161021C87.5</stp>
        <tr r="C94" s="2"/>
      </tp>
      <tp>
        <v>17.170000000000002</v>
        <stp/>
        <stp>LAST</stp>
        <stp>.AAPL161021C97.5</stp>
        <tr r="C98" s="2"/>
      </tp>
      <tp>
        <v>0.52</v>
        <stp/>
        <stp>LAST</stp>
        <stp>.AAPL160520P97.5</stp>
        <tr r="P27" s="2"/>
      </tp>
      <tp>
        <v>0.15</v>
        <stp/>
        <stp>LAST</stp>
        <stp>.AAPL160520P87.5</stp>
        <tr r="P23" s="2"/>
      </tp>
      <tp>
        <v>15.04</v>
        <stp/>
        <stp>LAST</stp>
        <stp>.AAPL160520C97.5</stp>
        <tr r="C27" s="2"/>
      </tp>
      <tp>
        <v>22.55</v>
        <stp/>
        <stp>LAST</stp>
        <stp>.AAPL160520C87.5</stp>
        <tr r="C23" s="2"/>
      </tp>
      <tp>
        <v>1.75</v>
        <stp/>
        <stp>NET_CHANGE</stp>
        <stp>AAPL</stp>
        <tr r="C4" s="2"/>
      </tp>
      <tp>
        <v>1.6</v>
        <stp/>
        <stp>NET_CHANGE</stp>
        <stp>.AAPL161021C90</stp>
        <tr r="E95" s="2"/>
      </tp>
      <tp>
        <v>1.7</v>
        <stp/>
        <stp>NET_CHANGE</stp>
        <stp>.AAPL161021C95</stp>
        <tr r="E97" s="2"/>
      </tp>
      <tp>
        <v>2.15</v>
        <stp/>
        <stp>NET_CHANGE</stp>
        <stp>.AAPL161021C80</stp>
        <tr r="E92" s="2"/>
      </tp>
      <tp>
        <v>2.8</v>
        <stp/>
        <stp>NET_CHANGE</stp>
        <stp>.AAPL161021C85</stp>
        <tr r="E93" s="2"/>
      </tp>
      <tp>
        <v>0</v>
        <stp/>
        <stp>NET_CHANGE</stp>
        <stp>.AAPL161021C70</stp>
        <tr r="E90" s="2"/>
      </tp>
      <tp>
        <v>0.63</v>
        <stp/>
        <stp>NET_CHANGE</stp>
        <stp>.AAPL161021C75</stp>
        <tr r="E91" s="2"/>
      </tp>
      <tp>
        <v>0</v>
        <stp/>
        <stp>NET_CHANGE</stp>
        <stp>.AAPL161021C60</stp>
        <tr r="E88" s="2"/>
      </tp>
      <tp>
        <v>0</v>
        <stp/>
        <stp>NET_CHANGE</stp>
        <stp>.AAPL161021C65</stp>
        <tr r="E89" s="2"/>
      </tp>
      <tp>
        <v>0</v>
        <stp/>
        <stp>NET_CHANGE</stp>
        <stp>.AAPL161021C50</stp>
        <tr r="E86" s="2"/>
      </tp>
      <tp>
        <v>0</v>
        <stp/>
        <stp>NET_CHANGE</stp>
        <stp>.AAPL161021C55</stp>
        <tr r="E87" s="2"/>
      </tp>
      <tp>
        <v>1.65</v>
        <stp/>
        <stp>NET_CHANGE</stp>
        <stp>.AAPL160715C80</stp>
        <tr r="E60" s="2"/>
      </tp>
      <tp>
        <v>1.06</v>
        <stp/>
        <stp>NET_CHANGE</stp>
        <stp>.AAPL170616C90</stp>
        <tr r="E149" s="2"/>
      </tp>
      <tp>
        <v>2.97</v>
        <stp/>
        <stp>NET_CHANGE</stp>
        <stp>.AAPL160715C85</stp>
        <tr r="E61" s="2"/>
      </tp>
      <tp>
        <v>1.25</v>
        <stp/>
        <stp>NET_CHANGE</stp>
        <stp>.AAPL170616C95</stp>
        <tr r="E151" s="2"/>
      </tp>
      <tp>
        <v>2.25</v>
        <stp/>
        <stp>NET_CHANGE</stp>
        <stp>.AAPL160715C90</stp>
        <tr r="E63" s="2"/>
      </tp>
      <tp>
        <v>2.2999999999999998</v>
        <stp/>
        <stp>NET_CHANGE</stp>
        <stp>.AAPL170616C80</stp>
        <tr r="E146" s="2"/>
      </tp>
      <tp>
        <v>1.75</v>
        <stp/>
        <stp>NET_CHANGE</stp>
        <stp>.AAPL160715C95</stp>
        <tr r="E65" s="2"/>
      </tp>
      <tp>
        <v>0</v>
        <stp/>
        <stp>NET_CHANGE</stp>
        <stp>.AAPL170616C85</stp>
        <tr r="E147" s="2"/>
      </tp>
      <tp>
        <v>2.25</v>
        <stp/>
        <stp>NET_CHANGE</stp>
        <stp>.AAPL160520C80</stp>
        <tr r="E21" s="2"/>
      </tp>
      <tp>
        <v>0</v>
        <stp/>
        <stp>NET_CHANGE</stp>
        <stp>.AAPL160520C85</stp>
        <tr r="E22" s="2"/>
      </tp>
      <tp>
        <v>1.75</v>
        <stp/>
        <stp>NET_CHANGE</stp>
        <stp>.AAPL160520C90</stp>
        <tr r="E24" s="2"/>
      </tp>
      <tp>
        <v>1.85</v>
        <stp/>
        <stp>NET_CHANGE</stp>
        <stp>.AAPL160520C95</stp>
        <tr r="E26" s="2"/>
      </tp>
      <tp>
        <v>0</v>
        <stp/>
        <stp>NET_CHANGE</stp>
        <stp>.AAPL170616C50</stp>
        <tr r="E140" s="2"/>
      </tp>
      <tp>
        <v>0</v>
        <stp/>
        <stp>NET_CHANGE</stp>
        <stp>.AAPL160520C60</stp>
        <tr r="E17" s="2"/>
      </tp>
      <tp>
        <v>0</v>
        <stp/>
        <stp>NET_CHANGE</stp>
        <stp>.AAPL170616C55</stp>
        <tr r="E141" s="2"/>
      </tp>
      <tp>
        <v>0</v>
        <stp/>
        <stp>NET_CHANGE</stp>
        <stp>.AAPL160520C65</stp>
        <tr r="E18" s="2"/>
      </tp>
      <tp>
        <v>0</v>
        <stp/>
        <stp>NET_CHANGE</stp>
        <stp>.AAPL160715C50</stp>
        <tr r="E54" s="2"/>
      </tp>
      <tp>
        <v>0</v>
        <stp/>
        <stp>NET_CHANGE</stp>
        <stp>.AAPL160520C70</stp>
        <tr r="E19" s="2"/>
      </tp>
      <tp>
        <v>0</v>
        <stp/>
        <stp>NET_CHANGE</stp>
        <stp>.AAPL160715C55</stp>
        <tr r="E55" s="2"/>
      </tp>
      <tp>
        <v>0</v>
        <stp/>
        <stp>NET_CHANGE</stp>
        <stp>.AAPL160520C75</stp>
        <tr r="E20" s="2"/>
      </tp>
      <tp>
        <v>0</v>
        <stp/>
        <stp>NET_CHANGE</stp>
        <stp>.AAPL160715C60</stp>
        <tr r="E56" s="2"/>
      </tp>
      <tp>
        <v>1.9</v>
        <stp/>
        <stp>NET_CHANGE</stp>
        <stp>.AAPL170616C70</stp>
        <tr r="E144" s="2"/>
      </tp>
      <tp>
        <v>0</v>
        <stp/>
        <stp>NET_CHANGE</stp>
        <stp>.AAPL160715C65</stp>
        <tr r="E57" s="2"/>
      </tp>
      <tp>
        <v>0</v>
        <stp/>
        <stp>NET_CHANGE</stp>
        <stp>.AAPL170616C75</stp>
        <tr r="E145" s="2"/>
      </tp>
      <tp>
        <v>1.5</v>
        <stp/>
        <stp>NET_CHANGE</stp>
        <stp>.AAPL160715C70</stp>
        <tr r="E58" s="2"/>
      </tp>
      <tp>
        <v>1.95</v>
        <stp/>
        <stp>NET_CHANGE</stp>
        <stp>.AAPL170616C60</stp>
        <tr r="E142" s="2"/>
      </tp>
      <tp>
        <v>0</v>
        <stp/>
        <stp>NET_CHANGE</stp>
        <stp>.AAPL160520C50</stp>
        <tr r="E15" s="2"/>
      </tp>
      <tp>
        <v>0.05</v>
        <stp/>
        <stp>NET_CHANGE</stp>
        <stp>.AAPL160715C75</stp>
        <tr r="E59" s="2"/>
      </tp>
      <tp>
        <v>0</v>
        <stp/>
        <stp>NET_CHANGE</stp>
        <stp>.AAPL170616C65</stp>
        <tr r="E143" s="2"/>
      </tp>
      <tp>
        <v>0</v>
        <stp/>
        <stp>NET_CHANGE</stp>
        <stp>.AAPL160520C55</stp>
        <tr r="E16" s="2"/>
      </tp>
      <tp>
        <v>-6.93</v>
        <stp/>
        <stp>EPS</stp>
        <stp>TSLA</stp>
        <tr r="C7" s="1"/>
      </tp>
      <tp t="s">
        <v>Z</v>
        <stp/>
        <stp>AX</stp>
        <stp>.AAPL7170120C95</stp>
        <tr r="I128" s="2"/>
      </tp>
      <tp t="s">
        <v>Z</v>
        <stp/>
        <stp>AX</stp>
        <stp>.AAPL7170120C90</stp>
        <tr r="I127" s="2"/>
      </tp>
      <tp t="s">
        <v>Z</v>
        <stp/>
        <stp>AX</stp>
        <stp>.AAPL7170120C85</stp>
        <tr r="I126" s="2"/>
      </tp>
      <tp t="s">
        <v>Z</v>
        <stp/>
        <stp>AX</stp>
        <stp>.AAPL7170120C80</stp>
        <tr r="I125" s="2"/>
      </tp>
      <tp t="s">
        <v>Z</v>
        <stp/>
        <stp>BX</stp>
        <stp>.AAPL7170120C85</stp>
        <tr r="G126" s="2"/>
      </tp>
      <tp t="s">
        <v>Z</v>
        <stp/>
        <stp>LX</stp>
        <stp>.AAPL7170120C65</stp>
        <tr r="D122" s="2"/>
      </tp>
      <tp t="s">
        <v>Z</v>
        <stp/>
        <stp>BX</stp>
        <stp>.AAPL7170120C80</stp>
        <tr r="G125" s="2"/>
      </tp>
      <tp t="s">
        <v>Z</v>
        <stp/>
        <stp>BX</stp>
        <stp>.AAPL7170120C95</stp>
        <tr r="G128" s="2"/>
      </tp>
      <tp t="s">
        <v>A</v>
        <stp/>
        <stp>LX</stp>
        <stp>.AAPL7170120C75</stp>
        <tr r="D124" s="2"/>
      </tp>
      <tp t="s">
        <v>Z</v>
        <stp/>
        <stp>BX</stp>
        <stp>.AAPL7170120C90</stp>
        <tr r="G127" s="2"/>
      </tp>
      <tp t="s">
        <v>Z</v>
        <stp/>
        <stp>LX</stp>
        <stp>.AAPL7170120C70</stp>
        <tr r="D123" s="2"/>
      </tp>
      <tp t="s">
        <v>Z</v>
        <stp/>
        <stp>BX</stp>
        <stp>.AAPL7170120C65</stp>
        <tr r="G122" s="2"/>
      </tp>
      <tp t="s">
        <v>Z</v>
        <stp/>
        <stp>LX</stp>
        <stp>.AAPL7170120C85</stp>
        <tr r="D126" s="2"/>
      </tp>
      <tp t="s">
        <v>Z</v>
        <stp/>
        <stp>LX</stp>
        <stp>.AAPL7170120C80</stp>
        <tr r="D125" s="2"/>
      </tp>
      <tp t="s">
        <v>Z</v>
        <stp/>
        <stp>BX</stp>
        <stp>.AAPL7170120C75</stp>
        <tr r="G124" s="2"/>
      </tp>
      <tp t="s">
        <v>Z</v>
        <stp/>
        <stp>LX</stp>
        <stp>.AAPL7170120C95</stp>
        <tr r="D128" s="2"/>
      </tp>
      <tp t="s">
        <v>Z</v>
        <stp/>
        <stp>BX</stp>
        <stp>.AAPL7170120C70</stp>
        <tr r="G123" s="2"/>
      </tp>
      <tp t="s">
        <v/>
        <stp/>
        <stp>LX</stp>
        <stp>.AAPL7170120C90</stp>
        <tr r="D127" s="2"/>
      </tp>
      <tp t="s">
        <v>Z</v>
        <stp/>
        <stp>AX</stp>
        <stp>.AAPL7170120C75</stp>
        <tr r="I124" s="2"/>
      </tp>
      <tp t="s">
        <v>Z</v>
        <stp/>
        <stp>AX</stp>
        <stp>.AAPL7170120C70</stp>
        <tr r="I123" s="2"/>
      </tp>
      <tp t="s">
        <v>Z</v>
        <stp/>
        <stp>AX</stp>
        <stp>.AAPL7170120C65</stp>
        <tr r="I122" s="2"/>
      </tp>
      <tp>
        <v>0.98019999999999996</v>
        <stp/>
        <stp>STOCK_BETA</stp>
        <stp>AAPL</stp>
        <tr r="J7" s="2"/>
      </tp>
      <tp t="s">
        <v>X</v>
        <stp/>
        <stp>LX</stp>
        <stp>AAPL</stp>
        <tr r="B4" s="2"/>
      </tp>
      <tp t="s">
        <v>Z</v>
        <stp/>
        <stp>LX</stp>
        <stp>.AAPL161021P65</stp>
        <tr r="Q89" s="2"/>
      </tp>
      <tp t="s">
        <v>A</v>
        <stp/>
        <stp>LX</stp>
        <stp>.AAPL161021P60</stp>
        <tr r="Q88" s="2"/>
      </tp>
      <tp t="s">
        <v>C</v>
        <stp/>
        <stp>AX</stp>
        <stp>.AAPL161021P60</stp>
        <tr r="O88" s="2"/>
      </tp>
      <tp t="s">
        <v>A</v>
        <stp/>
        <stp>BX</stp>
        <stp>.AAPL161021P60</stp>
        <tr r="M88" s="2"/>
      </tp>
      <tp t="s">
        <v>C</v>
        <stp/>
        <stp>AX</stp>
        <stp>.AAPL161021P65</stp>
        <tr r="O89" s="2"/>
      </tp>
      <tp t="s">
        <v>C</v>
        <stp/>
        <stp>BX</stp>
        <stp>.AAPL161021P65</stp>
        <tr r="M89" s="2"/>
      </tp>
      <tp t="s">
        <v>C</v>
        <stp/>
        <stp>LX</stp>
        <stp>.AAPL161021P75</stp>
        <tr r="Q91" s="2"/>
      </tp>
      <tp t="s">
        <v>X</v>
        <stp/>
        <stp>LX</stp>
        <stp>.AAPL161021P70</stp>
        <tr r="Q90" s="2"/>
      </tp>
      <tp t="s">
        <v>C</v>
        <stp/>
        <stp>AX</stp>
        <stp>.AAPL161021P70</stp>
        <tr r="O90" s="2"/>
      </tp>
      <tp t="s">
        <v>X</v>
        <stp/>
        <stp>BX</stp>
        <stp>.AAPL161021P70</stp>
        <tr r="M90" s="2"/>
      </tp>
      <tp t="s">
        <v>C</v>
        <stp/>
        <stp>AX</stp>
        <stp>.AAPL161021P75</stp>
        <tr r="O91" s="2"/>
      </tp>
      <tp t="s">
        <v>X</v>
        <stp/>
        <stp>BX</stp>
        <stp>.AAPL161021P75</stp>
        <tr r="M91" s="2"/>
      </tp>
      <tp t="s">
        <v>H</v>
        <stp/>
        <stp>LX</stp>
        <stp>.AAPL161021P55</stp>
        <tr r="Q87" s="2"/>
      </tp>
      <tp t="s">
        <v>N</v>
        <stp/>
        <stp>LX</stp>
        <stp>.AAPL161021P50</stp>
        <tr r="Q86" s="2"/>
      </tp>
      <tp t="s">
        <v>C</v>
        <stp/>
        <stp>AX</stp>
        <stp>.AAPL161021P50</stp>
        <tr r="O86" s="2"/>
      </tp>
      <tp t="s">
        <v>Z</v>
        <stp/>
        <stp>BX</stp>
        <stp>.AAPL161021P50</stp>
        <tr r="M86" s="2"/>
      </tp>
      <tp t="s">
        <v>C</v>
        <stp/>
        <stp>AX</stp>
        <stp>.AAPL161021P55</stp>
        <tr r="O87" s="2"/>
      </tp>
      <tp t="s">
        <v>Z</v>
        <stp/>
        <stp>BX</stp>
        <stp>.AAPL161021P55</stp>
        <tr r="M87" s="2"/>
      </tp>
      <tp t="s">
        <v>M</v>
        <stp/>
        <stp>LX</stp>
        <stp>.AAPL161021P85</stp>
        <tr r="Q93" s="2"/>
      </tp>
      <tp t="s">
        <v>M</v>
        <stp/>
        <stp>LX</stp>
        <stp>.AAPL161021P80</stp>
        <tr r="Q92" s="2"/>
      </tp>
      <tp t="s">
        <v>C</v>
        <stp/>
        <stp>AX</stp>
        <stp>.AAPL161021P80</stp>
        <tr r="O92" s="2"/>
      </tp>
      <tp t="s">
        <v>Q</v>
        <stp/>
        <stp>BX</stp>
        <stp>.AAPL161021P80</stp>
        <tr r="M92" s="2"/>
      </tp>
      <tp t="s">
        <v>Z</v>
        <stp/>
        <stp>AX</stp>
        <stp>.AAPL161021P85</stp>
        <tr r="O93" s="2"/>
      </tp>
      <tp t="s">
        <v>Z</v>
        <stp/>
        <stp>BX</stp>
        <stp>.AAPL161021P85</stp>
        <tr r="M93" s="2"/>
      </tp>
      <tp t="s">
        <v>I</v>
        <stp/>
        <stp>LX</stp>
        <stp>.AAPL161021P95</stp>
        <tr r="Q97" s="2"/>
      </tp>
      <tp t="s">
        <v>X</v>
        <stp/>
        <stp>LX</stp>
        <stp>.AAPL161021P90</stp>
        <tr r="Q95" s="2"/>
      </tp>
      <tp t="s">
        <v>Z</v>
        <stp/>
        <stp>AX</stp>
        <stp>.AAPL161021P90</stp>
        <tr r="O95" s="2"/>
      </tp>
      <tp t="s">
        <v>Z</v>
        <stp/>
        <stp>BX</stp>
        <stp>.AAPL161021P90</stp>
        <tr r="M95" s="2"/>
      </tp>
      <tp t="s">
        <v>Z</v>
        <stp/>
        <stp>AX</stp>
        <stp>.AAPL161021P95</stp>
        <tr r="O97" s="2"/>
      </tp>
      <tp t="s">
        <v>C</v>
        <stp/>
        <stp>BX</stp>
        <stp>.AAPL161021P95</stp>
        <tr r="M97" s="2"/>
      </tp>
      <tp>
        <v>254.46</v>
        <stp/>
        <stp>ASK</stp>
        <stp>TSLA</stp>
        <tr r="F4" s="1"/>
      </tp>
      <tp t="s">
        <v>M</v>
        <stp/>
        <stp>LX</stp>
        <stp>.AAPL160520P75</stp>
        <tr r="Q20" s="2"/>
      </tp>
      <tp t="s">
        <v>Q</v>
        <stp/>
        <stp>LX</stp>
        <stp>.AAPL160715P55</stp>
        <tr r="Q55" s="2"/>
      </tp>
      <tp t="s">
        <v>N</v>
        <stp/>
        <stp>LX</stp>
        <stp>.AAPL160520P70</stp>
        <tr r="Q19" s="2"/>
      </tp>
      <tp t="s">
        <v>C</v>
        <stp/>
        <stp>LX</stp>
        <stp>.AAPL160715P50</stp>
        <tr r="Q54" s="2"/>
      </tp>
      <tp t="s">
        <v>W</v>
        <stp/>
        <stp>AX</stp>
        <stp>.AAPL160520P70</stp>
        <tr r="O19" s="2"/>
      </tp>
      <tp t="s">
        <v>B</v>
        <stp/>
        <stp>BX</stp>
        <stp>.AAPL160715P50</stp>
        <tr r="M54" s="2"/>
      </tp>
      <tp t="s">
        <v>Z</v>
        <stp/>
        <stp>BX</stp>
        <stp>.AAPL160520P70</stp>
        <tr r="M19" s="2"/>
      </tp>
      <tp t="s">
        <v>W</v>
        <stp/>
        <stp>AX</stp>
        <stp>.AAPL160715P50</stp>
        <tr r="O54" s="2"/>
      </tp>
      <tp t="s">
        <v>Z</v>
        <stp/>
        <stp>AX</stp>
        <stp>.AAPL160520P75</stp>
        <tr r="O20" s="2"/>
      </tp>
      <tp t="s">
        <v>B</v>
        <stp/>
        <stp>BX</stp>
        <stp>.AAPL160715P55</stp>
        <tr r="M55" s="2"/>
      </tp>
      <tp t="s">
        <v>Z</v>
        <stp/>
        <stp>BX</stp>
        <stp>.AAPL160520P75</stp>
        <tr r="M20" s="2"/>
      </tp>
      <tp t="s">
        <v>C</v>
        <stp/>
        <stp>AX</stp>
        <stp>.AAPL160715P55</stp>
        <tr r="O55" s="2"/>
      </tp>
      <tp t="s">
        <v>W</v>
        <stp/>
        <stp>LX</stp>
        <stp>.AAPL160520P65</stp>
        <tr r="Q18" s="2"/>
      </tp>
      <tp t="s">
        <v>X</v>
        <stp/>
        <stp>LX</stp>
        <stp>.AAPL170616P55</stp>
        <tr r="Q141" s="2"/>
      </tp>
      <tp t="s">
        <v>H</v>
        <stp/>
        <stp>LX</stp>
        <stp>.AAPL160520P60</stp>
        <tr r="Q17" s="2"/>
      </tp>
      <tp t="s">
        <v>X</v>
        <stp/>
        <stp>LX</stp>
        <stp>.AAPL170616P50</stp>
        <tr r="Q140" s="2"/>
      </tp>
      <tp t="s">
        <v>W</v>
        <stp/>
        <stp>AX</stp>
        <stp>.AAPL160520P60</stp>
        <tr r="O17" s="2"/>
      </tp>
      <tp t="s">
        <v>X</v>
        <stp/>
        <stp>BX</stp>
        <stp>.AAPL170616P50</stp>
        <tr r="M140" s="2"/>
      </tp>
      <tp t="s">
        <v>W</v>
        <stp/>
        <stp>BX</stp>
        <stp>.AAPL160520P60</stp>
        <tr r="M17" s="2"/>
      </tp>
      <tp t="s">
        <v>X</v>
        <stp/>
        <stp>AX</stp>
        <stp>.AAPL170616P50</stp>
        <tr r="O140" s="2"/>
      </tp>
      <tp t="s">
        <v>W</v>
        <stp/>
        <stp>AX</stp>
        <stp>.AAPL160520P65</stp>
        <tr r="O18" s="2"/>
      </tp>
      <tp t="s">
        <v>X</v>
        <stp/>
        <stp>BX</stp>
        <stp>.AAPL170616P55</stp>
        <tr r="M141" s="2"/>
      </tp>
      <tp t="s">
        <v>W</v>
        <stp/>
        <stp>BX</stp>
        <stp>.AAPL160520P65</stp>
        <tr r="M18" s="2"/>
      </tp>
      <tp t="s">
        <v>X</v>
        <stp/>
        <stp>AX</stp>
        <stp>.AAPL170616P55</stp>
        <tr r="O141" s="2"/>
      </tp>
      <tp t="s">
        <v>I</v>
        <stp/>
        <stp>LX</stp>
        <stp>.AAPL160520P55</stp>
        <tr r="Q16" s="2"/>
      </tp>
      <tp t="s">
        <v>Z</v>
        <stp/>
        <stp>LX</stp>
        <stp>.AAPL160715P75</stp>
        <tr r="Q59" s="2"/>
      </tp>
      <tp t="s">
        <v>I</v>
        <stp/>
        <stp>LX</stp>
        <stp>.AAPL170616P65</stp>
        <tr r="Q143" s="2"/>
      </tp>
      <tp t="s">
        <v>C</v>
        <stp/>
        <stp>LX</stp>
        <stp>.AAPL160520P50</stp>
        <tr r="Q15" s="2"/>
      </tp>
      <tp t="s">
        <v>C</v>
        <stp/>
        <stp>LX</stp>
        <stp>.AAPL160715P70</stp>
        <tr r="Q58" s="2"/>
      </tp>
      <tp t="s">
        <v>N</v>
        <stp/>
        <stp>LX</stp>
        <stp>.AAPL170616P60</stp>
        <tr r="Q142" s="2"/>
      </tp>
      <tp t="s">
        <v>W</v>
        <stp/>
        <stp>AX</stp>
        <stp>.AAPL160520P50</stp>
        <tr r="O15" s="2"/>
      </tp>
      <tp t="s">
        <v>C</v>
        <stp/>
        <stp>BX</stp>
        <stp>.AAPL160715P70</stp>
        <tr r="M58" s="2"/>
      </tp>
      <tp t="s">
        <v>C</v>
        <stp/>
        <stp>BX</stp>
        <stp>.AAPL170616P60</stp>
        <tr r="M142" s="2"/>
      </tp>
      <tp t="s">
        <v>W</v>
        <stp/>
        <stp>BX</stp>
        <stp>.AAPL160520P50</stp>
        <tr r="M15" s="2"/>
      </tp>
      <tp t="s">
        <v>C</v>
        <stp/>
        <stp>AX</stp>
        <stp>.AAPL160715P70</stp>
        <tr r="O58" s="2"/>
      </tp>
      <tp t="s">
        <v>C</v>
        <stp/>
        <stp>AX</stp>
        <stp>.AAPL170616P60</stp>
        <tr r="O142" s="2"/>
      </tp>
      <tp t="s">
        <v>W</v>
        <stp/>
        <stp>AX</stp>
        <stp>.AAPL160520P55</stp>
        <tr r="O16" s="2"/>
      </tp>
      <tp t="s">
        <v>Z</v>
        <stp/>
        <stp>BX</stp>
        <stp>.AAPL160715P75</stp>
        <tr r="M59" s="2"/>
      </tp>
      <tp t="s">
        <v>C</v>
        <stp/>
        <stp>BX</stp>
        <stp>.AAPL170616P65</stp>
        <tr r="M143" s="2"/>
      </tp>
      <tp t="s">
        <v>W</v>
        <stp/>
        <stp>BX</stp>
        <stp>.AAPL160520P55</stp>
        <tr r="M16" s="2"/>
      </tp>
      <tp t="s">
        <v>W</v>
        <stp/>
        <stp>AX</stp>
        <stp>.AAPL160715P75</stp>
        <tr r="O59" s="2"/>
      </tp>
      <tp t="s">
        <v>X</v>
        <stp/>
        <stp>AX</stp>
        <stp>.AAPL170616P65</stp>
        <tr r="O143" s="2"/>
      </tp>
      <tp t="s">
        <v>M</v>
        <stp/>
        <stp>LX</stp>
        <stp>.AAPL160715P65</stp>
        <tr r="Q57" s="2"/>
      </tp>
      <tp t="s">
        <v>C</v>
        <stp/>
        <stp>LX</stp>
        <stp>.AAPL170616P75</stp>
        <tr r="Q145" s="2"/>
      </tp>
      <tp t="s">
        <v>Q</v>
        <stp/>
        <stp>LX</stp>
        <stp>.AAPL160715P60</stp>
        <tr r="Q56" s="2"/>
      </tp>
      <tp t="s">
        <v>W</v>
        <stp/>
        <stp>LX</stp>
        <stp>.AAPL170616P70</stp>
        <tr r="Q144" s="2"/>
      </tp>
      <tp t="s">
        <v>H</v>
        <stp/>
        <stp>BX</stp>
        <stp>.AAPL160715P60</stp>
        <tr r="M56" s="2"/>
      </tp>
      <tp t="s">
        <v>C</v>
        <stp/>
        <stp>BX</stp>
        <stp>.AAPL170616P70</stp>
        <tr r="M144" s="2"/>
      </tp>
      <tp t="s">
        <v>C</v>
        <stp/>
        <stp>AX</stp>
        <stp>.AAPL160715P60</stp>
        <tr r="O56" s="2"/>
      </tp>
      <tp t="s">
        <v>C</v>
        <stp/>
        <stp>AX</stp>
        <stp>.AAPL170616P70</stp>
        <tr r="O144" s="2"/>
      </tp>
      <tp t="s">
        <v>H</v>
        <stp/>
        <stp>BX</stp>
        <stp>.AAPL160715P65</stp>
        <tr r="M57" s="2"/>
      </tp>
      <tp t="s">
        <v>C</v>
        <stp/>
        <stp>BX</stp>
        <stp>.AAPL170616P75</stp>
        <tr r="M145" s="2"/>
      </tp>
      <tp t="s">
        <v>C</v>
        <stp/>
        <stp>AX</stp>
        <stp>.AAPL160715P65</stp>
        <tr r="O57" s="2"/>
      </tp>
      <tp t="s">
        <v>X</v>
        <stp/>
        <stp>AX</stp>
        <stp>.AAPL170616P75</stp>
        <tr r="O145" s="2"/>
      </tp>
      <tp t="s">
        <v>M</v>
        <stp/>
        <stp>LX</stp>
        <stp>.AAPL160715P95</stp>
        <tr r="Q65" s="2"/>
      </tp>
      <tp t="s">
        <v>I</v>
        <stp/>
        <stp>LX</stp>
        <stp>.AAPL170616P85</stp>
        <tr r="Q147" s="2"/>
      </tp>
      <tp t="s">
        <v>I</v>
        <stp/>
        <stp>LX</stp>
        <stp>.AAPL160715P90</stp>
        <tr r="Q63" s="2"/>
      </tp>
      <tp t="s">
        <v>Q</v>
        <stp/>
        <stp>LX</stp>
        <stp>.AAPL170616P80</stp>
        <tr r="Q146" s="2"/>
      </tp>
      <tp t="s">
        <v>Z</v>
        <stp/>
        <stp>BX</stp>
        <stp>.AAPL160715P90</stp>
        <tr r="M63" s="2"/>
      </tp>
      <tp t="s">
        <v>X</v>
        <stp/>
        <stp>BX</stp>
        <stp>.AAPL170616P80</stp>
        <tr r="M146" s="2"/>
      </tp>
      <tp t="s">
        <v>Z</v>
        <stp/>
        <stp>AX</stp>
        <stp>.AAPL160715P90</stp>
        <tr r="O63" s="2"/>
      </tp>
      <tp t="s">
        <v>X</v>
        <stp/>
        <stp>AX</stp>
        <stp>.AAPL170616P80</stp>
        <tr r="O146" s="2"/>
      </tp>
      <tp t="s">
        <v>W</v>
        <stp/>
        <stp>BX</stp>
        <stp>.AAPL160715P95</stp>
        <tr r="M65" s="2"/>
      </tp>
      <tp t="s">
        <v>X</v>
        <stp/>
        <stp>BX</stp>
        <stp>.AAPL170616P85</stp>
        <tr r="M147" s="2"/>
      </tp>
      <tp t="s">
        <v>X</v>
        <stp/>
        <stp>AX</stp>
        <stp>.AAPL160715P95</stp>
        <tr r="O65" s="2"/>
      </tp>
      <tp t="s">
        <v>X</v>
        <stp/>
        <stp>AX</stp>
        <stp>.AAPL170616P85</stp>
        <tr r="O147" s="2"/>
      </tp>
      <tp t="s">
        <v>I</v>
        <stp/>
        <stp>LX</stp>
        <stp>.AAPL160715P85</stp>
        <tr r="Q61" s="2"/>
      </tp>
      <tp t="s">
        <v>I</v>
        <stp/>
        <stp>LX</stp>
        <stp>.AAPL170616P95</stp>
        <tr r="Q151" s="2"/>
      </tp>
      <tp t="s">
        <v>H</v>
        <stp/>
        <stp>LX</stp>
        <stp>.AAPL160715P80</stp>
        <tr r="Q60" s="2"/>
      </tp>
      <tp t="s">
        <v>N</v>
        <stp/>
        <stp>LX</stp>
        <stp>.AAPL170616P90</stp>
        <tr r="Q149" s="2"/>
      </tp>
      <tp t="s">
        <v>Z</v>
        <stp/>
        <stp>BX</stp>
        <stp>.AAPL160715P80</stp>
        <tr r="M60" s="2"/>
      </tp>
      <tp t="s">
        <v>X</v>
        <stp/>
        <stp>BX</stp>
        <stp>.AAPL170616P90</stp>
        <tr r="M149" s="2"/>
      </tp>
      <tp t="s">
        <v>Z</v>
        <stp/>
        <stp>AX</stp>
        <stp>.AAPL160715P80</stp>
        <tr r="O60" s="2"/>
      </tp>
      <tp t="s">
        <v>C</v>
        <stp/>
        <stp>AX</stp>
        <stp>.AAPL170616P90</stp>
        <tr r="O149" s="2"/>
      </tp>
      <tp t="s">
        <v>Z</v>
        <stp/>
        <stp>BX</stp>
        <stp>.AAPL160715P85</stp>
        <tr r="M61" s="2"/>
      </tp>
      <tp t="s">
        <v>C</v>
        <stp/>
        <stp>BX</stp>
        <stp>.AAPL170616P95</stp>
        <tr r="M151" s="2"/>
      </tp>
      <tp t="s">
        <v>Z</v>
        <stp/>
        <stp>AX</stp>
        <stp>.AAPL160715P85</stp>
        <tr r="O61" s="2"/>
      </tp>
      <tp t="s">
        <v>C</v>
        <stp/>
        <stp>AX</stp>
        <stp>.AAPL170616P95</stp>
        <tr r="O151" s="2"/>
      </tp>
      <tp t="s">
        <v>M</v>
        <stp/>
        <stp>LX</stp>
        <stp>.AAPL160520P95</stp>
        <tr r="Q26" s="2"/>
      </tp>
      <tp t="s">
        <v>M</v>
        <stp/>
        <stp>LX</stp>
        <stp>.AAPL160520P90</stp>
        <tr r="Q24" s="2"/>
      </tp>
      <tp t="s">
        <v>Z</v>
        <stp/>
        <stp>AX</stp>
        <stp>.AAPL160520P90</stp>
        <tr r="O24" s="2"/>
      </tp>
      <tp t="s">
        <v>Z</v>
        <stp/>
        <stp>BX</stp>
        <stp>.AAPL160520P90</stp>
        <tr r="M24" s="2"/>
      </tp>
      <tp t="s">
        <v>Z</v>
        <stp/>
        <stp>AX</stp>
        <stp>.AAPL160520P95</stp>
        <tr r="O26" s="2"/>
      </tp>
      <tp t="s">
        <v>Z</v>
        <stp/>
        <stp>BX</stp>
        <stp>.AAPL160520P95</stp>
        <tr r="M26" s="2"/>
      </tp>
      <tp t="s">
        <v>M</v>
        <stp/>
        <stp>LX</stp>
        <stp>.AAPL160520P85</stp>
        <tr r="Q22" s="2"/>
      </tp>
      <tp t="s">
        <v>I</v>
        <stp/>
        <stp>LX</stp>
        <stp>.AAPL160520P80</stp>
        <tr r="Q21" s="2"/>
      </tp>
      <tp t="s">
        <v>Z</v>
        <stp/>
        <stp>AX</stp>
        <stp>.AAPL160520P80</stp>
        <tr r="O21" s="2"/>
      </tp>
      <tp t="s">
        <v>M</v>
        <stp/>
        <stp>BX</stp>
        <stp>.AAPL160520P80</stp>
        <tr r="M21" s="2"/>
      </tp>
      <tp t="s">
        <v>Z</v>
        <stp/>
        <stp>AX</stp>
        <stp>.AAPL160520P85</stp>
        <tr r="O22" s="2"/>
      </tp>
      <tp t="s">
        <v>Z</v>
        <stp/>
        <stp>BX</stp>
        <stp>.AAPL160520P85</stp>
        <tr r="M22" s="2"/>
      </tp>
      <tp>
        <v>-36.700000000000003</v>
        <stp/>
        <stp>PE</stp>
        <stp>TSLA</stp>
        <tr r="B7" s="1"/>
      </tp>
      <tp t="s">
        <v>X</v>
        <stp/>
        <stp>BX</stp>
        <stp>AAPL</stp>
        <tr r="E4" s="2"/>
      </tp>
      <tp>
        <v>110.8</v>
        <stp/>
        <stp>LOW</stp>
        <stp>AAPL</stp>
        <tr r="L4" s="2"/>
      </tp>
      <tp t="s">
        <v>P</v>
        <stp/>
        <stp>AX</stp>
        <stp>AAPL</stp>
        <tr r="G4" s="2"/>
      </tp>
      <tp t="s">
        <v>N/A</v>
        <stp/>
        <stp>YIELD</stp>
        <stp>TSLA</stp>
        <tr r="A7" s="1"/>
      </tp>
      <tp t="s">
        <v>N/A</v>
        <stp/>
        <stp>EX_DIV_DATE</stp>
        <stp>TSLA</stp>
        <tr r="F7" s="1"/>
      </tp>
      <tp>
        <v>0</v>
        <stp/>
        <stp>NET_CHANGE</stp>
        <stp>.AAPL7170120P65</stp>
        <tr r="R122" s="2"/>
      </tp>
      <tp>
        <v>0</v>
        <stp/>
        <stp>NET_CHANGE</stp>
        <stp>.AAPL7170120P75</stp>
        <tr r="R124" s="2"/>
      </tp>
      <tp>
        <v>0</v>
        <stp/>
        <stp>NET_CHANGE</stp>
        <stp>.AAPL7170120P70</stp>
        <tr r="R123" s="2"/>
      </tp>
      <tp>
        <v>0</v>
        <stp/>
        <stp>NET_CHANGE</stp>
        <stp>.AAPL7170120P85</stp>
        <tr r="R126" s="2"/>
      </tp>
      <tp>
        <v>0</v>
        <stp/>
        <stp>NET_CHANGE</stp>
        <stp>.AAPL7170120P80</stp>
        <tr r="R125" s="2"/>
      </tp>
      <tp>
        <v>0</v>
        <stp/>
        <stp>NET_CHANGE</stp>
        <stp>.AAPL7170120P95</stp>
        <tr r="R128" s="2"/>
      </tp>
      <tp>
        <v>0</v>
        <stp/>
        <stp>NET_CHANGE</stp>
        <stp>.AAPL7170120P90</stp>
        <tr r="R127" s="2"/>
      </tp>
      <tp>
        <v>0.52</v>
        <stp/>
        <stp>DIV</stp>
        <stp>AAPL</stp>
        <tr r="D7" s="2"/>
      </tp>
      <tp>
        <v>141.05000000000001</v>
        <stp/>
        <stp>52LOW</stp>
        <stp>TSLA</stp>
        <tr r="H7" s="1"/>
      </tp>
      <tp>
        <v>112.18</v>
        <stp/>
        <stp>BID</stp>
        <stp>AAPL</stp>
        <tr r="D4" s="2"/>
      </tp>
      <tp>
        <v>340</v>
        <stp/>
        <stp>STRIKE</stp>
        <stp>.TSLA160520C340</stp>
        <tr r="K63" s="1"/>
      </tp>
      <tp>
        <v>345</v>
        <stp/>
        <stp>STRIKE</stp>
        <stp>.TSLA160520C345</stp>
        <tr r="K64" s="1"/>
      </tp>
      <tp>
        <v>350</v>
        <stp/>
        <stp>STRIKE</stp>
        <stp>.TSLA160520C350</stp>
        <tr r="K65" s="1"/>
      </tp>
      <tp>
        <v>355</v>
        <stp/>
        <stp>STRIKE</stp>
        <stp>.TSLA160520C355</stp>
        <tr r="K66" s="1"/>
      </tp>
      <tp>
        <v>360</v>
        <stp/>
        <stp>STRIKE</stp>
        <stp>.TSLA160520C360</stp>
        <tr r="K67" s="1"/>
      </tp>
      <tp>
        <v>365</v>
        <stp/>
        <stp>STRIKE</stp>
        <stp>.TSLA160520C365</stp>
        <tr r="K68" s="1"/>
      </tp>
      <tp>
        <v>370</v>
        <stp/>
        <stp>STRIKE</stp>
        <stp>.TSLA160520C370</stp>
        <tr r="K69" s="1"/>
      </tp>
      <tp>
        <v>375</v>
        <stp/>
        <stp>STRIKE</stp>
        <stp>.TSLA160520C375</stp>
        <tr r="K70" s="1"/>
      </tp>
      <tp>
        <v>300</v>
        <stp/>
        <stp>STRIKE</stp>
        <stp>.TSLA160520C300</stp>
        <tr r="K55" s="1"/>
      </tp>
      <tp>
        <v>305</v>
        <stp/>
        <stp>STRIKE</stp>
        <stp>.TSLA160520C305</stp>
        <tr r="K56" s="1"/>
      </tp>
      <tp>
        <v>310</v>
        <stp/>
        <stp>STRIKE</stp>
        <stp>.TSLA160520C310</stp>
        <tr r="K57" s="1"/>
      </tp>
      <tp>
        <v>315</v>
        <stp/>
        <stp>STRIKE</stp>
        <stp>.TSLA160520C315</stp>
        <tr r="K58" s="1"/>
      </tp>
      <tp>
        <v>320</v>
        <stp/>
        <stp>STRIKE</stp>
        <stp>.TSLA160520C320</stp>
        <tr r="K59" s="1"/>
      </tp>
      <tp>
        <v>325</v>
        <stp/>
        <stp>STRIKE</stp>
        <stp>.TSLA160520C325</stp>
        <tr r="K60" s="1"/>
      </tp>
      <tp>
        <v>330</v>
        <stp/>
        <stp>STRIKE</stp>
        <stp>.TSLA160520C330</stp>
        <tr r="K61" s="1"/>
      </tp>
      <tp>
        <v>335</v>
        <stp/>
        <stp>STRIKE</stp>
        <stp>.TSLA160520C335</stp>
        <tr r="K62" s="1"/>
      </tp>
      <tp>
        <v>380</v>
        <stp/>
        <stp>STRIKE</stp>
        <stp>.TSLA160520C380</stp>
        <tr r="K71" s="1"/>
      </tp>
      <tp>
        <v>385</v>
        <stp/>
        <stp>STRIKE</stp>
        <stp>.TSLA160520C385</stp>
        <tr r="K72" s="1"/>
      </tp>
      <tp>
        <v>390</v>
        <stp/>
        <stp>STRIKE</stp>
        <stp>.TSLA160520C390</stp>
        <tr r="K73" s="1"/>
      </tp>
      <tp>
        <v>395</v>
        <stp/>
        <stp>STRIKE</stp>
        <stp>.TSLA160520C395</stp>
        <tr r="K74" s="1"/>
      </tp>
      <tp t="s">
        <v>C</v>
        <stp/>
        <stp>LX</stp>
        <stp>.AAPL170616C47.5</stp>
        <tr r="D139" s="2"/>
      </tp>
      <tp t="s">
        <v>T</v>
        <stp/>
        <stp>LX</stp>
        <stp>.AAPL170616C87.5</stp>
        <tr r="D148" s="2"/>
      </tp>
      <tp t="s">
        <v>Z</v>
        <stp/>
        <stp>LX</stp>
        <stp>.AAPL170616C97.5</stp>
        <tr r="D152" s="2"/>
      </tp>
      <tp t="s">
        <v>Q</v>
        <stp/>
        <stp>LX</stp>
        <stp>.AAPL170616P47.5</stp>
        <tr r="Q139" s="2"/>
      </tp>
      <tp t="s">
        <v>I</v>
        <stp/>
        <stp>LX</stp>
        <stp>.AAPL170616P87.5</stp>
        <tr r="Q148" s="2"/>
      </tp>
      <tp t="s">
        <v>N</v>
        <stp/>
        <stp>LX</stp>
        <stp>.AAPL170616P97.5</stp>
        <tr r="Q152" s="2"/>
      </tp>
      <tp t="s">
        <v>T</v>
        <stp/>
        <stp>LX</stp>
        <stp>.AAPL160715C97.5</stp>
        <tr r="D66" s="2"/>
      </tp>
      <tp t="s">
        <v>I</v>
        <stp/>
        <stp>LX</stp>
        <stp>.AAPL160715C87.5</stp>
        <tr r="D62" s="2"/>
      </tp>
      <tp t="s">
        <v>H</v>
        <stp/>
        <stp>LX</stp>
        <stp>.AAPL160715P97.5</stp>
        <tr r="Q66" s="2"/>
      </tp>
      <tp t="s">
        <v>Z</v>
        <stp/>
        <stp>LX</stp>
        <stp>.AAPL160715P87.5</stp>
        <tr r="Q62" s="2"/>
      </tp>
      <tp>
        <v>-0.05</v>
        <stp/>
        <stp>NET_CHANGE</stp>
        <stp>.AAPL160520P92.5</stp>
        <tr r="R25" s="2"/>
      </tp>
      <tp>
        <v>1.95</v>
        <stp/>
        <stp>NET_CHANGE</stp>
        <stp>.AAPL160520C92.5</stp>
        <tr r="E25" s="2"/>
      </tp>
      <tp>
        <v>-0.33</v>
        <stp/>
        <stp>NET_CHANGE</stp>
        <stp>.AAPL161021P92.5</stp>
        <tr r="R96" s="2"/>
      </tp>
      <tp>
        <v>1.57</v>
        <stp/>
        <stp>NET_CHANGE</stp>
        <stp>.AAPL161021C92.5</stp>
        <tr r="E96" s="2"/>
      </tp>
      <tp t="s">
        <v>A</v>
        <stp/>
        <stp>LX</stp>
        <stp>.AAPL7170120P115</stp>
        <tr r="Q132" s="2"/>
      </tp>
      <tp t="s">
        <v>Z</v>
        <stp/>
        <stp>LX</stp>
        <stp>.AAPL7170120C115</stp>
        <tr r="D132" s="2"/>
      </tp>
      <tp t="s">
        <v/>
        <stp/>
        <stp>LX</stp>
        <stp>.AAPL7170120P110</stp>
        <tr r="Q131" s="2"/>
      </tp>
      <tp t="s">
        <v>Z</v>
        <stp/>
        <stp>LX</stp>
        <stp>.AAPL7170120C110</stp>
        <tr r="D131" s="2"/>
      </tp>
      <tp t="s">
        <v>Z</v>
        <stp/>
        <stp>LX</stp>
        <stp>.AAPL7170120P105</stp>
        <tr r="Q130" s="2"/>
      </tp>
      <tp t="s">
        <v>Z</v>
        <stp/>
        <stp>LX</stp>
        <stp>.AAPL7170120C105</stp>
        <tr r="D130" s="2"/>
      </tp>
      <tp t="s">
        <v>Z</v>
        <stp/>
        <stp>LX</stp>
        <stp>.AAPL7170120P100</stp>
        <tr r="Q129" s="2"/>
      </tp>
      <tp t="s">
        <v>Z</v>
        <stp/>
        <stp>LX</stp>
        <stp>.AAPL7170120C100</stp>
        <tr r="D129" s="2"/>
      </tp>
      <tp t="s">
        <v>Z</v>
        <stp/>
        <stp>LX</stp>
        <stp>.AAPL7170120P135</stp>
        <tr r="Q136" s="2"/>
      </tp>
      <tp t="s">
        <v>Z</v>
        <stp/>
        <stp>LX</stp>
        <stp>.AAPL7170120C135</stp>
        <tr r="D136" s="2"/>
      </tp>
      <tp t="s">
        <v/>
        <stp/>
        <stp>LX</stp>
        <stp>.AAPL7170120P130</stp>
        <tr r="Q135" s="2"/>
      </tp>
      <tp t="s">
        <v>Z</v>
        <stp/>
        <stp>LX</stp>
        <stp>.AAPL7170120C130</stp>
        <tr r="D135" s="2"/>
      </tp>
      <tp t="s">
        <v>B</v>
        <stp/>
        <stp>LX</stp>
        <stp>.AAPL7170120P125</stp>
        <tr r="Q134" s="2"/>
      </tp>
      <tp t="s">
        <v>Z</v>
        <stp/>
        <stp>LX</stp>
        <stp>.AAPL7170120C125</stp>
        <tr r="D134" s="2"/>
      </tp>
      <tp t="s">
        <v/>
        <stp/>
        <stp>LX</stp>
        <stp>.AAPL7170120P120</stp>
        <tr r="Q133" s="2"/>
      </tp>
      <tp t="s">
        <v>Z</v>
        <stp/>
        <stp>LX</stp>
        <stp>.AAPL7170120C120</stp>
        <tr r="D133" s="2"/>
      </tp>
      <tp>
        <v>240</v>
        <stp/>
        <stp>STRIKE</stp>
        <stp>.TSLA160520C240</stp>
        <tr r="K43" s="1"/>
      </tp>
      <tp>
        <v>245</v>
        <stp/>
        <stp>STRIKE</stp>
        <stp>.TSLA160520C245</stp>
        <tr r="K44" s="1"/>
      </tp>
      <tp>
        <v>250</v>
        <stp/>
        <stp>STRIKE</stp>
        <stp>.TSLA160520C250</stp>
        <tr r="K45" s="1"/>
      </tp>
      <tp>
        <v>255</v>
        <stp/>
        <stp>STRIKE</stp>
        <stp>.TSLA160520C255</stp>
        <tr r="K46" s="1"/>
      </tp>
      <tp>
        <v>260</v>
        <stp/>
        <stp>STRIKE</stp>
        <stp>.TSLA160520C260</stp>
        <tr r="K47" s="1"/>
      </tp>
      <tp>
        <v>265</v>
        <stp/>
        <stp>STRIKE</stp>
        <stp>.TSLA160520C265</stp>
        <tr r="K48" s="1"/>
      </tp>
      <tp>
        <v>270</v>
        <stp/>
        <stp>STRIKE</stp>
        <stp>.TSLA160520C270</stp>
        <tr r="K49" s="1"/>
      </tp>
      <tp>
        <v>275</v>
        <stp/>
        <stp>STRIKE</stp>
        <stp>.TSLA160520C275</stp>
        <tr r="K50" s="1"/>
      </tp>
      <tp>
        <v>200</v>
        <stp/>
        <stp>STRIKE</stp>
        <stp>.TSLA160520C200</stp>
        <tr r="K35" s="1"/>
      </tp>
      <tp>
        <v>205</v>
        <stp/>
        <stp>STRIKE</stp>
        <stp>.TSLA160520C205</stp>
        <tr r="K36" s="1"/>
      </tp>
      <tp>
        <v>210</v>
        <stp/>
        <stp>STRIKE</stp>
        <stp>.TSLA160520C210</stp>
        <tr r="K37" s="1"/>
      </tp>
      <tp>
        <v>215</v>
        <stp/>
        <stp>STRIKE</stp>
        <stp>.TSLA160520C215</stp>
        <tr r="K38" s="1"/>
      </tp>
      <tp>
        <v>220</v>
        <stp/>
        <stp>STRIKE</stp>
        <stp>.TSLA160520C220</stp>
        <tr r="K39" s="1"/>
      </tp>
      <tp>
        <v>225</v>
        <stp/>
        <stp>STRIKE</stp>
        <stp>.TSLA160520C225</stp>
        <tr r="K40" s="1"/>
      </tp>
      <tp>
        <v>230</v>
        <stp/>
        <stp>STRIKE</stp>
        <stp>.TSLA160520C230</stp>
        <tr r="K41" s="1"/>
      </tp>
      <tp>
        <v>235</v>
        <stp/>
        <stp>STRIKE</stp>
        <stp>.TSLA160520C235</stp>
        <tr r="K42" s="1"/>
      </tp>
      <tp>
        <v>280</v>
        <stp/>
        <stp>STRIKE</stp>
        <stp>.TSLA160520C280</stp>
        <tr r="K51" s="1"/>
      </tp>
      <tp>
        <v>285</v>
        <stp/>
        <stp>STRIKE</stp>
        <stp>.TSLA160520C285</stp>
        <tr r="K52" s="1"/>
      </tp>
      <tp>
        <v>290</v>
        <stp/>
        <stp>STRIKE</stp>
        <stp>.TSLA160520C290</stp>
        <tr r="K53" s="1"/>
      </tp>
      <tp>
        <v>295</v>
        <stp/>
        <stp>STRIKE</stp>
        <stp>.TSLA160520C295</stp>
        <tr r="K54" s="1"/>
      </tp>
      <tp t="s">
        <v>C</v>
        <stp/>
        <stp>LX</stp>
        <stp>.AAPL160520C97.5</stp>
        <tr r="D27" s="2"/>
      </tp>
      <tp t="s">
        <v>Z</v>
        <stp/>
        <stp>LX</stp>
        <stp>.AAPL160520C87.5</stp>
        <tr r="D23" s="2"/>
      </tp>
      <tp t="s">
        <v>C</v>
        <stp/>
        <stp>LX</stp>
        <stp>.AAPL160520P97.5</stp>
        <tr r="Q27" s="2"/>
      </tp>
      <tp t="s">
        <v>C</v>
        <stp/>
        <stp>LX</stp>
        <stp>.AAPL160520P87.5</stp>
        <tr r="Q23" s="2"/>
      </tp>
      <tp t="s">
        <v>C</v>
        <stp/>
        <stp>LX</stp>
        <stp>.AAPL161021C87.5</stp>
        <tr r="D94" s="2"/>
      </tp>
      <tp t="s">
        <v>X</v>
        <stp/>
        <stp>LX</stp>
        <stp>.AAPL161021C97.5</stp>
        <tr r="D98" s="2"/>
      </tp>
      <tp t="s">
        <v>Q</v>
        <stp/>
        <stp>LX</stp>
        <stp>.AAPL161021P87.5</stp>
        <tr r="Q94" s="2"/>
      </tp>
      <tp t="s">
        <v>H</v>
        <stp/>
        <stp>LX</stp>
        <stp>.AAPL161021P97.5</stp>
        <tr r="Q98" s="2"/>
      </tp>
      <tp>
        <v>-0.56000000000000005</v>
        <stp/>
        <stp>NET_CHANGE</stp>
        <stp>.AAPL170616P92.5</stp>
        <tr r="R150" s="2"/>
      </tp>
      <tp>
        <v>1.1599999999999999</v>
        <stp/>
        <stp>NET_CHANGE</stp>
        <stp>.AAPL170616C92.5</stp>
        <tr r="E150" s="2"/>
      </tp>
      <tp>
        <v>-0.15</v>
        <stp/>
        <stp>NET_CHANGE</stp>
        <stp>.AAPL160715P92.5</stp>
        <tr r="R64" s="2"/>
      </tp>
      <tp>
        <v>1.7</v>
        <stp/>
        <stp>NET_CHANGE</stp>
        <stp>.AAPL160715C92.5</stp>
        <tr r="E64" s="2"/>
      </tp>
      <tp>
        <v>140</v>
        <stp/>
        <stp>STRIKE</stp>
        <stp>.TSLA160520C140</stp>
        <tr r="K23" s="1"/>
      </tp>
      <tp>
        <v>145</v>
        <stp/>
        <stp>STRIKE</stp>
        <stp>.TSLA160520C145</stp>
        <tr r="K24" s="1"/>
      </tp>
      <tp t="s">
        <v>2016-05-21</v>
        <stp/>
        <stp>EXPIRATION_DAY</stp>
        <stp>.TSLA160520C450</stp>
        <tr r="J80" s="1"/>
      </tp>
      <tp>
        <v>150</v>
        <stp/>
        <stp>STRIKE</stp>
        <stp>.TSLA160520C150</stp>
        <tr r="K25" s="1"/>
      </tp>
      <tp>
        <v>155</v>
        <stp/>
        <stp>STRIKE</stp>
        <stp>.TSLA160520C155</stp>
        <tr r="K26" s="1"/>
      </tp>
      <tp t="s">
        <v>2016-05-21</v>
        <stp/>
        <stp>EXPIRATION_DAY</stp>
        <stp>.TSLA160520C440</stp>
        <tr r="J79" s="1"/>
      </tp>
      <tp>
        <v>160</v>
        <stp/>
        <stp>STRIKE</stp>
        <stp>.TSLA160520C160</stp>
        <tr r="K27" s="1"/>
      </tp>
      <tp>
        <v>165</v>
        <stp/>
        <stp>STRIKE</stp>
        <stp>.TSLA160520C165</stp>
        <tr r="K28" s="1"/>
      </tp>
      <tp t="s">
        <v>2016-05-21</v>
        <stp/>
        <stp>EXPIRATION_DAY</stp>
        <stp>.TSLA160520C470</stp>
        <tr r="J82" s="1"/>
      </tp>
      <tp>
        <v>170</v>
        <stp/>
        <stp>STRIKE</stp>
        <stp>.TSLA160520C170</stp>
        <tr r="K29" s="1"/>
      </tp>
      <tp>
        <v>175</v>
        <stp/>
        <stp>STRIKE</stp>
        <stp>.TSLA160520C175</stp>
        <tr r="K30" s="1"/>
      </tp>
      <tp t="s">
        <v>2016-05-21</v>
        <stp/>
        <stp>EXPIRATION_DAY</stp>
        <stp>.TSLA160520C460</stp>
        <tr r="J81" s="1"/>
      </tp>
      <tp>
        <v>100</v>
        <stp/>
        <stp>STRIKE</stp>
        <stp>.TSLA160520C100</stp>
        <tr r="K15" s="1"/>
      </tp>
      <tp>
        <v>105</v>
        <stp/>
        <stp>STRIKE</stp>
        <stp>.TSLA160520C105</stp>
        <tr r="K16" s="1"/>
      </tp>
      <tp t="s">
        <v>2016-05-21</v>
        <stp/>
        <stp>EXPIRATION_DAY</stp>
        <stp>.TSLA160520C410</stp>
        <tr r="J76" s="1"/>
      </tp>
      <tp>
        <v>110</v>
        <stp/>
        <stp>STRIKE</stp>
        <stp>.TSLA160520C110</stp>
        <tr r="K17" s="1"/>
      </tp>
      <tp>
        <v>115</v>
        <stp/>
        <stp>STRIKE</stp>
        <stp>.TSLA160520C115</stp>
        <tr r="K18" s="1"/>
      </tp>
      <tp t="s">
        <v>2016-05-21</v>
        <stp/>
        <stp>EXPIRATION_DAY</stp>
        <stp>.TSLA160520C400</stp>
        <tr r="J75" s="1"/>
      </tp>
      <tp>
        <v>120</v>
        <stp/>
        <stp>STRIKE</stp>
        <stp>.TSLA160520C120</stp>
        <tr r="K19" s="1"/>
      </tp>
      <tp>
        <v>125</v>
        <stp/>
        <stp>STRIKE</stp>
        <stp>.TSLA160520C125</stp>
        <tr r="K20" s="1"/>
      </tp>
      <tp t="s">
        <v>2016-05-21</v>
        <stp/>
        <stp>EXPIRATION_DAY</stp>
        <stp>.TSLA160520C430</stp>
        <tr r="J78" s="1"/>
      </tp>
      <tp>
        <v>130</v>
        <stp/>
        <stp>STRIKE</stp>
        <stp>.TSLA160520C130</stp>
        <tr r="K21" s="1"/>
      </tp>
      <tp>
        <v>135</v>
        <stp/>
        <stp>STRIKE</stp>
        <stp>.TSLA160520C135</stp>
        <tr r="K22" s="1"/>
      </tp>
      <tp t="s">
        <v>2016-05-21</v>
        <stp/>
        <stp>EXPIRATION_DAY</stp>
        <stp>.TSLA160520C420</stp>
        <tr r="J77" s="1"/>
      </tp>
      <tp>
        <v>180</v>
        <stp/>
        <stp>STRIKE</stp>
        <stp>.TSLA160520C180</stp>
        <tr r="K31" s="1"/>
      </tp>
      <tp>
        <v>185</v>
        <stp/>
        <stp>STRIKE</stp>
        <stp>.TSLA160520C185</stp>
        <tr r="K32" s="1"/>
      </tp>
      <tp>
        <v>190</v>
        <stp/>
        <stp>STRIKE</stp>
        <stp>.TSLA160520C190</stp>
        <tr r="K33" s="1"/>
      </tp>
      <tp>
        <v>195</v>
        <stp/>
        <stp>STRIKE</stp>
        <stp>.TSLA160520C195</stp>
        <tr r="K34" s="1"/>
      </tp>
      <tp t="s">
        <v>2016-05-21</v>
        <stp/>
        <stp>EXPIRATION_DAY</stp>
        <stp>.TSLA160520C480</stp>
        <tr r="J83" s="1"/>
      </tp>
      <tp t="s">
        <v>I</v>
        <stp/>
        <stp>LX</stp>
        <stp>.AAPL170616C92.5</stp>
        <tr r="D150" s="2"/>
      </tp>
      <tp t="s">
        <v>X</v>
        <stp/>
        <stp>LX</stp>
        <stp>.AAPL170616P92.5</stp>
        <tr r="Q150" s="2"/>
      </tp>
      <tp t="s">
        <v>I</v>
        <stp/>
        <stp>LX</stp>
        <stp>.AAPL160715C92.5</stp>
        <tr r="D64" s="2"/>
      </tp>
      <tp t="s">
        <v>N</v>
        <stp/>
        <stp>LX</stp>
        <stp>.AAPL160715P92.5</stp>
        <tr r="Q64" s="2"/>
      </tp>
      <tp>
        <v>-0.03</v>
        <stp/>
        <stp>NET_CHANGE</stp>
        <stp>.AAPL160520P87.5</stp>
        <tr r="R23" s="2"/>
      </tp>
      <tp>
        <v>-0.12</v>
        <stp/>
        <stp>NET_CHANGE</stp>
        <stp>.AAPL160520P97.5</stp>
        <tr r="R27" s="2"/>
      </tp>
      <tp>
        <v>0</v>
        <stp/>
        <stp>NET_CHANGE</stp>
        <stp>.AAPL160520C87.5</stp>
        <tr r="E23" s="2"/>
      </tp>
      <tp>
        <v>1.59</v>
        <stp/>
        <stp>NET_CHANGE</stp>
        <stp>.AAPL160520C97.5</stp>
        <tr r="E27" s="2"/>
      </tp>
      <tp>
        <v>-0.57999999999999996</v>
        <stp/>
        <stp>NET_CHANGE</stp>
        <stp>.AAPL161021P97.5</stp>
        <tr r="R98" s="2"/>
      </tp>
      <tp>
        <v>-0.31</v>
        <stp/>
        <stp>NET_CHANGE</stp>
        <stp>.AAPL161021P87.5</stp>
        <tr r="R94" s="2"/>
      </tp>
      <tp>
        <v>1.37</v>
        <stp/>
        <stp>NET_CHANGE</stp>
        <stp>.AAPL161021C97.5</stp>
        <tr r="E98" s="2"/>
      </tp>
      <tp>
        <v>1.65</v>
        <stp/>
        <stp>NET_CHANGE</stp>
        <stp>.AAPL161021C87.5</stp>
        <tr r="E94" s="2"/>
      </tp>
      <tp t="s">
        <v>2016-05-21</v>
        <stp/>
        <stp>EXPIRATION_DAY</stp>
        <stp>.TSLA160520C255</stp>
        <tr r="J46" s="1"/>
      </tp>
      <tp t="s">
        <v>2016-05-21</v>
        <stp/>
        <stp>EXPIRATION_DAY</stp>
        <stp>.TSLA160520C250</stp>
        <tr r="J45" s="1"/>
      </tp>
      <tp t="s">
        <v>2016-05-21</v>
        <stp/>
        <stp>EXPIRATION_DAY</stp>
        <stp>.TSLA160520C245</stp>
        <tr r="J44" s="1"/>
      </tp>
      <tp t="s">
        <v>2016-05-21</v>
        <stp/>
        <stp>EXPIRATION_DAY</stp>
        <stp>.TSLA160520C240</stp>
        <tr r="J43" s="1"/>
      </tp>
      <tp t="s">
        <v>2016-05-21</v>
        <stp/>
        <stp>EXPIRATION_DAY</stp>
        <stp>.TSLA160520C275</stp>
        <tr r="J50" s="1"/>
      </tp>
      <tp t="s">
        <v>2016-05-21</v>
        <stp/>
        <stp>EXPIRATION_DAY</stp>
        <stp>.TSLA160520C270</stp>
        <tr r="J49" s="1"/>
      </tp>
      <tp t="s">
        <v>2016-05-21</v>
        <stp/>
        <stp>EXPIRATION_DAY</stp>
        <stp>.TSLA160520C265</stp>
        <tr r="J48" s="1"/>
      </tp>
      <tp t="s">
        <v>2016-05-21</v>
        <stp/>
        <stp>EXPIRATION_DAY</stp>
        <stp>.TSLA160520C260</stp>
        <tr r="J47" s="1"/>
      </tp>
      <tp t="s">
        <v>2016-05-21</v>
        <stp/>
        <stp>EXPIRATION_DAY</stp>
        <stp>.TSLA160520C215</stp>
        <tr r="J38" s="1"/>
      </tp>
      <tp t="s">
        <v>2016-05-21</v>
        <stp/>
        <stp>EXPIRATION_DAY</stp>
        <stp>.TSLA160520C210</stp>
        <tr r="J37" s="1"/>
      </tp>
      <tp t="s">
        <v>2016-05-21</v>
        <stp/>
        <stp>EXPIRATION_DAY</stp>
        <stp>.TSLA160520C205</stp>
        <tr r="J36" s="1"/>
      </tp>
      <tp t="s">
        <v>2016-05-21</v>
        <stp/>
        <stp>EXPIRATION_DAY</stp>
        <stp>.TSLA160520C200</stp>
        <tr r="J35" s="1"/>
      </tp>
      <tp t="s">
        <v>2016-05-21</v>
        <stp/>
        <stp>EXPIRATION_DAY</stp>
        <stp>.TSLA160520C235</stp>
        <tr r="J42" s="1"/>
      </tp>
      <tp t="s">
        <v>2016-05-21</v>
        <stp/>
        <stp>EXPIRATION_DAY</stp>
        <stp>.TSLA160520C230</stp>
        <tr r="J41" s="1"/>
      </tp>
      <tp t="s">
        <v>2016-05-21</v>
        <stp/>
        <stp>EXPIRATION_DAY</stp>
        <stp>.TSLA160520C225</stp>
        <tr r="J40" s="1"/>
      </tp>
      <tp t="s">
        <v>2016-05-21</v>
        <stp/>
        <stp>EXPIRATION_DAY</stp>
        <stp>.TSLA160520C220</stp>
        <tr r="J39" s="1"/>
      </tp>
      <tp t="s">
        <v>2016-05-21</v>
        <stp/>
        <stp>EXPIRATION_DAY</stp>
        <stp>.TSLA160520C295</stp>
        <tr r="J54" s="1"/>
      </tp>
      <tp t="s">
        <v>2016-05-21</v>
        <stp/>
        <stp>EXPIRATION_DAY</stp>
        <stp>.TSLA160520C290</stp>
        <tr r="J53" s="1"/>
      </tp>
      <tp t="s">
        <v>2016-05-21</v>
        <stp/>
        <stp>EXPIRATION_DAY</stp>
        <stp>.TSLA160520C285</stp>
        <tr r="J52" s="1"/>
      </tp>
      <tp t="s">
        <v>2016-05-21</v>
        <stp/>
        <stp>EXPIRATION_DAY</stp>
        <stp>.TSLA160520C280</stp>
        <tr r="J51" s="1"/>
      </tp>
      <tp t="s">
        <v>2016-05-21</v>
        <stp/>
        <stp>EXPIRATION_DAY</stp>
        <stp>.TSLA160520C355</stp>
        <tr r="J66" s="1"/>
      </tp>
      <tp t="s">
        <v>2016-05-21</v>
        <stp/>
        <stp>EXPIRATION_DAY</stp>
        <stp>.TSLA160520C350</stp>
        <tr r="J65" s="1"/>
      </tp>
      <tp t="s">
        <v>2016-05-21</v>
        <stp/>
        <stp>EXPIRATION_DAY</stp>
        <stp>.TSLA160520C345</stp>
        <tr r="J64" s="1"/>
      </tp>
      <tp t="s">
        <v>2016-05-21</v>
        <stp/>
        <stp>EXPIRATION_DAY</stp>
        <stp>.TSLA160520C340</stp>
        <tr r="J63" s="1"/>
      </tp>
      <tp t="s">
        <v>2016-05-21</v>
        <stp/>
        <stp>EXPIRATION_DAY</stp>
        <stp>.TSLA160520C375</stp>
        <tr r="J70" s="1"/>
      </tp>
      <tp t="s">
        <v>2016-05-21</v>
        <stp/>
        <stp>EXPIRATION_DAY</stp>
        <stp>.TSLA160520C370</stp>
        <tr r="J69" s="1"/>
      </tp>
      <tp t="s">
        <v>2016-05-21</v>
        <stp/>
        <stp>EXPIRATION_DAY</stp>
        <stp>.TSLA160520C365</stp>
        <tr r="J68" s="1"/>
      </tp>
      <tp t="s">
        <v>2016-05-21</v>
        <stp/>
        <stp>EXPIRATION_DAY</stp>
        <stp>.TSLA160520C360</stp>
        <tr r="J67" s="1"/>
      </tp>
      <tp t="s">
        <v>2016-05-21</v>
        <stp/>
        <stp>EXPIRATION_DAY</stp>
        <stp>.TSLA160520C315</stp>
        <tr r="J58" s="1"/>
      </tp>
      <tp t="s">
        <v>2016-05-21</v>
        <stp/>
        <stp>EXPIRATION_DAY</stp>
        <stp>.TSLA160520C310</stp>
        <tr r="J57" s="1"/>
      </tp>
      <tp t="s">
        <v>2016-05-21</v>
        <stp/>
        <stp>EXPIRATION_DAY</stp>
        <stp>.TSLA160520C305</stp>
        <tr r="J56" s="1"/>
      </tp>
      <tp t="s">
        <v>2016-05-21</v>
        <stp/>
        <stp>EXPIRATION_DAY</stp>
        <stp>.TSLA160520C300</stp>
        <tr r="J55" s="1"/>
      </tp>
      <tp t="s">
        <v>2016-05-21</v>
        <stp/>
        <stp>EXPIRATION_DAY</stp>
        <stp>.TSLA160520C335</stp>
        <tr r="J62" s="1"/>
      </tp>
      <tp t="s">
        <v>2016-05-21</v>
        <stp/>
        <stp>EXPIRATION_DAY</stp>
        <stp>.TSLA160520C330</stp>
        <tr r="J61" s="1"/>
      </tp>
      <tp t="s">
        <v>2016-05-21</v>
        <stp/>
        <stp>EXPIRATION_DAY</stp>
        <stp>.TSLA160520C325</stp>
        <tr r="J60" s="1"/>
      </tp>
      <tp t="s">
        <v>2016-05-21</v>
        <stp/>
        <stp>EXPIRATION_DAY</stp>
        <stp>.TSLA160520C320</stp>
        <tr r="J59" s="1"/>
      </tp>
      <tp t="s">
        <v>2016-05-21</v>
        <stp/>
        <stp>EXPIRATION_DAY</stp>
        <stp>.TSLA160520C395</stp>
        <tr r="J74" s="1"/>
      </tp>
      <tp t="s">
        <v>2016-05-21</v>
        <stp/>
        <stp>EXPIRATION_DAY</stp>
        <stp>.TSLA160520C390</stp>
        <tr r="J73" s="1"/>
      </tp>
      <tp t="s">
        <v>2016-05-21</v>
        <stp/>
        <stp>EXPIRATION_DAY</stp>
        <stp>.TSLA160520C385</stp>
        <tr r="J72" s="1"/>
      </tp>
      <tp t="s">
        <v>2016-05-21</v>
        <stp/>
        <stp>EXPIRATION_DAY</stp>
        <stp>.TSLA160520C380</stp>
        <tr r="J71" s="1"/>
      </tp>
      <tp t="s">
        <v>Q</v>
        <stp/>
        <stp>LX</stp>
        <stp>.AAPL160520C92.5</stp>
        <tr r="D25" s="2"/>
      </tp>
      <tp t="s">
        <v>B</v>
        <stp/>
        <stp>LX</stp>
        <stp>.AAPL160520P92.5</stp>
        <tr r="Q25" s="2"/>
      </tp>
      <tp t="s">
        <v>N</v>
        <stp/>
        <stp>LX</stp>
        <stp>.AAPL161021C92.5</stp>
        <tr r="D96" s="2"/>
      </tp>
      <tp t="s">
        <v>C</v>
        <stp/>
        <stp>LX</stp>
        <stp>.AAPL161021P92.5</stp>
        <tr r="Q96" s="2"/>
      </tp>
      <tp>
        <v>0</v>
        <stp/>
        <stp>NET_CHANGE</stp>
        <stp>.AAPL7170120C110</stp>
        <tr r="E131" s="2"/>
      </tp>
      <tp>
        <v>0</v>
        <stp/>
        <stp>NET_CHANGE</stp>
        <stp>.AAPL7170120P110</stp>
        <tr r="R131" s="2"/>
      </tp>
      <tp>
        <v>0</v>
        <stp/>
        <stp>NET_CHANGE</stp>
        <stp>.AAPL7170120C115</stp>
        <tr r="E132" s="2"/>
      </tp>
      <tp>
        <v>0</v>
        <stp/>
        <stp>NET_CHANGE</stp>
        <stp>.AAPL7170120P115</stp>
        <tr r="R132" s="2"/>
      </tp>
      <tp>
        <v>0</v>
        <stp/>
        <stp>NET_CHANGE</stp>
        <stp>.AAPL7170120C100</stp>
        <tr r="E129" s="2"/>
      </tp>
      <tp>
        <v>0</v>
        <stp/>
        <stp>NET_CHANGE</stp>
        <stp>.AAPL7170120P100</stp>
        <tr r="R129" s="2"/>
      </tp>
      <tp>
        <v>0</v>
        <stp/>
        <stp>NET_CHANGE</stp>
        <stp>.AAPL7170120C105</stp>
        <tr r="E130" s="2"/>
      </tp>
      <tp>
        <v>0</v>
        <stp/>
        <stp>NET_CHANGE</stp>
        <stp>.AAPL7170120P105</stp>
        <tr r="R130" s="2"/>
      </tp>
      <tp>
        <v>0</v>
        <stp/>
        <stp>NET_CHANGE</stp>
        <stp>.AAPL7170120C130</stp>
        <tr r="E135" s="2"/>
      </tp>
      <tp>
        <v>0</v>
        <stp/>
        <stp>NET_CHANGE</stp>
        <stp>.AAPL7170120P130</stp>
        <tr r="R135" s="2"/>
      </tp>
      <tp>
        <v>0</v>
        <stp/>
        <stp>NET_CHANGE</stp>
        <stp>.AAPL7170120C135</stp>
        <tr r="E136" s="2"/>
      </tp>
      <tp>
        <v>0</v>
        <stp/>
        <stp>NET_CHANGE</stp>
        <stp>.AAPL7170120P135</stp>
        <tr r="R136" s="2"/>
      </tp>
      <tp>
        <v>0</v>
        <stp/>
        <stp>NET_CHANGE</stp>
        <stp>.AAPL7170120C120</stp>
        <tr r="E133" s="2"/>
      </tp>
      <tp>
        <v>0</v>
        <stp/>
        <stp>NET_CHANGE</stp>
        <stp>.AAPL7170120P120</stp>
        <tr r="R133" s="2"/>
      </tp>
      <tp>
        <v>0</v>
        <stp/>
        <stp>NET_CHANGE</stp>
        <stp>.AAPL7170120C125</stp>
        <tr r="E134" s="2"/>
      </tp>
      <tp>
        <v>0</v>
        <stp/>
        <stp>NET_CHANGE</stp>
        <stp>.AAPL7170120P125</stp>
        <tr r="R134" s="2"/>
      </tp>
      <tp>
        <v>-1.1499999999999999</v>
        <stp/>
        <stp>NET_CHANGE</stp>
        <stp>.AAPL170616P97.5</stp>
        <tr r="R152" s="2"/>
      </tp>
      <tp>
        <v>-0.51</v>
        <stp/>
        <stp>NET_CHANGE</stp>
        <stp>.AAPL170616P87.5</stp>
        <tr r="R148" s="2"/>
      </tp>
      <tp>
        <v>0</v>
        <stp/>
        <stp>NET_CHANGE</stp>
        <stp>.AAPL170616P47.5</stp>
        <tr r="R139" s="2"/>
      </tp>
      <tp>
        <v>0</v>
        <stp/>
        <stp>NET_CHANGE</stp>
        <stp>.AAPL170616C97.5</stp>
        <tr r="E152" s="2"/>
      </tp>
      <tp>
        <v>0</v>
        <stp/>
        <stp>NET_CHANGE</stp>
        <stp>.AAPL170616C87.5</stp>
        <tr r="E148" s="2"/>
      </tp>
      <tp>
        <v>0</v>
        <stp/>
        <stp>NET_CHANGE</stp>
        <stp>.AAPL170616C47.5</stp>
        <tr r="E139" s="2"/>
      </tp>
      <tp>
        <v>-0.1</v>
        <stp/>
        <stp>NET_CHANGE</stp>
        <stp>.AAPL160715P87.5</stp>
        <tr r="R62" s="2"/>
      </tp>
      <tp>
        <v>-0.28000000000000003</v>
        <stp/>
        <stp>NET_CHANGE</stp>
        <stp>.AAPL160715P97.5</stp>
        <tr r="R66" s="2"/>
      </tp>
      <tp>
        <v>2.97</v>
        <stp/>
        <stp>NET_CHANGE</stp>
        <stp>.AAPL160715C87.5</stp>
        <tr r="E62" s="2"/>
      </tp>
      <tp>
        <v>1.4</v>
        <stp/>
        <stp>NET_CHANGE</stp>
        <stp>.AAPL160715C97.5</stp>
        <tr r="E66" s="2"/>
      </tp>
      <tp>
        <v>440</v>
        <stp/>
        <stp>STRIKE</stp>
        <stp>.TSLA160520C440</stp>
        <tr r="K79" s="1"/>
      </tp>
      <tp t="s">
        <v>2016-05-21</v>
        <stp/>
        <stp>EXPIRATION_DAY</stp>
        <stp>.TSLA160520C155</stp>
        <tr r="J26" s="1"/>
      </tp>
      <tp t="s">
        <v>2016-05-21</v>
        <stp/>
        <stp>EXPIRATION_DAY</stp>
        <stp>.TSLA160520C150</stp>
        <tr r="J25" s="1"/>
      </tp>
      <tp>
        <v>450</v>
        <stp/>
        <stp>STRIKE</stp>
        <stp>.TSLA160520C450</stp>
        <tr r="K80" s="1"/>
      </tp>
      <tp t="s">
        <v>2016-05-21</v>
        <stp/>
        <stp>EXPIRATION_DAY</stp>
        <stp>.TSLA160520C145</stp>
        <tr r="J24" s="1"/>
      </tp>
      <tp t="s">
        <v>2016-05-21</v>
        <stp/>
        <stp>EXPIRATION_DAY</stp>
        <stp>.TSLA160520C140</stp>
        <tr r="J23" s="1"/>
      </tp>
      <tp>
        <v>460</v>
        <stp/>
        <stp>STRIKE</stp>
        <stp>.TSLA160520C460</stp>
        <tr r="K81" s="1"/>
      </tp>
      <tp t="s">
        <v>2016-05-21</v>
        <stp/>
        <stp>EXPIRATION_DAY</stp>
        <stp>.TSLA160520C175</stp>
        <tr r="J30" s="1"/>
      </tp>
      <tp t="s">
        <v>2016-05-21</v>
        <stp/>
        <stp>EXPIRATION_DAY</stp>
        <stp>.TSLA160520C170</stp>
        <tr r="J29" s="1"/>
      </tp>
      <tp>
        <v>470</v>
        <stp/>
        <stp>STRIKE</stp>
        <stp>.TSLA160520C470</stp>
        <tr r="K82" s="1"/>
      </tp>
      <tp t="s">
        <v>2016-05-21</v>
        <stp/>
        <stp>EXPIRATION_DAY</stp>
        <stp>.TSLA160520C165</stp>
        <tr r="J28" s="1"/>
      </tp>
      <tp t="s">
        <v>2016-05-21</v>
        <stp/>
        <stp>EXPIRATION_DAY</stp>
        <stp>.TSLA160520C160</stp>
        <tr r="J27" s="1"/>
      </tp>
      <tp>
        <v>400</v>
        <stp/>
        <stp>STRIKE</stp>
        <stp>.TSLA160520C400</stp>
        <tr r="K75" s="1"/>
      </tp>
      <tp t="s">
        <v>2016-05-21</v>
        <stp/>
        <stp>EXPIRATION_DAY</stp>
        <stp>.TSLA160520C115</stp>
        <tr r="J18" s="1"/>
      </tp>
      <tp t="s">
        <v>2016-05-21</v>
        <stp/>
        <stp>EXPIRATION_DAY</stp>
        <stp>.TSLA160520C110</stp>
        <tr r="J17" s="1"/>
      </tp>
      <tp>
        <v>410</v>
        <stp/>
        <stp>STRIKE</stp>
        <stp>.TSLA160520C410</stp>
        <tr r="K76" s="1"/>
      </tp>
      <tp t="s">
        <v>2016-05-21</v>
        <stp/>
        <stp>EXPIRATION_DAY</stp>
        <stp>.TSLA160520C105</stp>
        <tr r="J16" s="1"/>
      </tp>
      <tp t="s">
        <v>2016-05-21</v>
        <stp/>
        <stp>EXPIRATION_DAY</stp>
        <stp>.TSLA160520C100</stp>
        <tr r="J15" s="1"/>
      </tp>
      <tp>
        <v>420</v>
        <stp/>
        <stp>STRIKE</stp>
        <stp>.TSLA160520C420</stp>
        <tr r="K77" s="1"/>
      </tp>
      <tp t="s">
        <v>2016-05-21</v>
        <stp/>
        <stp>EXPIRATION_DAY</stp>
        <stp>.TSLA160520C135</stp>
        <tr r="J22" s="1"/>
      </tp>
      <tp t="s">
        <v>2016-05-21</v>
        <stp/>
        <stp>EXPIRATION_DAY</stp>
        <stp>.TSLA160520C130</stp>
        <tr r="J21" s="1"/>
      </tp>
      <tp>
        <v>430</v>
        <stp/>
        <stp>STRIKE</stp>
        <stp>.TSLA160520C430</stp>
        <tr r="K78" s="1"/>
      </tp>
      <tp t="s">
        <v>2016-05-21</v>
        <stp/>
        <stp>EXPIRATION_DAY</stp>
        <stp>.TSLA160520C125</stp>
        <tr r="J20" s="1"/>
      </tp>
      <tp t="s">
        <v>2016-05-21</v>
        <stp/>
        <stp>EXPIRATION_DAY</stp>
        <stp>.TSLA160520C120</stp>
        <tr r="J19" s="1"/>
      </tp>
      <tp>
        <v>480</v>
        <stp/>
        <stp>STRIKE</stp>
        <stp>.TSLA160520C480</stp>
        <tr r="K83" s="1"/>
      </tp>
      <tp t="s">
        <v>2016-05-21</v>
        <stp/>
        <stp>EXPIRATION_DAY</stp>
        <stp>.TSLA160520C195</stp>
        <tr r="J34" s="1"/>
      </tp>
      <tp t="s">
        <v>2016-05-21</v>
        <stp/>
        <stp>EXPIRATION_DAY</stp>
        <stp>.TSLA160520C190</stp>
        <tr r="J33" s="1"/>
      </tp>
      <tp t="s">
        <v>2016-05-21</v>
        <stp/>
        <stp>EXPIRATION_DAY</stp>
        <stp>.TSLA160520C185</stp>
        <tr r="J32" s="1"/>
      </tp>
      <tp t="s">
        <v>2016-05-21</v>
        <stp/>
        <stp>EXPIRATION_DAY</stp>
        <stp>.TSLA160520C180</stp>
        <tr r="J31" s="1"/>
      </tp>
      <tp>
        <v>24.8</v>
        <stp/>
        <stp>BID</stp>
        <stp>.AAPL160715C87.5</stp>
        <tr r="F62" s="2"/>
      </tp>
      <tp>
        <v>15.6</v>
        <stp/>
        <stp>BID</stp>
        <stp>.AAPL160715C97.5</stp>
        <tr r="F66" s="2"/>
      </tp>
      <tp>
        <v>0.46</v>
        <stp/>
        <stp>BID</stp>
        <stp>.AAPL160715P87.5</stp>
        <tr r="L62" s="2"/>
      </tp>
      <tp>
        <v>1.3</v>
        <stp/>
        <stp>BID</stp>
        <stp>.AAPL160715P97.5</stp>
        <tr r="L66" s="2"/>
      </tp>
      <tp>
        <v>20.3</v>
        <stp/>
        <stp>BID</stp>
        <stp>.AAPL170616C97.5</stp>
        <tr r="F152" s="2"/>
      </tp>
      <tp>
        <v>27.4</v>
        <stp/>
        <stp>BID</stp>
        <stp>.AAPL170616C87.5</stp>
        <tr r="F148" s="2"/>
      </tp>
      <tp>
        <v>64.150000000000006</v>
        <stp/>
        <stp>BID</stp>
        <stp>.AAPL170616C47.5</stp>
        <tr r="F139" s="2"/>
      </tp>
      <tp>
        <v>7.15</v>
        <stp/>
        <stp>BID</stp>
        <stp>.AAPL170616P97.5</stp>
        <tr r="L152" s="2"/>
      </tp>
      <tp>
        <v>4.3499999999999996</v>
        <stp/>
        <stp>BID</stp>
        <stp>.AAPL170616P87.5</stp>
        <tr r="L148" s="2"/>
      </tp>
      <tp>
        <v>0.34</v>
        <stp/>
        <stp>BID</stp>
        <stp>.AAPL170616P47.5</stp>
        <tr r="L139" s="2"/>
      </tp>
      <tp>
        <v>0</v>
        <stp/>
        <stp>BID</stp>
        <stp>.AAPL7170120C130</stp>
        <tr r="F135" s="2"/>
      </tp>
      <tp>
        <v>31.55</v>
        <stp/>
        <stp>BID</stp>
        <stp>.AAPL7170120P130</stp>
        <tr r="L135" s="2"/>
      </tp>
      <tp>
        <v>2.2000000000000002</v>
        <stp/>
        <stp>BID</stp>
        <stp>.AAPL7170120C135</stp>
        <tr r="F136" s="2"/>
      </tp>
      <tp>
        <v>0</v>
        <stp/>
        <stp>BID</stp>
        <stp>.AAPL7170120P135</stp>
        <tr r="L136" s="2"/>
      </tp>
      <tp>
        <v>0</v>
        <stp/>
        <stp>BID</stp>
        <stp>.AAPL7170120C120</stp>
        <tr r="F133" s="2"/>
      </tp>
      <tp>
        <v>25</v>
        <stp/>
        <stp>BID</stp>
        <stp>.AAPL7170120P120</stp>
        <tr r="L133" s="2"/>
      </tp>
      <tp>
        <v>0</v>
        <stp/>
        <stp>BID</stp>
        <stp>.AAPL7170120C125</stp>
        <tr r="F134" s="2"/>
      </tp>
      <tp>
        <v>17</v>
        <stp/>
        <stp>BID</stp>
        <stp>.AAPL7170120P125</stp>
        <tr r="L134" s="2"/>
      </tp>
      <tp>
        <v>5.0999999999999996</v>
        <stp/>
        <stp>BID</stp>
        <stp>.AAPL7170120C110</stp>
        <tr r="F131" s="2"/>
      </tp>
      <tp>
        <v>18.25</v>
        <stp/>
        <stp>BID</stp>
        <stp>.AAPL7170120P110</stp>
        <tr r="L131" s="2"/>
      </tp>
      <tp>
        <v>0</v>
        <stp/>
        <stp>BID</stp>
        <stp>.AAPL7170120C115</stp>
        <tr r="F132" s="2"/>
      </tp>
      <tp>
        <v>21.5</v>
        <stp/>
        <stp>BID</stp>
        <stp>.AAPL7170120P115</stp>
        <tr r="L132" s="2"/>
      </tp>
      <tp>
        <v>0</v>
        <stp/>
        <stp>BID</stp>
        <stp>.AAPL7170120C100</stp>
        <tr r="F129" s="2"/>
      </tp>
      <tp>
        <v>6.8</v>
        <stp/>
        <stp>BID</stp>
        <stp>.AAPL7170120P100</stp>
        <tr r="L129" s="2"/>
      </tp>
      <tp>
        <v>8.4</v>
        <stp/>
        <stp>BID</stp>
        <stp>.AAPL7170120C105</stp>
        <tr r="F130" s="2"/>
      </tp>
      <tp>
        <v>8.3000000000000007</v>
        <stp/>
        <stp>BID</stp>
        <stp>.AAPL7170120P105</stp>
        <tr r="L130" s="2"/>
      </tp>
      <tp>
        <v>22</v>
        <stp/>
        <stp>BID</stp>
        <stp>.AAPL170616C95</stp>
        <tr r="F151" s="2"/>
      </tp>
      <tp>
        <v>27.2</v>
        <stp/>
        <stp>BID</stp>
        <stp>.AAPL160715C85</stp>
        <tr r="F61" s="2"/>
      </tp>
      <tp>
        <v>25.6</v>
        <stp/>
        <stp>BID</stp>
        <stp>.AAPL170616C90</stp>
        <tr r="F149" s="2"/>
      </tp>
      <tp>
        <v>32.1</v>
        <stp/>
        <stp>BID</stp>
        <stp>.AAPL160715C80</stp>
        <tr r="F60" s="2"/>
      </tp>
      <tp>
        <v>17.5</v>
        <stp/>
        <stp>ASK</stp>
        <stp>.AAPL160520C95</stp>
        <tr r="H26" s="2"/>
      </tp>
      <tp>
        <v>22.4</v>
        <stp/>
        <stp>ASK</stp>
        <stp>.AAPL160520C90</stp>
        <tr r="H24" s="2"/>
      </tp>
      <tp>
        <v>29.5</v>
        <stp/>
        <stp>BID</stp>
        <stp>.AAPL170616C85</stp>
        <tr r="F147" s="2"/>
      </tp>
      <tp>
        <v>17.8</v>
        <stp/>
        <stp>BID</stp>
        <stp>.AAPL160715C95</stp>
        <tr r="F65" s="2"/>
      </tp>
      <tp>
        <v>33.549999999999997</v>
        <stp/>
        <stp>BID</stp>
        <stp>.AAPL170616C80</stp>
        <tr r="F146" s="2"/>
      </tp>
      <tp>
        <v>22.4</v>
        <stp/>
        <stp>BID</stp>
        <stp>.AAPL160715C90</stp>
        <tr r="F63" s="2"/>
      </tp>
      <tp>
        <v>27.35</v>
        <stp/>
        <stp>ASK</stp>
        <stp>.AAPL160520C85</stp>
        <tr r="H22" s="2"/>
      </tp>
      <tp>
        <v>32.299999999999997</v>
        <stp/>
        <stp>ASK</stp>
        <stp>.AAPL160520C80</stp>
        <tr r="H21" s="2"/>
      </tp>
      <tp>
        <v>27.1</v>
        <stp/>
        <stp>BID</stp>
        <stp>.AAPL160520C85</stp>
        <tr r="F22" s="2"/>
      </tp>
      <tp>
        <v>32.049999999999997</v>
        <stp/>
        <stp>BID</stp>
        <stp>.AAPL160520C80</stp>
        <tr r="F21" s="2"/>
      </tp>
      <tp>
        <v>18</v>
        <stp/>
        <stp>ASK</stp>
        <stp>.AAPL160715C95</stp>
        <tr r="H65" s="2"/>
      </tp>
      <tp>
        <v>30</v>
        <stp/>
        <stp>ASK</stp>
        <stp>.AAPL170616C85</stp>
        <tr r="H147" s="2"/>
      </tp>
      <tp>
        <v>22.65</v>
        <stp/>
        <stp>ASK</stp>
        <stp>.AAPL160715C90</stp>
        <tr r="H63" s="2"/>
      </tp>
      <tp>
        <v>34.1</v>
        <stp/>
        <stp>ASK</stp>
        <stp>.AAPL170616C80</stp>
        <tr r="H146" s="2"/>
      </tp>
      <tp>
        <v>17.3</v>
        <stp/>
        <stp>BID</stp>
        <stp>.AAPL160520C95</stp>
        <tr r="F26" s="2"/>
      </tp>
      <tp>
        <v>22.2</v>
        <stp/>
        <stp>BID</stp>
        <stp>.AAPL160520C90</stp>
        <tr r="F24" s="2"/>
      </tp>
      <tp>
        <v>27.45</v>
        <stp/>
        <stp>ASK</stp>
        <stp>.AAPL160715C85</stp>
        <tr r="H61" s="2"/>
      </tp>
      <tp>
        <v>22.5</v>
        <stp/>
        <stp>ASK</stp>
        <stp>.AAPL170616C95</stp>
        <tr r="H151" s="2"/>
      </tp>
      <tp>
        <v>32.4</v>
        <stp/>
        <stp>ASK</stp>
        <stp>.AAPL160715C80</stp>
        <tr r="H60" s="2"/>
      </tp>
      <tp>
        <v>26.1</v>
        <stp/>
        <stp>ASK</stp>
        <stp>.AAPL170616C90</stp>
        <tr r="H149" s="2"/>
      </tp>
      <tp>
        <v>47</v>
        <stp/>
        <stp>BID</stp>
        <stp>.AAPL160520C65</stp>
        <tr r="F18" s="2"/>
      </tp>
      <tp>
        <v>56.65</v>
        <stp/>
        <stp>BID</stp>
        <stp>.AAPL170616C55</stp>
        <tr r="F141" s="2"/>
      </tp>
      <tp>
        <v>52</v>
        <stp/>
        <stp>BID</stp>
        <stp>.AAPL160520C60</stp>
        <tr r="F17" s="2"/>
      </tp>
      <tp>
        <v>61.65</v>
        <stp/>
        <stp>BID</stp>
        <stp>.AAPL170616C50</stp>
        <tr r="F140" s="2"/>
      </tp>
      <tp>
        <v>37.35</v>
        <stp/>
        <stp>ASK</stp>
        <stp>.AAPL160715C75</stp>
        <tr r="H59" s="2"/>
      </tp>
      <tp>
        <v>47.95</v>
        <stp/>
        <stp>ASK</stp>
        <stp>.AAPL170616C65</stp>
        <tr r="H143" s="2"/>
      </tp>
      <tp>
        <v>57.45</v>
        <stp/>
        <stp>ASK</stp>
        <stp>.AAPL160520C55</stp>
        <tr r="H16" s="2"/>
      </tp>
      <tp>
        <v>42.35</v>
        <stp/>
        <stp>ASK</stp>
        <stp>.AAPL160715C70</stp>
        <tr r="H58" s="2"/>
      </tp>
      <tp>
        <v>52.85</v>
        <stp/>
        <stp>ASK</stp>
        <stp>.AAPL170616C60</stp>
        <tr r="H142" s="2"/>
      </tp>
      <tp>
        <v>62.45</v>
        <stp/>
        <stp>ASK</stp>
        <stp>.AAPL160520C50</stp>
        <tr r="H15" s="2"/>
      </tp>
      <tp>
        <v>37</v>
        <stp/>
        <stp>BID</stp>
        <stp>.AAPL160520C75</stp>
        <tr r="F20" s="2"/>
      </tp>
      <tp>
        <v>57</v>
        <stp/>
        <stp>BID</stp>
        <stp>.AAPL160715C55</stp>
        <tr r="F55" s="2"/>
      </tp>
      <tp>
        <v>42</v>
        <stp/>
        <stp>BID</stp>
        <stp>.AAPL160520C70</stp>
        <tr r="F19" s="2"/>
      </tp>
      <tp>
        <v>62</v>
        <stp/>
        <stp>BID</stp>
        <stp>.AAPL160715C50</stp>
        <tr r="F54" s="2"/>
      </tp>
      <tp>
        <v>47.4</v>
        <stp/>
        <stp>ASK</stp>
        <stp>.AAPL160715C65</stp>
        <tr r="H57" s="2"/>
      </tp>
      <tp>
        <v>38.6</v>
        <stp/>
        <stp>ASK</stp>
        <stp>.AAPL170616C75</stp>
        <tr r="H145" s="2"/>
      </tp>
      <tp>
        <v>52.35</v>
        <stp/>
        <stp>ASK</stp>
        <stp>.AAPL160715C60</stp>
        <tr r="H56" s="2"/>
      </tp>
      <tp>
        <v>43.25</v>
        <stp/>
        <stp>ASK</stp>
        <stp>.AAPL170616C70</stp>
        <tr r="H144" s="2"/>
      </tp>
      <tp>
        <v>37.799999999999997</v>
        <stp/>
        <stp>BID</stp>
        <stp>.AAPL170616C75</stp>
        <tr r="F145" s="2"/>
      </tp>
      <tp>
        <v>47</v>
        <stp/>
        <stp>BID</stp>
        <stp>.AAPL160715C65</stp>
        <tr r="F57" s="2"/>
      </tp>
      <tp>
        <v>42.3</v>
        <stp/>
        <stp>BID</stp>
        <stp>.AAPL170616C70</stp>
        <tr r="F144" s="2"/>
      </tp>
      <tp>
        <v>52</v>
        <stp/>
        <stp>BID</stp>
        <stp>.AAPL160715C60</stp>
        <tr r="F56" s="2"/>
      </tp>
      <tp>
        <v>57.35</v>
        <stp/>
        <stp>ASK</stp>
        <stp>.AAPL160715C55</stp>
        <tr r="H55" s="2"/>
      </tp>
      <tp>
        <v>37.450000000000003</v>
        <stp/>
        <stp>ASK</stp>
        <stp>.AAPL160520C75</stp>
        <tr r="H20" s="2"/>
      </tp>
      <tp>
        <v>62.35</v>
        <stp/>
        <stp>ASK</stp>
        <stp>.AAPL160715C50</stp>
        <tr r="H54" s="2"/>
      </tp>
      <tp>
        <v>42.4</v>
        <stp/>
        <stp>ASK</stp>
        <stp>.AAPL160520C70</stp>
        <tr r="H19" s="2"/>
      </tp>
      <tp>
        <v>57</v>
        <stp/>
        <stp>BID</stp>
        <stp>.AAPL160520C55</stp>
        <tr r="F16" s="2"/>
      </tp>
      <tp>
        <v>46.95</v>
        <stp/>
        <stp>BID</stp>
        <stp>.AAPL170616C65</stp>
        <tr r="F143" s="2"/>
      </tp>
      <tp>
        <v>37.049999999999997</v>
        <stp/>
        <stp>BID</stp>
        <stp>.AAPL160715C75</stp>
        <tr r="F59" s="2"/>
      </tp>
      <tp>
        <v>62</v>
        <stp/>
        <stp>BID</stp>
        <stp>.AAPL160520C50</stp>
        <tr r="F15" s="2"/>
      </tp>
      <tp>
        <v>51.8</v>
        <stp/>
        <stp>BID</stp>
        <stp>.AAPL170616C60</stp>
        <tr r="F142" s="2"/>
      </tp>
      <tp>
        <v>42.05</v>
        <stp/>
        <stp>BID</stp>
        <stp>.AAPL160715C70</stp>
        <tr r="F58" s="2"/>
      </tp>
      <tp>
        <v>57.8</v>
        <stp/>
        <stp>ASK</stp>
        <stp>.AAPL170616C55</stp>
        <tr r="H141" s="2"/>
      </tp>
      <tp>
        <v>47.45</v>
        <stp/>
        <stp>ASK</stp>
        <stp>.AAPL160520C65</stp>
        <tr r="H18" s="2"/>
      </tp>
      <tp>
        <v>62.55</v>
        <stp/>
        <stp>ASK</stp>
        <stp>.AAPL170616C50</stp>
        <tr r="H140" s="2"/>
      </tp>
      <tp>
        <v>52.45</v>
        <stp/>
        <stp>ASK</stp>
        <stp>.AAPL160520C60</stp>
        <tr r="H17" s="2"/>
      </tp>
      <tp>
        <v>134.54</v>
        <stp/>
        <stp>52HIGH</stp>
        <stp>AAPL</stp>
        <tr r="G7" s="2"/>
      </tp>
      <tp t="s">
        <v>2016-07-16</v>
        <stp/>
        <stp>EXPIRATION_DAY</stp>
        <stp>.AAPL160715C130</stp>
        <tr r="J73" s="2"/>
      </tp>
      <tp t="s">
        <v>2016-07-16</v>
        <stp/>
        <stp>EXPIRATION_DAY</stp>
        <stp>.AAPL160715C135</stp>
        <tr r="J74" s="2"/>
      </tp>
      <tp t="s">
        <v>2016-07-16</v>
        <stp/>
        <stp>EXPIRATION_DAY</stp>
        <stp>.AAPL160715C120</stp>
        <tr r="J71" s="2"/>
      </tp>
      <tp t="s">
        <v>2016-07-16</v>
        <stp/>
        <stp>EXPIRATION_DAY</stp>
        <stp>.AAPL160715C125</stp>
        <tr r="J72" s="2"/>
      </tp>
      <tp t="s">
        <v>2016-07-16</v>
        <stp/>
        <stp>EXPIRATION_DAY</stp>
        <stp>.AAPL160715C110</stp>
        <tr r="J69" s="2"/>
      </tp>
      <tp t="s">
        <v>2016-07-16</v>
        <stp/>
        <stp>EXPIRATION_DAY</stp>
        <stp>.AAPL160715C115</stp>
        <tr r="J70" s="2"/>
      </tp>
      <tp t="s">
        <v>2016-07-16</v>
        <stp/>
        <stp>EXPIRATION_DAY</stp>
        <stp>.AAPL160715C100</stp>
        <tr r="J67" s="2"/>
      </tp>
      <tp t="s">
        <v>2016-07-16</v>
        <stp/>
        <stp>EXPIRATION_DAY</stp>
        <stp>.AAPL160715C105</stp>
        <tr r="J68" s="2"/>
      </tp>
      <tp t="s">
        <v>2016-07-16</v>
        <stp/>
        <stp>EXPIRATION_DAY</stp>
        <stp>.AAPL160715C170</stp>
        <tr r="J81" s="2"/>
      </tp>
      <tp t="s">
        <v>2016-07-16</v>
        <stp/>
        <stp>EXPIRATION_DAY</stp>
        <stp>.AAPL160715C175</stp>
        <tr r="J82" s="2"/>
      </tp>
      <tp t="s">
        <v>2016-07-16</v>
        <stp/>
        <stp>EXPIRATION_DAY</stp>
        <stp>.AAPL160715C160</stp>
        <tr r="J79" s="2"/>
      </tp>
      <tp t="s">
        <v>2016-07-16</v>
        <stp/>
        <stp>EXPIRATION_DAY</stp>
        <stp>.AAPL160715C165</stp>
        <tr r="J80" s="2"/>
      </tp>
      <tp t="s">
        <v>2016-07-16</v>
        <stp/>
        <stp>EXPIRATION_DAY</stp>
        <stp>.AAPL160715C150</stp>
        <tr r="J77" s="2"/>
      </tp>
      <tp t="s">
        <v>2016-07-16</v>
        <stp/>
        <stp>EXPIRATION_DAY</stp>
        <stp>.AAPL160715C155</stp>
        <tr r="J78" s="2"/>
      </tp>
      <tp t="s">
        <v>2016-07-16</v>
        <stp/>
        <stp>EXPIRATION_DAY</stp>
        <stp>.AAPL160715C140</stp>
        <tr r="J75" s="2"/>
      </tp>
      <tp t="s">
        <v>2016-07-16</v>
        <stp/>
        <stp>EXPIRATION_DAY</stp>
        <stp>.AAPL160715C145</stp>
        <tr r="J76" s="2"/>
      </tp>
      <tp t="s">
        <v>2016-07-16</v>
        <stp/>
        <stp>EXPIRATION_DAY</stp>
        <stp>.AAPL160715C180</stp>
        <tr r="J83" s="2"/>
      </tp>
      <tp>
        <v>254.3</v>
        <stp/>
        <stp>LAST</stp>
        <stp>TSLA</stp>
        <tr r="A4" s="1"/>
      </tp>
      <tp t="s">
        <v>C</v>
        <stp/>
        <stp>AX</stp>
        <stp>.AAPL170616C92.5</stp>
        <tr r="I150" s="2"/>
      </tp>
      <tp t="s">
        <v>C</v>
        <stp/>
        <stp>AX</stp>
        <stp>.AAPL170616P92.5</stp>
        <tr r="O150" s="2"/>
      </tp>
      <tp t="s">
        <v>X</v>
        <stp/>
        <stp>AX</stp>
        <stp>.AAPL160715C92.5</stp>
        <tr r="I64" s="2"/>
      </tp>
      <tp t="s">
        <v>C</v>
        <stp/>
        <stp>AX</stp>
        <stp>.AAPL160715P92.5</stp>
        <tr r="O64" s="2"/>
      </tp>
      <tp t="s">
        <v>X</v>
        <stp/>
        <stp>BX</stp>
        <stp>.AAPL160520C92.5</stp>
        <tr r="G25" s="2"/>
      </tp>
      <tp t="s">
        <v>Z</v>
        <stp/>
        <stp>BX</stp>
        <stp>.AAPL160520P92.5</stp>
        <tr r="M25" s="2"/>
      </tp>
      <tp t="s">
        <v>X</v>
        <stp/>
        <stp>BX</stp>
        <stp>.AAPL161021C92.5</stp>
        <tr r="G96" s="2"/>
      </tp>
      <tp t="s">
        <v>X</v>
        <stp/>
        <stp>BX</stp>
        <stp>.AAPL161021P92.5</stp>
        <tr r="M96" s="2"/>
      </tp>
      <tp>
        <v>28.05</v>
        <stp/>
        <stp>ASK</stp>
        <stp>.AAPL161021C85</stp>
        <tr r="H93" s="2"/>
      </tp>
      <tp>
        <v>32.700000000000003</v>
        <stp/>
        <stp>ASK</stp>
        <stp>.AAPL161021C80</stp>
        <tr r="H92" s="2"/>
      </tp>
      <tp>
        <v>19.3</v>
        <stp/>
        <stp>ASK</stp>
        <stp>.AAPL161021C95</stp>
        <tr r="H97" s="2"/>
      </tp>
      <tp>
        <v>23.55</v>
        <stp/>
        <stp>ASK</stp>
        <stp>.AAPL161021C90</stp>
        <tr r="H95" s="2"/>
      </tp>
      <tp>
        <v>19.100000000000001</v>
        <stp/>
        <stp>BID</stp>
        <stp>.AAPL161021C95</stp>
        <tr r="F97" s="2"/>
      </tp>
      <tp>
        <v>23.3</v>
        <stp/>
        <stp>BID</stp>
        <stp>.AAPL161021C90</stp>
        <tr r="F95" s="2"/>
      </tp>
      <tp>
        <v>27.7</v>
        <stp/>
        <stp>BID</stp>
        <stp>.AAPL161021C85</stp>
        <tr r="F93" s="2"/>
      </tp>
      <tp>
        <v>32.35</v>
        <stp/>
        <stp>BID</stp>
        <stp>.AAPL161021C80</stp>
        <tr r="F92" s="2"/>
      </tp>
      <tp>
        <v>37.15</v>
        <stp/>
        <stp>BID</stp>
        <stp>.AAPL161021C75</stp>
        <tr r="F91" s="2"/>
      </tp>
      <tp>
        <v>42.05</v>
        <stp/>
        <stp>BID</stp>
        <stp>.AAPL161021C70</stp>
        <tr r="F90" s="2"/>
      </tp>
      <tp>
        <v>47</v>
        <stp/>
        <stp>BID</stp>
        <stp>.AAPL161021C65</stp>
        <tr r="F89" s="2"/>
      </tp>
      <tp>
        <v>51.95</v>
        <stp/>
        <stp>BID</stp>
        <stp>.AAPL161021C60</stp>
        <tr r="F88" s="2"/>
      </tp>
      <tp>
        <v>57.4</v>
        <stp/>
        <stp>ASK</stp>
        <stp>.AAPL161021C55</stp>
        <tr r="H87" s="2"/>
      </tp>
      <tp>
        <v>62.4</v>
        <stp/>
        <stp>ASK</stp>
        <stp>.AAPL161021C50</stp>
        <tr r="H86" s="2"/>
      </tp>
      <tp>
        <v>56.95</v>
        <stp/>
        <stp>BID</stp>
        <stp>.AAPL161021C55</stp>
        <tr r="F87" s="2"/>
      </tp>
      <tp>
        <v>61.95</v>
        <stp/>
        <stp>BID</stp>
        <stp>.AAPL161021C50</stp>
        <tr r="F86" s="2"/>
      </tp>
      <tp>
        <v>47.4</v>
        <stp/>
        <stp>ASK</stp>
        <stp>.AAPL161021C65</stp>
        <tr r="H89" s="2"/>
      </tp>
      <tp>
        <v>52.4</v>
        <stp/>
        <stp>ASK</stp>
        <stp>.AAPL161021C60</stp>
        <tr r="H88" s="2"/>
      </tp>
      <tp>
        <v>37.549999999999997</v>
        <stp/>
        <stp>ASK</stp>
        <stp>.AAPL161021C75</stp>
        <tr r="H91" s="2"/>
      </tp>
      <tp>
        <v>42.45</v>
        <stp/>
        <stp>ASK</stp>
        <stp>.AAPL161021C70</stp>
        <tr r="H90" s="2"/>
      </tp>
      <tp t="s">
        <v>2017-06-17</v>
        <stp/>
        <stp>EXPIRATION_DAY</stp>
        <stp>.AAPL170616C130</stp>
        <tr r="J159" s="2"/>
      </tp>
      <tp t="s">
        <v>2017-06-17</v>
        <stp/>
        <stp>EXPIRATION_DAY</stp>
        <stp>.AAPL170616C135</stp>
        <tr r="J160" s="2"/>
      </tp>
      <tp t="s">
        <v>2016-05-21</v>
        <stp/>
        <stp>EXPIRATION_DAY</stp>
        <stp>.AAPL160520C200</stp>
        <tr r="J48" s="2"/>
      </tp>
      <tp t="s">
        <v>2017-06-17</v>
        <stp/>
        <stp>EXPIRATION_DAY</stp>
        <stp>.AAPL170616C120</stp>
        <tr r="J157" s="2"/>
      </tp>
      <tp t="s">
        <v>2017-06-17</v>
        <stp/>
        <stp>EXPIRATION_DAY</stp>
        <stp>.AAPL170616C125</stp>
        <tr r="J158" s="2"/>
      </tp>
      <tp t="s">
        <v>2016-05-21</v>
        <stp/>
        <stp>EXPIRATION_DAY</stp>
        <stp>.AAPL160520C210</stp>
        <tr r="J49" s="2"/>
      </tp>
      <tp t="s">
        <v>2017-06-17</v>
        <stp/>
        <stp>EXPIRATION_DAY</stp>
        <stp>.AAPL170616C110</stp>
        <tr r="J155" s="2"/>
      </tp>
      <tp t="s">
        <v>2017-06-17</v>
        <stp/>
        <stp>EXPIRATION_DAY</stp>
        <stp>.AAPL170616C115</stp>
        <tr r="J156" s="2"/>
      </tp>
      <tp t="s">
        <v>2017-06-17</v>
        <stp/>
        <stp>EXPIRATION_DAY</stp>
        <stp>.AAPL170616C100</stp>
        <tr r="J153" s="2"/>
      </tp>
      <tp t="s">
        <v>2017-06-17</v>
        <stp/>
        <stp>EXPIRATION_DAY</stp>
        <stp>.AAPL170616C105</stp>
        <tr r="J154" s="2"/>
      </tp>
      <tp t="s">
        <v>2017-06-17</v>
        <stp/>
        <stp>EXPIRATION_DAY</stp>
        <stp>.AAPL170616C160</stp>
        <tr r="J165" s="2"/>
      </tp>
      <tp t="s">
        <v>2017-06-17</v>
        <stp/>
        <stp>EXPIRATION_DAY</stp>
        <stp>.AAPL170616C165</stp>
        <tr r="J166" s="2"/>
      </tp>
      <tp t="s">
        <v>2017-06-17</v>
        <stp/>
        <stp>EXPIRATION_DAY</stp>
        <stp>.AAPL170616C150</stp>
        <tr r="J163" s="2"/>
      </tp>
      <tp t="s">
        <v>2017-06-17</v>
        <stp/>
        <stp>EXPIRATION_DAY</stp>
        <stp>.AAPL170616C155</stp>
        <tr r="J164" s="2"/>
      </tp>
      <tp t="s">
        <v>2017-06-17</v>
        <stp/>
        <stp>EXPIRATION_DAY</stp>
        <stp>.AAPL170616C140</stp>
        <tr r="J161" s="2"/>
      </tp>
      <tp t="s">
        <v>2017-06-17</v>
        <stp/>
        <stp>EXPIRATION_DAY</stp>
        <stp>.AAPL170616C145</stp>
        <tr r="J162" s="2"/>
      </tp>
      <tp t="s">
        <v>X</v>
        <stp/>
        <stp>BX</stp>
        <stp>.AAPL170616C92.5</stp>
        <tr r="G150" s="2"/>
      </tp>
      <tp t="s">
        <v>X</v>
        <stp/>
        <stp>BX</stp>
        <stp>.AAPL170616P92.5</stp>
        <tr r="M150" s="2"/>
      </tp>
      <tp t="s">
        <v>X</v>
        <stp/>
        <stp>BX</stp>
        <stp>.AAPL160715C92.5</stp>
        <tr r="G64" s="2"/>
      </tp>
      <tp t="s">
        <v>C</v>
        <stp/>
        <stp>BX</stp>
        <stp>.AAPL160715P92.5</stp>
        <tr r="M64" s="2"/>
      </tp>
      <tp t="s">
        <v>C</v>
        <stp/>
        <stp>AX</stp>
        <stp>.AAPL160520C92.5</stp>
        <tr r="I25" s="2"/>
      </tp>
      <tp t="s">
        <v>Z</v>
        <stp/>
        <stp>AX</stp>
        <stp>.AAPL160520P92.5</stp>
        <tr r="O25" s="2"/>
      </tp>
      <tp t="s">
        <v>C</v>
        <stp/>
        <stp>AX</stp>
        <stp>.AAPL161021C92.5</stp>
        <tr r="I96" s="2"/>
      </tp>
      <tp t="s">
        <v>Z</v>
        <stp/>
        <stp>AX</stp>
        <stp>.AAPL161021P92.5</stp>
        <tr r="O96" s="2"/>
      </tp>
      <tp t="s">
        <v>2016-05-21</v>
        <stp/>
        <stp>EXPIRATION_DAY</stp>
        <stp>.AAPL160520C105</stp>
        <tr r="J29" s="2"/>
      </tp>
      <tp t="s">
        <v>2016-05-21</v>
        <stp/>
        <stp>EXPIRATION_DAY</stp>
        <stp>.AAPL160520C100</stp>
        <tr r="J28" s="2"/>
      </tp>
      <tp>
        <v>110</v>
        <stp/>
        <stp>STRIKE</stp>
        <stp>.AAPL161021C110</stp>
        <tr r="K101" s="2"/>
      </tp>
      <tp>
        <v>115</v>
        <stp/>
        <stp>STRIKE</stp>
        <stp>.AAPL161021C115</stp>
        <tr r="K102" s="2"/>
      </tp>
      <tp t="s">
        <v>2016-05-21</v>
        <stp/>
        <stp>EXPIRATION_DAY</stp>
        <stp>.AAPL160520C115</stp>
        <tr r="J31" s="2"/>
      </tp>
      <tp t="s">
        <v>2016-05-21</v>
        <stp/>
        <stp>EXPIRATION_DAY</stp>
        <stp>.AAPL160520C110</stp>
        <tr r="J30" s="2"/>
      </tp>
      <tp>
        <v>100</v>
        <stp/>
        <stp>STRIKE</stp>
        <stp>.AAPL161021C100</stp>
        <tr r="K99" s="2"/>
      </tp>
      <tp>
        <v>105</v>
        <stp/>
        <stp>STRIKE</stp>
        <stp>.AAPL161021C105</stp>
        <tr r="K100" s="2"/>
      </tp>
      <tp t="s">
        <v>2016-05-21</v>
        <stp/>
        <stp>EXPIRATION_DAY</stp>
        <stp>.AAPL160520C125</stp>
        <tr r="J33" s="2"/>
      </tp>
      <tp t="s">
        <v>2016-05-21</v>
        <stp/>
        <stp>EXPIRATION_DAY</stp>
        <stp>.AAPL160520C120</stp>
        <tr r="J32" s="2"/>
      </tp>
      <tp>
        <v>130</v>
        <stp/>
        <stp>STRIKE</stp>
        <stp>.AAPL161021C130</stp>
        <tr r="K105" s="2"/>
      </tp>
      <tp>
        <v>135</v>
        <stp/>
        <stp>STRIKE</stp>
        <stp>.AAPL161021C135</stp>
        <tr r="K106" s="2"/>
      </tp>
      <tp t="s">
        <v>2016-05-21</v>
        <stp/>
        <stp>EXPIRATION_DAY</stp>
        <stp>.AAPL160520C135</stp>
        <tr r="J35" s="2"/>
      </tp>
      <tp t="s">
        <v>2016-05-21</v>
        <stp/>
        <stp>EXPIRATION_DAY</stp>
        <stp>.AAPL160520C130</stp>
        <tr r="J34" s="2"/>
      </tp>
      <tp>
        <v>120</v>
        <stp/>
        <stp>STRIKE</stp>
        <stp>.AAPL161021C120</stp>
        <tr r="K103" s="2"/>
      </tp>
      <tp>
        <v>125</v>
        <stp/>
        <stp>STRIKE</stp>
        <stp>.AAPL161021C125</stp>
        <tr r="K104" s="2"/>
      </tp>
      <tp t="s">
        <v>2016-05-21</v>
        <stp/>
        <stp>EXPIRATION_DAY</stp>
        <stp>.AAPL160520C145</stp>
        <tr r="J37" s="2"/>
      </tp>
      <tp t="s">
        <v>2016-05-21</v>
        <stp/>
        <stp>EXPIRATION_DAY</stp>
        <stp>.AAPL160520C140</stp>
        <tr r="J36" s="2"/>
      </tp>
      <tp>
        <v>150</v>
        <stp/>
        <stp>STRIKE</stp>
        <stp>.AAPL161021C150</stp>
        <tr r="K109" s="2"/>
      </tp>
      <tp>
        <v>155</v>
        <stp/>
        <stp>STRIKE</stp>
        <stp>.AAPL161021C155</stp>
        <tr r="K110" s="2"/>
      </tp>
      <tp t="s">
        <v>2016-05-21</v>
        <stp/>
        <stp>EXPIRATION_DAY</stp>
        <stp>.AAPL160520C155</stp>
        <tr r="J39" s="2"/>
      </tp>
      <tp t="s">
        <v>2016-05-21</v>
        <stp/>
        <stp>EXPIRATION_DAY</stp>
        <stp>.AAPL160520C150</stp>
        <tr r="J38" s="2"/>
      </tp>
      <tp>
        <v>140</v>
        <stp/>
        <stp>STRIKE</stp>
        <stp>.AAPL161021C140</stp>
        <tr r="K107" s="2"/>
      </tp>
      <tp>
        <v>145</v>
        <stp/>
        <stp>STRIKE</stp>
        <stp>.AAPL161021C145</stp>
        <tr r="K108" s="2"/>
      </tp>
      <tp t="s">
        <v>2016-05-21</v>
        <stp/>
        <stp>EXPIRATION_DAY</stp>
        <stp>.AAPL160520C165</stp>
        <tr r="J41" s="2"/>
      </tp>
      <tp t="s">
        <v>2016-05-21</v>
        <stp/>
        <stp>EXPIRATION_DAY</stp>
        <stp>.AAPL160520C160</stp>
        <tr r="J40" s="2"/>
      </tp>
      <tp>
        <v>170</v>
        <stp/>
        <stp>STRIKE</stp>
        <stp>.AAPL161021C170</stp>
        <tr r="K113" s="2"/>
      </tp>
      <tp>
        <v>175</v>
        <stp/>
        <stp>STRIKE</stp>
        <stp>.AAPL161021C175</stp>
        <tr r="K114" s="2"/>
      </tp>
      <tp t="s">
        <v>2016-05-21</v>
        <stp/>
        <stp>EXPIRATION_DAY</stp>
        <stp>.AAPL160520C175</stp>
        <tr r="J43" s="2"/>
      </tp>
      <tp t="s">
        <v>2016-05-21</v>
        <stp/>
        <stp>EXPIRATION_DAY</stp>
        <stp>.AAPL160520C170</stp>
        <tr r="J42" s="2"/>
      </tp>
      <tp>
        <v>160</v>
        <stp/>
        <stp>STRIKE</stp>
        <stp>.AAPL161021C160</stp>
        <tr r="K111" s="2"/>
      </tp>
      <tp>
        <v>165</v>
        <stp/>
        <stp>STRIKE</stp>
        <stp>.AAPL161021C165</stp>
        <tr r="K112" s="2"/>
      </tp>
      <tp t="s">
        <v>2016-05-21</v>
        <stp/>
        <stp>EXPIRATION_DAY</stp>
        <stp>.AAPL160520C185</stp>
        <tr r="J45" s="2"/>
      </tp>
      <tp t="s">
        <v>2016-05-21</v>
        <stp/>
        <stp>EXPIRATION_DAY</stp>
        <stp>.AAPL160520C180</stp>
        <tr r="J44" s="2"/>
      </tp>
      <tp>
        <v>190</v>
        <stp/>
        <stp>STRIKE</stp>
        <stp>.AAPL161021C190</stp>
        <tr r="K117" s="2"/>
      </tp>
      <tp>
        <v>195</v>
        <stp/>
        <stp>STRIKE</stp>
        <stp>.AAPL161021C195</stp>
        <tr r="K118" s="2"/>
      </tp>
      <tp t="s">
        <v>2016-05-21</v>
        <stp/>
        <stp>EXPIRATION_DAY</stp>
        <stp>.AAPL160520C195</stp>
        <tr r="J47" s="2"/>
      </tp>
      <tp t="s">
        <v>2016-05-21</v>
        <stp/>
        <stp>EXPIRATION_DAY</stp>
        <stp>.AAPL160520C190</stp>
        <tr r="J46" s="2"/>
      </tp>
      <tp>
        <v>180</v>
        <stp/>
        <stp>STRIKE</stp>
        <stp>.AAPL161021C180</stp>
        <tr r="K115" s="2"/>
      </tp>
      <tp>
        <v>185</v>
        <stp/>
        <stp>STRIKE</stp>
        <stp>.AAPL161021C185</stp>
        <tr r="K116" s="2"/>
      </tp>
      <tp>
        <v>24.6</v>
        <stp/>
        <stp>BID</stp>
        <stp>.AAPL160520C87.5</stp>
        <tr r="F23" s="2"/>
      </tp>
      <tp>
        <v>14.95</v>
        <stp/>
        <stp>BID</stp>
        <stp>.AAPL160520C97.5</stp>
        <tr r="F27" s="2"/>
      </tp>
      <tp>
        <v>0.14000000000000001</v>
        <stp/>
        <stp>BID</stp>
        <stp>.AAPL160520P87.5</stp>
        <tr r="L23" s="2"/>
      </tp>
      <tp>
        <v>0.5</v>
        <stp/>
        <stp>BID</stp>
        <stp>.AAPL160520P97.5</stp>
        <tr r="L27" s="2"/>
      </tp>
      <tp>
        <v>17.100000000000001</v>
        <stp/>
        <stp>BID</stp>
        <stp>.AAPL161021C97.5</stp>
        <tr r="F98" s="2"/>
      </tp>
      <tp>
        <v>25.5</v>
        <stp/>
        <stp>BID</stp>
        <stp>.AAPL161021C87.5</stp>
        <tr r="F94" s="2"/>
      </tp>
      <tp>
        <v>3.1</v>
        <stp/>
        <stp>BID</stp>
        <stp>.AAPL161021P97.5</stp>
        <tr r="L98" s="2"/>
      </tp>
      <tp>
        <v>1.45</v>
        <stp/>
        <stp>BID</stp>
        <stp>.AAPL161021P87.5</stp>
        <tr r="L94" s="2"/>
      </tp>
      <tp t="s">
        <v>T</v>
        <stp/>
        <stp>AX</stp>
        <stp>.AAPL170616C47.5</stp>
        <tr r="I139" s="2"/>
      </tp>
      <tp t="s">
        <v>X</v>
        <stp/>
        <stp>AX</stp>
        <stp>.AAPL170616C87.5</stp>
        <tr r="I148" s="2"/>
      </tp>
      <tp t="s">
        <v>C</v>
        <stp/>
        <stp>AX</stp>
        <stp>.AAPL170616C97.5</stp>
        <tr r="I152" s="2"/>
      </tp>
      <tp t="s">
        <v>X</v>
        <stp/>
        <stp>AX</stp>
        <stp>.AAPL170616P47.5</stp>
        <tr r="O139" s="2"/>
      </tp>
      <tp t="s">
        <v>C</v>
        <stp/>
        <stp>AX</stp>
        <stp>.AAPL170616P87.5</stp>
        <tr r="O148" s="2"/>
      </tp>
      <tp t="s">
        <v>C</v>
        <stp/>
        <stp>AX</stp>
        <stp>.AAPL170616P97.5</stp>
        <tr r="O152" s="2"/>
      </tp>
      <tp t="s">
        <v>X</v>
        <stp/>
        <stp>AX</stp>
        <stp>.AAPL160715C97.5</stp>
        <tr r="I66" s="2"/>
      </tp>
      <tp t="s">
        <v>M</v>
        <stp/>
        <stp>AX</stp>
        <stp>.AAPL160715C87.5</stp>
        <tr r="I62" s="2"/>
      </tp>
      <tp t="s">
        <v>H</v>
        <stp/>
        <stp>AX</stp>
        <stp>.AAPL160715P97.5</stp>
        <tr r="O66" s="2"/>
      </tp>
      <tp t="s">
        <v>Z</v>
        <stp/>
        <stp>AX</stp>
        <stp>.AAPL160715P87.5</stp>
        <tr r="O62" s="2"/>
      </tp>
      <tp t="s">
        <v>X</v>
        <stp/>
        <stp>BX</stp>
        <stp>.AAPL160520C97.5</stp>
        <tr r="G27" s="2"/>
      </tp>
      <tp t="s">
        <v>C</v>
        <stp/>
        <stp>BX</stp>
        <stp>.AAPL160520C87.5</stp>
        <tr r="G23" s="2"/>
      </tp>
      <tp t="s">
        <v>Z</v>
        <stp/>
        <stp>BX</stp>
        <stp>.AAPL160520P97.5</stp>
        <tr r="M27" s="2"/>
      </tp>
      <tp t="s">
        <v>Z</v>
        <stp/>
        <stp>BX</stp>
        <stp>.AAPL160520P87.5</stp>
        <tr r="M23" s="2"/>
      </tp>
      <tp t="s">
        <v>X</v>
        <stp/>
        <stp>BX</stp>
        <stp>.AAPL161021C87.5</stp>
        <tr r="G94" s="2"/>
      </tp>
      <tp t="s">
        <v>C</v>
        <stp/>
        <stp>BX</stp>
        <stp>.AAPL161021C97.5</stp>
        <tr r="G98" s="2"/>
      </tp>
      <tp t="s">
        <v>C</v>
        <stp/>
        <stp>BX</stp>
        <stp>.AAPL161021P87.5</stp>
        <tr r="M94" s="2"/>
      </tp>
      <tp t="s">
        <v>C</v>
        <stp/>
        <stp>BX</stp>
        <stp>.AAPL161021P97.5</stp>
        <tr r="M98" s="2"/>
      </tp>
      <tp t="s">
        <v>A</v>
        <stp/>
        <stp>AX</stp>
        <stp>.AAPL7170120P115</stp>
        <tr r="O132" s="2"/>
      </tp>
      <tp t="s">
        <v>Z</v>
        <stp/>
        <stp>AX</stp>
        <stp>.AAPL7170120C115</stp>
        <tr r="I132" s="2"/>
      </tp>
      <tp t="s">
        <v>Z</v>
        <stp/>
        <stp>AX</stp>
        <stp>.AAPL7170120P110</stp>
        <tr r="O131" s="2"/>
      </tp>
      <tp t="s">
        <v>Z</v>
        <stp/>
        <stp>AX</stp>
        <stp>.AAPL7170120C110</stp>
        <tr r="I131" s="2"/>
      </tp>
      <tp t="s">
        <v xml:space="preserve"> </v>
        <stp/>
        <stp>AX</stp>
        <stp>.AAPL7170120P105</stp>
        <tr r="O130" s="2"/>
      </tp>
      <tp t="s">
        <v>Z</v>
        <stp/>
        <stp>AX</stp>
        <stp>.AAPL7170120C105</stp>
        <tr r="I130" s="2"/>
      </tp>
      <tp t="s">
        <v xml:space="preserve"> </v>
        <stp/>
        <stp>AX</stp>
        <stp>.AAPL7170120P100</stp>
        <tr r="O129" s="2"/>
      </tp>
      <tp t="s">
        <v>Z</v>
        <stp/>
        <stp>AX</stp>
        <stp>.AAPL7170120C100</stp>
        <tr r="I129" s="2"/>
      </tp>
      <tp t="s">
        <v>Z</v>
        <stp/>
        <stp>AX</stp>
        <stp>.AAPL7170120P135</stp>
        <tr r="O136" s="2"/>
      </tp>
      <tp t="s">
        <v>Z</v>
        <stp/>
        <stp>AX</stp>
        <stp>.AAPL7170120C135</stp>
        <tr r="I136" s="2"/>
      </tp>
      <tp t="s">
        <v>Z</v>
        <stp/>
        <stp>AX</stp>
        <stp>.AAPL7170120P130</stp>
        <tr r="O135" s="2"/>
      </tp>
      <tp t="s">
        <v>Z</v>
        <stp/>
        <stp>AX</stp>
        <stp>.AAPL7170120C130</stp>
        <tr r="I135" s="2"/>
      </tp>
      <tp t="s">
        <v>Z</v>
        <stp/>
        <stp>AX</stp>
        <stp>.AAPL7170120P125</stp>
        <tr r="O134" s="2"/>
      </tp>
      <tp t="s">
        <v>Z</v>
        <stp/>
        <stp>AX</stp>
        <stp>.AAPL7170120C125</stp>
        <tr r="I134" s="2"/>
      </tp>
      <tp t="s">
        <v>A</v>
        <stp/>
        <stp>AX</stp>
        <stp>.AAPL7170120P120</stp>
        <tr r="O133" s="2"/>
      </tp>
      <tp t="s">
        <v>Z</v>
        <stp/>
        <stp>AX</stp>
        <stp>.AAPL7170120C120</stp>
        <tr r="I133" s="2"/>
      </tp>
      <tp>
        <v>210</v>
        <stp/>
        <stp>STRIKE</stp>
        <stp>.AAPL160520C210</stp>
        <tr r="K49" s="2"/>
      </tp>
      <tp>
        <v>125</v>
        <stp/>
        <stp>STRIKE</stp>
        <stp>.AAPL170616C125</stp>
        <tr r="K158" s="2"/>
      </tp>
      <tp>
        <v>120</v>
        <stp/>
        <stp>STRIKE</stp>
        <stp>.AAPL170616C120</stp>
        <tr r="K157" s="2"/>
      </tp>
      <tp>
        <v>200</v>
        <stp/>
        <stp>STRIKE</stp>
        <stp>.AAPL160520C200</stp>
        <tr r="K48" s="2"/>
      </tp>
      <tp>
        <v>135</v>
        <stp/>
        <stp>STRIKE</stp>
        <stp>.AAPL170616C135</stp>
        <tr r="K160" s="2"/>
      </tp>
      <tp>
        <v>130</v>
        <stp/>
        <stp>STRIKE</stp>
        <stp>.AAPL170616C130</stp>
        <tr r="K159" s="2"/>
      </tp>
      <tp>
        <v>105</v>
        <stp/>
        <stp>STRIKE</stp>
        <stp>.AAPL170616C105</stp>
        <tr r="K154" s="2"/>
      </tp>
      <tp>
        <v>100</v>
        <stp/>
        <stp>STRIKE</stp>
        <stp>.AAPL170616C100</stp>
        <tr r="K153" s="2"/>
      </tp>
      <tp>
        <v>115</v>
        <stp/>
        <stp>STRIKE</stp>
        <stp>.AAPL170616C115</stp>
        <tr r="K156" s="2"/>
      </tp>
      <tp>
        <v>110</v>
        <stp/>
        <stp>STRIKE</stp>
        <stp>.AAPL170616C110</stp>
        <tr r="K155" s="2"/>
      </tp>
      <tp>
        <v>165</v>
        <stp/>
        <stp>STRIKE</stp>
        <stp>.AAPL170616C165</stp>
        <tr r="K166" s="2"/>
      </tp>
      <tp>
        <v>160</v>
        <stp/>
        <stp>STRIKE</stp>
        <stp>.AAPL170616C160</stp>
        <tr r="K165" s="2"/>
      </tp>
      <tp>
        <v>145</v>
        <stp/>
        <stp>STRIKE</stp>
        <stp>.AAPL170616C145</stp>
        <tr r="K162" s="2"/>
      </tp>
      <tp>
        <v>140</v>
        <stp/>
        <stp>STRIKE</stp>
        <stp>.AAPL170616C140</stp>
        <tr r="K161" s="2"/>
      </tp>
      <tp>
        <v>155</v>
        <stp/>
        <stp>STRIKE</stp>
        <stp>.AAPL170616C155</stp>
        <tr r="K164" s="2"/>
      </tp>
      <tp>
        <v>150</v>
        <stp/>
        <stp>STRIKE</stp>
        <stp>.AAPL170616C150</stp>
        <tr r="K163" s="2"/>
      </tp>
      <tp>
        <v>20.05</v>
        <stp/>
        <stp>BID</stp>
        <stp>.AAPL160715C92.5</stp>
        <tr r="F64" s="2"/>
      </tp>
      <tp>
        <v>0.76</v>
        <stp/>
        <stp>BID</stp>
        <stp>.AAPL160715P92.5</stp>
        <tr r="L64" s="2"/>
      </tp>
      <tp>
        <v>23.75</v>
        <stp/>
        <stp>BID</stp>
        <stp>.AAPL170616C92.5</stp>
        <tr r="F150" s="2"/>
      </tp>
      <tp>
        <v>5.6</v>
        <stp/>
        <stp>BID</stp>
        <stp>.AAPL170616P92.5</stp>
        <tr r="L150" s="2"/>
      </tp>
      <tp>
        <v>110.8</v>
        <stp/>
        <stp>OPEN</stp>
        <stp>AAPL</stp>
        <tr r="J4" s="2"/>
      </tp>
      <tp>
        <v>125</v>
        <stp/>
        <stp>STRIKE</stp>
        <stp>.AAPL160715C125</stp>
        <tr r="K72" s="2"/>
      </tp>
      <tp>
        <v>120</v>
        <stp/>
        <stp>STRIKE</stp>
        <stp>.AAPL160715C120</stp>
        <tr r="K71" s="2"/>
      </tp>
      <tp>
        <v>135</v>
        <stp/>
        <stp>STRIKE</stp>
        <stp>.AAPL160715C135</stp>
        <tr r="K74" s="2"/>
      </tp>
      <tp>
        <v>130</v>
        <stp/>
        <stp>STRIKE</stp>
        <stp>.AAPL160715C130</stp>
        <tr r="K73" s="2"/>
      </tp>
      <tp>
        <v>105</v>
        <stp/>
        <stp>STRIKE</stp>
        <stp>.AAPL160715C105</stp>
        <tr r="K68" s="2"/>
      </tp>
      <tp>
        <v>100</v>
        <stp/>
        <stp>STRIKE</stp>
        <stp>.AAPL160715C100</stp>
        <tr r="K67" s="2"/>
      </tp>
      <tp>
        <v>115</v>
        <stp/>
        <stp>STRIKE</stp>
        <stp>.AAPL160715C115</stp>
        <tr r="K70" s="2"/>
      </tp>
      <tp>
        <v>110</v>
        <stp/>
        <stp>STRIKE</stp>
        <stp>.AAPL160715C110</stp>
        <tr r="K69" s="2"/>
      </tp>
      <tp>
        <v>165</v>
        <stp/>
        <stp>STRIKE</stp>
        <stp>.AAPL160715C165</stp>
        <tr r="K80" s="2"/>
      </tp>
      <tp>
        <v>160</v>
        <stp/>
        <stp>STRIKE</stp>
        <stp>.AAPL160715C160</stp>
        <tr r="K79" s="2"/>
      </tp>
      <tp>
        <v>175</v>
        <stp/>
        <stp>STRIKE</stp>
        <stp>.AAPL160715C175</stp>
        <tr r="K82" s="2"/>
      </tp>
      <tp>
        <v>170</v>
        <stp/>
        <stp>STRIKE</stp>
        <stp>.AAPL160715C170</stp>
        <tr r="K81" s="2"/>
      </tp>
      <tp>
        <v>145</v>
        <stp/>
        <stp>STRIKE</stp>
        <stp>.AAPL160715C145</stp>
        <tr r="K76" s="2"/>
      </tp>
      <tp>
        <v>140</v>
        <stp/>
        <stp>STRIKE</stp>
        <stp>.AAPL160715C140</stp>
        <tr r="K75" s="2"/>
      </tp>
      <tp>
        <v>155</v>
        <stp/>
        <stp>STRIKE</stp>
        <stp>.AAPL160715C155</stp>
        <tr r="K78" s="2"/>
      </tp>
      <tp>
        <v>150</v>
        <stp/>
        <stp>STRIKE</stp>
        <stp>.AAPL160715C150</stp>
        <tr r="K77" s="2"/>
      </tp>
      <tp>
        <v>180</v>
        <stp/>
        <stp>STRIKE</stp>
        <stp>.AAPL160715C180</stp>
        <tr r="K83" s="2"/>
      </tp>
      <tp>
        <v>19.7</v>
        <stp/>
        <stp>BID</stp>
        <stp>.AAPL160520C92.5</stp>
        <tr r="F25" s="2"/>
      </tp>
      <tp>
        <v>0.25</v>
        <stp/>
        <stp>BID</stp>
        <stp>.AAPL160520P92.5</stp>
        <tr r="L25" s="2"/>
      </tp>
      <tp>
        <v>21.15</v>
        <stp/>
        <stp>BID</stp>
        <stp>.AAPL161021C92.5</stp>
        <tr r="F96" s="2"/>
      </tp>
      <tp>
        <v>2.13</v>
        <stp/>
        <stp>BID</stp>
        <stp>.AAPL161021P92.5</stp>
        <tr r="L96" s="2"/>
      </tp>
      <tp>
        <v>112.34</v>
        <stp/>
        <stp>HIGH</stp>
        <stp>AAPL</stp>
        <tr r="K4" s="2"/>
      </tp>
      <tp t="s">
        <v>C</v>
        <stp/>
        <stp>BX</stp>
        <stp>.AAPL170616C47.5</stp>
        <tr r="G139" s="2"/>
      </tp>
      <tp t="s">
        <v>C</v>
        <stp/>
        <stp>BX</stp>
        <stp>.AAPL170616C87.5</stp>
        <tr r="G148" s="2"/>
      </tp>
      <tp t="s">
        <v>C</v>
        <stp/>
        <stp>BX</stp>
        <stp>.AAPL170616C97.5</stp>
        <tr r="G152" s="2"/>
      </tp>
      <tp t="s">
        <v>X</v>
        <stp/>
        <stp>BX</stp>
        <stp>.AAPL170616P47.5</stp>
        <tr r="M139" s="2"/>
      </tp>
      <tp t="s">
        <v>C</v>
        <stp/>
        <stp>BX</stp>
        <stp>.AAPL170616P87.5</stp>
        <tr r="M148" s="2"/>
      </tp>
      <tp t="s">
        <v>C</v>
        <stp/>
        <stp>BX</stp>
        <stp>.AAPL170616P97.5</stp>
        <tr r="M152" s="2"/>
      </tp>
      <tp t="s">
        <v>C</v>
        <stp/>
        <stp>BX</stp>
        <stp>.AAPL160715C97.5</stp>
        <tr r="G66" s="2"/>
      </tp>
      <tp t="s">
        <v>C</v>
        <stp/>
        <stp>BX</stp>
        <stp>.AAPL160715C87.5</stp>
        <tr r="G62" s="2"/>
      </tp>
      <tp t="s">
        <v>Z</v>
        <stp/>
        <stp>BX</stp>
        <stp>.AAPL160715P97.5</stp>
        <tr r="M66" s="2"/>
      </tp>
      <tp t="s">
        <v>Z</v>
        <stp/>
        <stp>BX</stp>
        <stp>.AAPL160715P87.5</stp>
        <tr r="M62" s="2"/>
      </tp>
      <tp t="s">
        <v>X</v>
        <stp/>
        <stp>AX</stp>
        <stp>.AAPL160520C97.5</stp>
        <tr r="I27" s="2"/>
      </tp>
      <tp t="s">
        <v>A</v>
        <stp/>
        <stp>AX</stp>
        <stp>.AAPL160520C87.5</stp>
        <tr r="I23" s="2"/>
      </tp>
      <tp t="s">
        <v>H</v>
        <stp/>
        <stp>AX</stp>
        <stp>.AAPL160520P97.5</stp>
        <tr r="O27" s="2"/>
      </tp>
      <tp t="s">
        <v>Z</v>
        <stp/>
        <stp>AX</stp>
        <stp>.AAPL160520P87.5</stp>
        <tr r="O23" s="2"/>
      </tp>
      <tp t="s">
        <v>C</v>
        <stp/>
        <stp>AX</stp>
        <stp>.AAPL161021C87.5</stp>
        <tr r="I94" s="2"/>
      </tp>
      <tp t="s">
        <v>C</v>
        <stp/>
        <stp>AX</stp>
        <stp>.AAPL161021C97.5</stp>
        <tr r="I98" s="2"/>
      </tp>
      <tp t="s">
        <v>Z</v>
        <stp/>
        <stp>AX</stp>
        <stp>.AAPL161021P87.5</stp>
        <tr r="O94" s="2"/>
      </tp>
      <tp t="s">
        <v>C</v>
        <stp/>
        <stp>AX</stp>
        <stp>.AAPL161021P97.5</stp>
        <tr r="O98" s="2"/>
      </tp>
      <tp t="s">
        <v>A</v>
        <stp/>
        <stp>BX</stp>
        <stp>.AAPL7170120P115</stp>
        <tr r="M132" s="2"/>
      </tp>
      <tp t="s">
        <v>Z</v>
        <stp/>
        <stp>BX</stp>
        <stp>.AAPL7170120C115</stp>
        <tr r="G132" s="2"/>
      </tp>
      <tp t="s">
        <v>Z</v>
        <stp/>
        <stp>BX</stp>
        <stp>.AAPL7170120P110</stp>
        <tr r="M131" s="2"/>
      </tp>
      <tp t="s">
        <v>Z</v>
        <stp/>
        <stp>BX</stp>
        <stp>.AAPL7170120C110</stp>
        <tr r="G131" s="2"/>
      </tp>
      <tp t="s">
        <v>Z</v>
        <stp/>
        <stp>BX</stp>
        <stp>.AAPL7170120P105</stp>
        <tr r="M130" s="2"/>
      </tp>
      <tp t="s">
        <v>Z</v>
        <stp/>
        <stp>BX</stp>
        <stp>.AAPL7170120C105</stp>
        <tr r="G130" s="2"/>
      </tp>
      <tp t="s">
        <v>Z</v>
        <stp/>
        <stp>BX</stp>
        <stp>.AAPL7170120P100</stp>
        <tr r="M129" s="2"/>
      </tp>
      <tp t="s">
        <v>Z</v>
        <stp/>
        <stp>BX</stp>
        <stp>.AAPL7170120C100</stp>
        <tr r="G129" s="2"/>
      </tp>
      <tp t="s">
        <v>Z</v>
        <stp/>
        <stp>BX</stp>
        <stp>.AAPL7170120P135</stp>
        <tr r="M136" s="2"/>
      </tp>
      <tp t="s">
        <v>Z</v>
        <stp/>
        <stp>BX</stp>
        <stp>.AAPL7170120C135</stp>
        <tr r="G136" s="2"/>
      </tp>
      <tp t="s">
        <v>A</v>
        <stp/>
        <stp>BX</stp>
        <stp>.AAPL7170120P130</stp>
        <tr r="M135" s="2"/>
      </tp>
      <tp t="s">
        <v>Z</v>
        <stp/>
        <stp>BX</stp>
        <stp>.AAPL7170120C130</stp>
        <tr r="G135" s="2"/>
      </tp>
      <tp t="s">
        <v>Z</v>
        <stp/>
        <stp>BX</stp>
        <stp>.AAPL7170120P125</stp>
        <tr r="M134" s="2"/>
      </tp>
      <tp t="s">
        <v>Z</v>
        <stp/>
        <stp>BX</stp>
        <stp>.AAPL7170120C125</stp>
        <tr r="G134" s="2"/>
      </tp>
      <tp t="s">
        <v>A</v>
        <stp/>
        <stp>BX</stp>
        <stp>.AAPL7170120P120</stp>
        <tr r="M133" s="2"/>
      </tp>
      <tp t="s">
        <v>Z</v>
        <stp/>
        <stp>BX</stp>
        <stp>.AAPL7170120C120</stp>
        <tr r="G133" s="2"/>
      </tp>
      <tp t="s">
        <v>2016-10-22</v>
        <stp/>
        <stp>EXPIRATION_DAY</stp>
        <stp>.AAPL161021C105</stp>
        <tr r="J100" s="2"/>
      </tp>
      <tp t="s">
        <v>2016-10-22</v>
        <stp/>
        <stp>EXPIRATION_DAY</stp>
        <stp>.AAPL161021C100</stp>
        <tr r="J99" s="2"/>
      </tp>
      <tp>
        <v>110</v>
        <stp/>
        <stp>STRIKE</stp>
        <stp>.AAPL160520C110</stp>
        <tr r="K30" s="2"/>
      </tp>
      <tp>
        <v>115</v>
        <stp/>
        <stp>STRIKE</stp>
        <stp>.AAPL160520C115</stp>
        <tr r="K31" s="2"/>
      </tp>
      <tp t="s">
        <v>2016-10-22</v>
        <stp/>
        <stp>EXPIRATION_DAY</stp>
        <stp>.AAPL161021C115</stp>
        <tr r="J102" s="2"/>
      </tp>
      <tp t="s">
        <v>2016-10-22</v>
        <stp/>
        <stp>EXPIRATION_DAY</stp>
        <stp>.AAPL161021C110</stp>
        <tr r="J101" s="2"/>
      </tp>
      <tp>
        <v>100</v>
        <stp/>
        <stp>STRIKE</stp>
        <stp>.AAPL160520C100</stp>
        <tr r="K28" s="2"/>
      </tp>
      <tp>
        <v>105</v>
        <stp/>
        <stp>STRIKE</stp>
        <stp>.AAPL160520C105</stp>
        <tr r="K29" s="2"/>
      </tp>
      <tp t="s">
        <v>2016-10-22</v>
        <stp/>
        <stp>EXPIRATION_DAY</stp>
        <stp>.AAPL161021C125</stp>
        <tr r="J104" s="2"/>
      </tp>
      <tp t="s">
        <v>2016-10-22</v>
        <stp/>
        <stp>EXPIRATION_DAY</stp>
        <stp>.AAPL161021C120</stp>
        <tr r="J103" s="2"/>
      </tp>
      <tp>
        <v>130</v>
        <stp/>
        <stp>STRIKE</stp>
        <stp>.AAPL160520C130</stp>
        <tr r="K34" s="2"/>
      </tp>
      <tp>
        <v>135</v>
        <stp/>
        <stp>STRIKE</stp>
        <stp>.AAPL160520C135</stp>
        <tr r="K35" s="2"/>
      </tp>
      <tp t="s">
        <v>2016-10-22</v>
        <stp/>
        <stp>EXPIRATION_DAY</stp>
        <stp>.AAPL161021C135</stp>
        <tr r="J106" s="2"/>
      </tp>
      <tp t="s">
        <v>2016-10-22</v>
        <stp/>
        <stp>EXPIRATION_DAY</stp>
        <stp>.AAPL161021C130</stp>
        <tr r="J105" s="2"/>
      </tp>
      <tp>
        <v>120</v>
        <stp/>
        <stp>STRIKE</stp>
        <stp>.AAPL160520C120</stp>
        <tr r="K32" s="2"/>
      </tp>
      <tp>
        <v>125</v>
        <stp/>
        <stp>STRIKE</stp>
        <stp>.AAPL160520C125</stp>
        <tr r="K33" s="2"/>
      </tp>
      <tp t="s">
        <v>2016-10-22</v>
        <stp/>
        <stp>EXPIRATION_DAY</stp>
        <stp>.AAPL161021C145</stp>
        <tr r="J108" s="2"/>
      </tp>
      <tp t="s">
        <v>2016-10-22</v>
        <stp/>
        <stp>EXPIRATION_DAY</stp>
        <stp>.AAPL161021C140</stp>
        <tr r="J107" s="2"/>
      </tp>
      <tp>
        <v>150</v>
        <stp/>
        <stp>STRIKE</stp>
        <stp>.AAPL160520C150</stp>
        <tr r="K38" s="2"/>
      </tp>
      <tp>
        <v>155</v>
        <stp/>
        <stp>STRIKE</stp>
        <stp>.AAPL160520C155</stp>
        <tr r="K39" s="2"/>
      </tp>
      <tp t="s">
        <v>2016-10-22</v>
        <stp/>
        <stp>EXPIRATION_DAY</stp>
        <stp>.AAPL161021C155</stp>
        <tr r="J110" s="2"/>
      </tp>
      <tp t="s">
        <v>2016-10-22</v>
        <stp/>
        <stp>EXPIRATION_DAY</stp>
        <stp>.AAPL161021C150</stp>
        <tr r="J109" s="2"/>
      </tp>
      <tp>
        <v>140</v>
        <stp/>
        <stp>STRIKE</stp>
        <stp>.AAPL160520C140</stp>
        <tr r="K36" s="2"/>
      </tp>
      <tp>
        <v>145</v>
        <stp/>
        <stp>STRIKE</stp>
        <stp>.AAPL160520C145</stp>
        <tr r="K37" s="2"/>
      </tp>
      <tp t="s">
        <v>2016-10-22</v>
        <stp/>
        <stp>EXPIRATION_DAY</stp>
        <stp>.AAPL161021C165</stp>
        <tr r="J112" s="2"/>
      </tp>
      <tp t="s">
        <v>2016-10-22</v>
        <stp/>
        <stp>EXPIRATION_DAY</stp>
        <stp>.AAPL161021C160</stp>
        <tr r="J111" s="2"/>
      </tp>
      <tp>
        <v>170</v>
        <stp/>
        <stp>STRIKE</stp>
        <stp>.AAPL160520C170</stp>
        <tr r="K42" s="2"/>
      </tp>
      <tp>
        <v>175</v>
        <stp/>
        <stp>STRIKE</stp>
        <stp>.AAPL160520C175</stp>
        <tr r="K43" s="2"/>
      </tp>
      <tp t="s">
        <v>2016-10-22</v>
        <stp/>
        <stp>EXPIRATION_DAY</stp>
        <stp>.AAPL161021C175</stp>
        <tr r="J114" s="2"/>
      </tp>
      <tp t="s">
        <v>2016-10-22</v>
        <stp/>
        <stp>EXPIRATION_DAY</stp>
        <stp>.AAPL161021C170</stp>
        <tr r="J113" s="2"/>
      </tp>
      <tp>
        <v>160</v>
        <stp/>
        <stp>STRIKE</stp>
        <stp>.AAPL160520C160</stp>
        <tr r="K40" s="2"/>
      </tp>
      <tp>
        <v>165</v>
        <stp/>
        <stp>STRIKE</stp>
        <stp>.AAPL160520C165</stp>
        <tr r="K41" s="2"/>
      </tp>
      <tp t="s">
        <v>2016-10-22</v>
        <stp/>
        <stp>EXPIRATION_DAY</stp>
        <stp>.AAPL161021C185</stp>
        <tr r="J116" s="2"/>
      </tp>
      <tp t="s">
        <v>2016-10-22</v>
        <stp/>
        <stp>EXPIRATION_DAY</stp>
        <stp>.AAPL161021C180</stp>
        <tr r="J115" s="2"/>
      </tp>
      <tp>
        <v>190</v>
        <stp/>
        <stp>STRIKE</stp>
        <stp>.AAPL160520C190</stp>
        <tr r="K46" s="2"/>
      </tp>
      <tp>
        <v>195</v>
        <stp/>
        <stp>STRIKE</stp>
        <stp>.AAPL160520C195</stp>
        <tr r="K47" s="2"/>
      </tp>
      <tp t="s">
        <v>2016-10-22</v>
        <stp/>
        <stp>EXPIRATION_DAY</stp>
        <stp>.AAPL161021C195</stp>
        <tr r="J118" s="2"/>
      </tp>
      <tp t="s">
        <v>2016-10-22</v>
        <stp/>
        <stp>EXPIRATION_DAY</stp>
        <stp>.AAPL161021C190</stp>
        <tr r="J117" s="2"/>
      </tp>
      <tp>
        <v>180</v>
        <stp/>
        <stp>STRIKE</stp>
        <stp>.AAPL160520C180</stp>
        <tr r="K44" s="2"/>
      </tp>
      <tp>
        <v>185</v>
        <stp/>
        <stp>STRIKE</stp>
        <stp>.AAPL160520C185</stp>
        <tr r="K45" s="2"/>
      </tp>
      <tp>
        <v>0</v>
        <stp/>
        <stp>LAST</stp>
        <stp>.AAPL160520P180</stp>
        <tr r="P44" s="2"/>
      </tp>
      <tp>
        <v>0</v>
        <stp/>
        <stp>LAST</stp>
        <stp>.AAPL160520C180</stp>
        <tr r="C44" s="2"/>
      </tp>
      <tp>
        <v>0</v>
        <stp/>
        <stp>LAST</stp>
        <stp>.AAPL160520P185</stp>
        <tr r="P45" s="2"/>
      </tp>
      <tp>
        <v>0</v>
        <stp/>
        <stp>LAST</stp>
        <stp>.AAPL160520C185</stp>
        <tr r="C45" s="2"/>
      </tp>
      <tp>
        <v>0</v>
        <stp/>
        <stp>LAST</stp>
        <stp>.AAPL160520P190</stp>
        <tr r="P46" s="2"/>
      </tp>
      <tp>
        <v>0</v>
        <stp/>
        <stp>LAST</stp>
        <stp>.AAPL160520C190</stp>
        <tr r="C46" s="2"/>
      </tp>
      <tp>
        <v>0</v>
        <stp/>
        <stp>LAST</stp>
        <stp>.AAPL160520P195</stp>
        <tr r="P47" s="2"/>
      </tp>
      <tp>
        <v>0</v>
        <stp/>
        <stp>LAST</stp>
        <stp>.AAPL160520C195</stp>
        <tr r="C47" s="2"/>
      </tp>
      <tp>
        <v>0.74</v>
        <stp/>
        <stp>LAST</stp>
        <stp>.AAPL160520P100</stp>
        <tr r="P28" s="2"/>
      </tp>
      <tp>
        <v>12.7</v>
        <stp/>
        <stp>LAST</stp>
        <stp>.AAPL160520C100</stp>
        <tr r="C28" s="2"/>
      </tp>
      <tp>
        <v>1.56</v>
        <stp/>
        <stp>LAST</stp>
        <stp>.AAPL160520P105</stp>
        <tr r="P29" s="2"/>
      </tp>
      <tp>
        <v>8.4499999999999993</v>
        <stp/>
        <stp>LAST</stp>
        <stp>.AAPL160520C105</stp>
        <tr r="C29" s="2"/>
      </tp>
      <tp>
        <v>3.17</v>
        <stp/>
        <stp>LAST</stp>
        <stp>.AAPL160520P110</stp>
        <tr r="P30" s="2"/>
      </tp>
      <tp>
        <v>4.9000000000000004</v>
        <stp/>
        <stp>LAST</stp>
        <stp>.AAPL160520C110</stp>
        <tr r="C30" s="2"/>
      </tp>
      <tp>
        <v>5.65</v>
        <stp/>
        <stp>LAST</stp>
        <stp>.AAPL160520P115</stp>
        <tr r="P31" s="2"/>
      </tp>
      <tp>
        <v>2.4900000000000002</v>
        <stp/>
        <stp>LAST</stp>
        <stp>.AAPL160520C115</stp>
        <tr r="C31" s="2"/>
      </tp>
      <tp>
        <v>9.4</v>
        <stp/>
        <stp>LAST</stp>
        <stp>.AAPL160520P120</stp>
        <tr r="P32" s="2"/>
      </tp>
      <tp>
        <v>1.07</v>
        <stp/>
        <stp>LAST</stp>
        <stp>.AAPL160520C120</stp>
        <tr r="C32" s="2"/>
      </tp>
      <tp>
        <v>13.7</v>
        <stp/>
        <stp>LAST</stp>
        <stp>.AAPL160520P125</stp>
        <tr r="P33" s="2"/>
      </tp>
      <tp>
        <v>0.45</v>
        <stp/>
        <stp>LAST</stp>
        <stp>.AAPL160520C125</stp>
        <tr r="C33" s="2"/>
      </tp>
      <tp>
        <v>18.8</v>
        <stp/>
        <stp>LAST</stp>
        <stp>.AAPL160520P130</stp>
        <tr r="P34" s="2"/>
      </tp>
      <tp>
        <v>0.17</v>
        <stp/>
        <stp>LAST</stp>
        <stp>.AAPL160520C130</stp>
        <tr r="C34" s="2"/>
      </tp>
      <tp>
        <v>23.52</v>
        <stp/>
        <stp>LAST</stp>
        <stp>.AAPL160520P135</stp>
        <tr r="P35" s="2"/>
      </tp>
      <tp>
        <v>0.08</v>
        <stp/>
        <stp>LAST</stp>
        <stp>.AAPL160520C135</stp>
        <tr r="C35" s="2"/>
      </tp>
      <tp>
        <v>35.450000000000003</v>
        <stp/>
        <stp>LAST</stp>
        <stp>.AAPL160520P140</stp>
        <tr r="P36" s="2"/>
      </tp>
      <tp>
        <v>0.04</v>
        <stp/>
        <stp>LAST</stp>
        <stp>.AAPL160520C140</stp>
        <tr r="C36" s="2"/>
      </tp>
      <tp>
        <v>35.15</v>
        <stp/>
        <stp>LAST</stp>
        <stp>.AAPL160520P145</stp>
        <tr r="P37" s="2"/>
      </tp>
      <tp>
        <v>0.02</v>
        <stp/>
        <stp>LAST</stp>
        <stp>.AAPL160520C145</stp>
        <tr r="C37" s="2"/>
      </tp>
      <tp>
        <v>0</v>
        <stp/>
        <stp>LAST</stp>
        <stp>.AAPL160520P150</stp>
        <tr r="P38" s="2"/>
      </tp>
      <tp>
        <v>0.01</v>
        <stp/>
        <stp>LAST</stp>
        <stp>.AAPL160520C150</stp>
        <tr r="C38" s="2"/>
      </tp>
      <tp>
        <v>0</v>
        <stp/>
        <stp>LAST</stp>
        <stp>.AAPL160520P155</stp>
        <tr r="P39" s="2"/>
      </tp>
      <tp>
        <v>0.01</v>
        <stp/>
        <stp>LAST</stp>
        <stp>.AAPL160520C155</stp>
        <tr r="C39" s="2"/>
      </tp>
      <tp>
        <v>53.66</v>
        <stp/>
        <stp>LAST</stp>
        <stp>.AAPL160520P160</stp>
        <tr r="P40" s="2"/>
      </tp>
      <tp>
        <v>0</v>
        <stp/>
        <stp>LAST</stp>
        <stp>.AAPL160520C160</stp>
        <tr r="C40" s="2"/>
      </tp>
      <tp>
        <v>0</v>
        <stp/>
        <stp>LAST</stp>
        <stp>.AAPL160520P165</stp>
        <tr r="P41" s="2"/>
      </tp>
      <tp>
        <v>0.01</v>
        <stp/>
        <stp>LAST</stp>
        <stp>.AAPL160520C165</stp>
        <tr r="C41" s="2"/>
      </tp>
      <tp>
        <v>0</v>
        <stp/>
        <stp>LAST</stp>
        <stp>.AAPL160520P170</stp>
        <tr r="P42" s="2"/>
      </tp>
      <tp>
        <v>0</v>
        <stp/>
        <stp>LAST</stp>
        <stp>.AAPL160520C170</stp>
        <tr r="C42" s="2"/>
      </tp>
      <tp>
        <v>0</v>
        <stp/>
        <stp>LAST</stp>
        <stp>.AAPL160520P175</stp>
        <tr r="P43" s="2"/>
      </tp>
      <tp>
        <v>0</v>
        <stp/>
        <stp>LAST</stp>
        <stp>.AAPL160520C175</stp>
        <tr r="C43" s="2"/>
      </tp>
      <tp>
        <v>136.05000000000001</v>
        <stp/>
        <stp>BID</stp>
        <stp>.TSLA160520P390</stp>
        <tr r="L73" s="1"/>
      </tp>
      <tp>
        <v>0</v>
        <stp/>
        <stp>BID</stp>
        <stp>.TSLA160520C390</stp>
        <tr r="F73" s="1"/>
      </tp>
      <tp>
        <v>141.30000000000001</v>
        <stp/>
        <stp>BID</stp>
        <stp>.TSLA160520P395</stp>
        <tr r="L74" s="1"/>
      </tp>
      <tp>
        <v>0</v>
        <stp/>
        <stp>BID</stp>
        <stp>.TSLA160520C395</stp>
        <tr r="F74" s="1"/>
      </tp>
      <tp>
        <v>126.35</v>
        <stp/>
        <stp>BID</stp>
        <stp>.TSLA160520P380</stp>
        <tr r="L71" s="1"/>
      </tp>
      <tp>
        <v>0.02</v>
        <stp/>
        <stp>BID</stp>
        <stp>.TSLA160520C380</stp>
        <tr r="F71" s="1"/>
      </tp>
      <tp>
        <v>131.30000000000001</v>
        <stp/>
        <stp>BID</stp>
        <stp>.TSLA160520P385</stp>
        <tr r="L72" s="1"/>
      </tp>
      <tp>
        <v>0.09</v>
        <stp/>
        <stp>BID</stp>
        <stp>.TSLA160520C385</stp>
        <tr r="F72" s="1"/>
      </tp>
      <tp>
        <v>59.8</v>
        <stp/>
        <stp>BID</stp>
        <stp>.TSLA160520P310</stp>
        <tr r="L57" s="1"/>
      </tp>
      <tp>
        <v>2.4</v>
        <stp/>
        <stp>BID</stp>
        <stp>.TSLA160520C310</stp>
        <tr r="F57" s="1"/>
      </tp>
      <tp>
        <v>64</v>
        <stp/>
        <stp>BID</stp>
        <stp>.TSLA160520P315</stp>
        <tr r="L58" s="1"/>
      </tp>
      <tp>
        <v>2.0299999999999998</v>
        <stp/>
        <stp>BID</stp>
        <stp>.TSLA160520C315</stp>
        <tr r="F58" s="1"/>
      </tp>
      <tp>
        <v>50.9</v>
        <stp/>
        <stp>BID</stp>
        <stp>.TSLA160520P300</stp>
        <tr r="L55" s="1"/>
      </tp>
      <tp>
        <v>3.45</v>
        <stp/>
        <stp>BID</stp>
        <stp>.TSLA160520C300</stp>
        <tr r="F55" s="1"/>
      </tp>
      <tp>
        <v>55.25</v>
        <stp/>
        <stp>BID</stp>
        <stp>.TSLA160520P305</stp>
        <tr r="L56" s="1"/>
      </tp>
      <tp>
        <v>2.89</v>
        <stp/>
        <stp>BID</stp>
        <stp>.TSLA160520C305</stp>
        <tr r="F56" s="1"/>
      </tp>
      <tp>
        <v>77.3</v>
        <stp/>
        <stp>BID</stp>
        <stp>.TSLA160520P330</stp>
        <tr r="L61" s="1"/>
      </tp>
      <tp>
        <v>1.1499999999999999</v>
        <stp/>
        <stp>BID</stp>
        <stp>.TSLA160520C330</stp>
        <tr r="F61" s="1"/>
      </tp>
      <tp>
        <v>82.25</v>
        <stp/>
        <stp>BID</stp>
        <stp>.TSLA160520P335</stp>
        <tr r="L62" s="1"/>
      </tp>
      <tp>
        <v>0.7</v>
        <stp/>
        <stp>BID</stp>
        <stp>.TSLA160520C335</stp>
        <tr r="F62" s="1"/>
      </tp>
      <tp>
        <v>68.2</v>
        <stp/>
        <stp>BID</stp>
        <stp>.TSLA160520P320</stp>
        <tr r="L59" s="1"/>
      </tp>
      <tp>
        <v>1.69</v>
        <stp/>
        <stp>BID</stp>
        <stp>.TSLA160520C320</stp>
        <tr r="F59" s="1"/>
      </tp>
      <tp>
        <v>72.900000000000006</v>
        <stp/>
        <stp>BID</stp>
        <stp>.TSLA160520P325</stp>
        <tr r="L60" s="1"/>
      </tp>
      <tp>
        <v>1.41</v>
        <stp/>
        <stp>BID</stp>
        <stp>.TSLA160520C325</stp>
        <tr r="F60" s="1"/>
      </tp>
      <tp>
        <v>96.75</v>
        <stp/>
        <stp>BID</stp>
        <stp>.TSLA160520P350</stp>
        <tr r="L65" s="1"/>
      </tp>
      <tp>
        <v>0.47</v>
        <stp/>
        <stp>BID</stp>
        <stp>.TSLA160520C350</stp>
        <tr r="F65" s="1"/>
      </tp>
      <tp>
        <v>101.65</v>
        <stp/>
        <stp>BID</stp>
        <stp>.TSLA160520P355</stp>
        <tr r="L66" s="1"/>
      </tp>
      <tp>
        <v>0.24</v>
        <stp/>
        <stp>BID</stp>
        <stp>.TSLA160520C355</stp>
        <tr r="F66" s="1"/>
      </tp>
      <tp>
        <v>87.25</v>
        <stp/>
        <stp>BID</stp>
        <stp>.TSLA160520P340</stp>
        <tr r="L63" s="1"/>
      </tp>
      <tp>
        <v>0.3</v>
        <stp/>
        <stp>BID</stp>
        <stp>.TSLA160520C340</stp>
        <tr r="F63" s="1"/>
      </tp>
      <tp>
        <v>91.8</v>
        <stp/>
        <stp>BID</stp>
        <stp>.TSLA160520P345</stp>
        <tr r="L64" s="1"/>
      </tp>
      <tp>
        <v>0.47</v>
        <stp/>
        <stp>BID</stp>
        <stp>.TSLA160520C345</stp>
        <tr r="F64" s="1"/>
      </tp>
      <tp>
        <v>116.45</v>
        <stp/>
        <stp>BID</stp>
        <stp>.TSLA160520P370</stp>
        <tr r="L69" s="1"/>
      </tp>
      <tp>
        <v>0.09</v>
        <stp/>
        <stp>BID</stp>
        <stp>.TSLA160520C370</stp>
        <tr r="F69" s="1"/>
      </tp>
      <tp>
        <v>121.15</v>
        <stp/>
        <stp>BID</stp>
        <stp>.TSLA160520P375</stp>
        <tr r="L70" s="1"/>
      </tp>
      <tp>
        <v>0.05</v>
        <stp/>
        <stp>BID</stp>
        <stp>.TSLA160520C375</stp>
        <tr r="F70" s="1"/>
      </tp>
      <tp>
        <v>106.45</v>
        <stp/>
        <stp>BID</stp>
        <stp>.TSLA160520P360</stp>
        <tr r="L67" s="1"/>
      </tp>
      <tp>
        <v>0.18</v>
        <stp/>
        <stp>BID</stp>
        <stp>.TSLA160520C360</stp>
        <tr r="F67" s="1"/>
      </tp>
      <tp>
        <v>111.5</v>
        <stp/>
        <stp>BID</stp>
        <stp>.TSLA160520P365</stp>
        <tr r="L68" s="1"/>
      </tp>
      <tp>
        <v>0.13</v>
        <stp/>
        <stp>BID</stp>
        <stp>.TSLA160520C365</stp>
        <tr r="F68" s="1"/>
      </tp>
      <tp>
        <v>25.75</v>
        <stp/>
        <stp>ASK</stp>
        <stp>.AAPL161021C87.5</stp>
        <tr r="H94" s="2"/>
      </tp>
      <tp>
        <v>17.3</v>
        <stp/>
        <stp>ASK</stp>
        <stp>.AAPL161021C97.5</stp>
        <tr r="H98" s="2"/>
      </tp>
      <tp>
        <v>1.49</v>
        <stp/>
        <stp>ASK</stp>
        <stp>.AAPL161021P87.5</stp>
        <tr r="N94" s="2"/>
      </tp>
      <tp>
        <v>3.2</v>
        <stp/>
        <stp>ASK</stp>
        <stp>.AAPL161021P97.5</stp>
        <tr r="N98" s="2"/>
      </tp>
      <tp>
        <v>15.15</v>
        <stp/>
        <stp>ASK</stp>
        <stp>.AAPL160520C97.5</stp>
        <tr r="H27" s="2"/>
      </tp>
      <tp>
        <v>24.9</v>
        <stp/>
        <stp>ASK</stp>
        <stp>.AAPL160520C87.5</stp>
        <tr r="H23" s="2"/>
      </tp>
      <tp>
        <v>0.51</v>
        <stp/>
        <stp>ASK</stp>
        <stp>.AAPL160520P97.5</stp>
        <tr r="N27" s="2"/>
      </tp>
      <tp>
        <v>0.15</v>
        <stp/>
        <stp>ASK</stp>
        <stp>.AAPL160520P87.5</stp>
        <tr r="N23" s="2"/>
      </tp>
      <tp>
        <v>0.81</v>
        <stp/>
        <stp>ASK</stp>
        <stp>.TSLA160520P135</stp>
        <tr r="N22" s="1"/>
      </tp>
      <tp>
        <v>120.95</v>
        <stp/>
        <stp>ASK</stp>
        <stp>.TSLA160520C135</stp>
        <tr r="H22" s="1"/>
      </tp>
      <tp>
        <v>0.54</v>
        <stp/>
        <stp>ASK</stp>
        <stp>.TSLA160520P130</stp>
        <tr r="N21" s="1"/>
      </tp>
      <tp>
        <v>126</v>
        <stp/>
        <stp>ASK</stp>
        <stp>.TSLA160520C130</stp>
        <tr r="H21" s="1"/>
      </tp>
      <tp>
        <v>0.51</v>
        <stp/>
        <stp>ASK</stp>
        <stp>.TSLA160520P125</stp>
        <tr r="N20" s="1"/>
      </tp>
      <tp>
        <v>130.80000000000001</v>
        <stp/>
        <stp>ASK</stp>
        <stp>.TSLA160520C125</stp>
        <tr r="H20" s="1"/>
      </tp>
      <tp>
        <v>0.15</v>
        <stp/>
        <stp>ASK</stp>
        <stp>.TSLA160520P120</stp>
        <tr r="N19" s="1"/>
      </tp>
      <tp>
        <v>136</v>
        <stp/>
        <stp>ASK</stp>
        <stp>.TSLA160520C120</stp>
        <tr r="H19" s="1"/>
      </tp>
      <tp>
        <v>0.57999999999999996</v>
        <stp/>
        <stp>ASK</stp>
        <stp>.TSLA160520P115</stp>
        <tr r="N18" s="1"/>
      </tp>
      <tp>
        <v>140.80000000000001</v>
        <stp/>
        <stp>ASK</stp>
        <stp>.TSLA160520C115</stp>
        <tr r="H18" s="1"/>
      </tp>
      <tp>
        <v>0.48</v>
        <stp/>
        <stp>ASK</stp>
        <stp>.TSLA160520P110</stp>
        <tr r="N17" s="1"/>
      </tp>
      <tp>
        <v>146</v>
        <stp/>
        <stp>ASK</stp>
        <stp>.TSLA160520C110</stp>
        <tr r="H17" s="1"/>
      </tp>
      <tp>
        <v>0.37</v>
        <stp/>
        <stp>ASK</stp>
        <stp>.TSLA160520P105</stp>
        <tr r="N16" s="1"/>
      </tp>
      <tp>
        <v>150.80000000000001</v>
        <stp/>
        <stp>ASK</stp>
        <stp>.TSLA160520C105</stp>
        <tr r="H16" s="1"/>
      </tp>
      <tp>
        <v>0.11</v>
        <stp/>
        <stp>ASK</stp>
        <stp>.TSLA160520P100</stp>
        <tr r="N15" s="1"/>
      </tp>
      <tp>
        <v>155.80000000000001</v>
        <stp/>
        <stp>ASK</stp>
        <stp>.TSLA160520C100</stp>
        <tr r="H15" s="1"/>
      </tp>
      <tp>
        <v>1.05</v>
        <stp/>
        <stp>ASK</stp>
        <stp>.TSLA160520P175</stp>
        <tr r="N30" s="1"/>
      </tp>
      <tp>
        <v>80.8</v>
        <stp/>
        <stp>ASK</stp>
        <stp>.TSLA160520C175</stp>
        <tr r="H30" s="1"/>
      </tp>
      <tp>
        <v>0.95</v>
        <stp/>
        <stp>ASK</stp>
        <stp>.TSLA160520P170</stp>
        <tr r="N29" s="1"/>
      </tp>
      <tp>
        <v>86.3</v>
        <stp/>
        <stp>ASK</stp>
        <stp>.TSLA160520C170</stp>
        <tr r="H29" s="1"/>
      </tp>
      <tp>
        <v>0.83</v>
        <stp/>
        <stp>ASK</stp>
        <stp>.TSLA160520P165</stp>
        <tr r="N28" s="1"/>
      </tp>
      <tp>
        <v>90.9</v>
        <stp/>
        <stp>ASK</stp>
        <stp>.TSLA160520C165</stp>
        <tr r="H28" s="1"/>
      </tp>
      <tp>
        <v>0.87</v>
        <stp/>
        <stp>ASK</stp>
        <stp>.TSLA160520P160</stp>
        <tr r="N27" s="1"/>
      </tp>
      <tp>
        <v>95.85</v>
        <stp/>
        <stp>ASK</stp>
        <stp>.TSLA160520C160</stp>
        <tr r="H27" s="1"/>
      </tp>
      <tp>
        <v>0.95</v>
        <stp/>
        <stp>ASK</stp>
        <stp>.TSLA160520P155</stp>
        <tr r="N26" s="1"/>
      </tp>
      <tp>
        <v>101.25</v>
        <stp/>
        <stp>ASK</stp>
        <stp>.TSLA160520C155</stp>
        <tr r="H26" s="1"/>
      </tp>
      <tp>
        <v>0.5</v>
        <stp/>
        <stp>ASK</stp>
        <stp>.TSLA160520P150</stp>
        <tr r="N25" s="1"/>
      </tp>
      <tp>
        <v>105.8</v>
        <stp/>
        <stp>ASK</stp>
        <stp>.TSLA160520C150</stp>
        <tr r="H25" s="1"/>
      </tp>
      <tp>
        <v>0.65</v>
        <stp/>
        <stp>ASK</stp>
        <stp>.TSLA160520P145</stp>
        <tr r="N24" s="1"/>
      </tp>
      <tp>
        <v>110.8</v>
        <stp/>
        <stp>ASK</stp>
        <stp>.TSLA160520C145</stp>
        <tr r="H24" s="1"/>
      </tp>
      <tp>
        <v>0.85</v>
        <stp/>
        <stp>ASK</stp>
        <stp>.TSLA160520P140</stp>
        <tr r="N23" s="1"/>
      </tp>
      <tp>
        <v>116.25</v>
        <stp/>
        <stp>ASK</stp>
        <stp>.TSLA160520C140</stp>
        <tr r="H23" s="1"/>
      </tp>
      <tp>
        <v>2.2799999999999998</v>
        <stp/>
        <stp>ASK</stp>
        <stp>.TSLA160520P195</stp>
        <tr r="N34" s="1"/>
      </tp>
      <tp>
        <v>61.55</v>
        <stp/>
        <stp>ASK</stp>
        <stp>.TSLA160520C195</stp>
        <tr r="H34" s="1"/>
      </tp>
      <tp>
        <v>1.86</v>
        <stp/>
        <stp>ASK</stp>
        <stp>.TSLA160520P190</stp>
        <tr r="N33" s="1"/>
      </tp>
      <tp>
        <v>66.2</v>
        <stp/>
        <stp>ASK</stp>
        <stp>.TSLA160520C190</stp>
        <tr r="H33" s="1"/>
      </tp>
      <tp>
        <v>1.54</v>
        <stp/>
        <stp>ASK</stp>
        <stp>.TSLA160520P185</stp>
        <tr r="N32" s="1"/>
      </tp>
      <tp>
        <v>70.849999999999994</v>
        <stp/>
        <stp>ASK</stp>
        <stp>.TSLA160520C185</stp>
        <tr r="H32" s="1"/>
      </tp>
      <tp>
        <v>1.27</v>
        <stp/>
        <stp>ASK</stp>
        <stp>.TSLA160520P180</stp>
        <tr r="N31" s="1"/>
      </tp>
      <tp>
        <v>75.7</v>
        <stp/>
        <stp>ASK</stp>
        <stp>.TSLA160520C180</stp>
        <tr r="H31" s="1"/>
      </tp>
      <tp>
        <v>42.4</v>
        <stp/>
        <stp>BID</stp>
        <stp>.TSLA160520P290</stp>
        <tr r="L53" s="1"/>
      </tp>
      <tp>
        <v>4.9000000000000004</v>
        <stp/>
        <stp>BID</stp>
        <stp>.TSLA160520C290</stp>
        <tr r="F53" s="1"/>
      </tp>
      <tp>
        <v>46.6</v>
        <stp/>
        <stp>BID</stp>
        <stp>.TSLA160520P295</stp>
        <tr r="L54" s="1"/>
      </tp>
      <tp>
        <v>4.0999999999999996</v>
        <stp/>
        <stp>BID</stp>
        <stp>.TSLA160520C295</stp>
        <tr r="F54" s="1"/>
      </tp>
      <tp>
        <v>34.549999999999997</v>
        <stp/>
        <stp>BID</stp>
        <stp>.TSLA160520P280</stp>
        <tr r="L51" s="1"/>
      </tp>
      <tp>
        <v>7.05</v>
        <stp/>
        <stp>BID</stp>
        <stp>.TSLA160520C280</stp>
        <tr r="F51" s="1"/>
      </tp>
      <tp>
        <v>38.4</v>
        <stp/>
        <stp>BID</stp>
        <stp>.TSLA160520P285</stp>
        <tr r="L52" s="1"/>
      </tp>
      <tp>
        <v>5.9</v>
        <stp/>
        <stp>BID</stp>
        <stp>.TSLA160520C285</stp>
        <tr r="F52" s="1"/>
      </tp>
      <tp>
        <v>3.9</v>
        <stp/>
        <stp>BID</stp>
        <stp>.TSLA160520P210</stp>
        <tr r="L37" s="1"/>
      </tp>
      <tp>
        <v>46.6</v>
        <stp/>
        <stp>BID</stp>
        <stp>.TSLA160520C210</stp>
        <tr r="F37" s="1"/>
      </tp>
      <tp>
        <v>4.7</v>
        <stp/>
        <stp>BID</stp>
        <stp>.TSLA160520P215</stp>
        <tr r="L38" s="1"/>
      </tp>
      <tp>
        <v>42.35</v>
        <stp/>
        <stp>BID</stp>
        <stp>.TSLA160520C215</stp>
        <tr r="F38" s="1"/>
      </tp>
      <tp>
        <v>2.65</v>
        <stp/>
        <stp>BID</stp>
        <stp>.TSLA160520P200</stp>
        <tr r="L35" s="1"/>
      </tp>
      <tp>
        <v>54.15</v>
        <stp/>
        <stp>BID</stp>
        <stp>.TSLA160520C200</stp>
        <tr r="F35" s="1"/>
      </tp>
      <tp>
        <v>3.15</v>
        <stp/>
        <stp>BID</stp>
        <stp>.TSLA160520P205</stp>
        <tr r="L36" s="1"/>
      </tp>
      <tp>
        <v>50.95</v>
        <stp/>
        <stp>BID</stp>
        <stp>.TSLA160520C205</stp>
        <tr r="F36" s="1"/>
      </tp>
      <tp>
        <v>8.25</v>
        <stp/>
        <stp>BID</stp>
        <stp>.TSLA160520P230</stp>
        <tr r="L41" s="1"/>
      </tp>
      <tp>
        <v>30.8</v>
        <stp/>
        <stp>BID</stp>
        <stp>.TSLA160520C230</stp>
        <tr r="F41" s="1"/>
      </tp>
      <tp>
        <v>9.85</v>
        <stp/>
        <stp>BID</stp>
        <stp>.TSLA160520P235</stp>
        <tr r="L42" s="1"/>
      </tp>
      <tp>
        <v>27.35</v>
        <stp/>
        <stp>BID</stp>
        <stp>.TSLA160520C235</stp>
        <tr r="F42" s="1"/>
      </tp>
      <tp>
        <v>5.75</v>
        <stp/>
        <stp>BID</stp>
        <stp>.TSLA160520P220</stp>
        <tr r="L39" s="1"/>
      </tp>
      <tp>
        <v>38.299999999999997</v>
        <stp/>
        <stp>BID</stp>
        <stp>.TSLA160520C220</stp>
        <tr r="F39" s="1"/>
      </tp>
      <tp>
        <v>6.9</v>
        <stp/>
        <stp>BID</stp>
        <stp>.TSLA160520P225</stp>
        <tr r="L40" s="1"/>
      </tp>
      <tp>
        <v>34.5</v>
        <stp/>
        <stp>BID</stp>
        <stp>.TSLA160520C225</stp>
        <tr r="F40" s="1"/>
      </tp>
      <tp>
        <v>15.95</v>
        <stp/>
        <stp>BID</stp>
        <stp>.TSLA160520P250</stp>
        <tr r="L45" s="1"/>
      </tp>
      <tp>
        <v>18.399999999999999</v>
        <stp/>
        <stp>BID</stp>
        <stp>.TSLA160520C250</stp>
        <tr r="F45" s="1"/>
      </tp>
      <tp>
        <v>18.5</v>
        <stp/>
        <stp>BID</stp>
        <stp>.TSLA160520P255</stp>
        <tr r="L46" s="1"/>
      </tp>
      <tp>
        <v>15.95</v>
        <stp/>
        <stp>BID</stp>
        <stp>.TSLA160520C255</stp>
        <tr r="F46" s="1"/>
      </tp>
      <tp>
        <v>11.65</v>
        <stp/>
        <stp>BID</stp>
        <stp>.TSLA160520P240</stp>
        <tr r="L43" s="1"/>
      </tp>
      <tp>
        <v>24.15</v>
        <stp/>
        <stp>BID</stp>
        <stp>.TSLA160520C240</stp>
        <tr r="F43" s="1"/>
      </tp>
      <tp>
        <v>13.65</v>
        <stp/>
        <stp>BID</stp>
        <stp>.TSLA160520P245</stp>
        <tr r="L44" s="1"/>
      </tp>
      <tp>
        <v>21.15</v>
        <stp/>
        <stp>BID</stp>
        <stp>.TSLA160520C245</stp>
        <tr r="F44" s="1"/>
      </tp>
      <tp>
        <v>27.45</v>
        <stp/>
        <stp>BID</stp>
        <stp>.TSLA160520P270</stp>
        <tr r="L49" s="1"/>
      </tp>
      <tp>
        <v>9.9499999999999993</v>
        <stp/>
        <stp>BID</stp>
        <stp>.TSLA160520C270</stp>
        <tr r="F49" s="1"/>
      </tp>
      <tp>
        <v>30.9</v>
        <stp/>
        <stp>BID</stp>
        <stp>.TSLA160520P275</stp>
        <tr r="L50" s="1"/>
      </tp>
      <tp>
        <v>8.4</v>
        <stp/>
        <stp>BID</stp>
        <stp>.TSLA160520C275</stp>
        <tr r="F50" s="1"/>
      </tp>
      <tp>
        <v>21.3</v>
        <stp/>
        <stp>BID</stp>
        <stp>.TSLA160520P260</stp>
        <tr r="L47" s="1"/>
      </tp>
      <tp>
        <v>13.7</v>
        <stp/>
        <stp>BID</stp>
        <stp>.TSLA160520C260</stp>
        <tr r="F47" s="1"/>
      </tp>
      <tp>
        <v>24.2</v>
        <stp/>
        <stp>BID</stp>
        <stp>.TSLA160520P265</stp>
        <tr r="L48" s="1"/>
      </tp>
      <tp>
        <v>11.7</v>
        <stp/>
        <stp>BID</stp>
        <stp>.TSLA160520C265</stp>
        <tr r="F48" s="1"/>
      </tp>
      <tp>
        <v>72.25</v>
        <stp/>
        <stp>LAST</stp>
        <stp>.AAPL160715P180</stp>
        <tr r="P83" s="2"/>
      </tp>
      <tp>
        <v>7.0000000000000007E-2</v>
        <stp/>
        <stp>LAST</stp>
        <stp>.AAPL160715C180</stp>
        <tr r="C83" s="2"/>
      </tp>
      <tp>
        <v>23.75</v>
        <stp/>
        <stp>LAST</stp>
        <stp>.AAPL160715P135</stp>
        <tr r="P74" s="2"/>
      </tp>
      <tp>
        <v>0.32</v>
        <stp/>
        <stp>LAST</stp>
        <stp>.AAPL160715C135</stp>
        <tr r="C74" s="2"/>
      </tp>
      <tp>
        <v>19.45</v>
        <stp/>
        <stp>LAST</stp>
        <stp>.AAPL160715P130</stp>
        <tr r="P73" s="2"/>
      </tp>
      <tp>
        <v>0.63</v>
        <stp/>
        <stp>LAST</stp>
        <stp>.AAPL160715C130</stp>
        <tr r="C73" s="2"/>
      </tp>
      <tp>
        <v>14.52</v>
        <stp/>
        <stp>LAST</stp>
        <stp>.AAPL160715P125</stp>
        <tr r="P72" s="2"/>
      </tp>
      <tp>
        <v>1.2</v>
        <stp/>
        <stp>LAST</stp>
        <stp>.AAPL160715C125</stp>
        <tr r="C72" s="2"/>
      </tp>
      <tp>
        <v>10.91</v>
        <stp/>
        <stp>LAST</stp>
        <stp>.AAPL160715P120</stp>
        <tr r="P71" s="2"/>
      </tp>
      <tp>
        <v>2.27</v>
        <stp/>
        <stp>LAST</stp>
        <stp>.AAPL160715C120</stp>
        <tr r="C71" s="2"/>
      </tp>
      <tp>
        <v>7.12</v>
        <stp/>
        <stp>LAST</stp>
        <stp>.AAPL160715P115</stp>
        <tr r="P70" s="2"/>
      </tp>
      <tp>
        <v>3.98</v>
        <stp/>
        <stp>LAST</stp>
        <stp>.AAPL160715C115</stp>
        <tr r="C70" s="2"/>
      </tp>
      <tp>
        <v>4.6100000000000003</v>
        <stp/>
        <stp>LAST</stp>
        <stp>.AAPL160715P110</stp>
        <tr r="P69" s="2"/>
      </tp>
      <tp>
        <v>6.49</v>
        <stp/>
        <stp>LAST</stp>
        <stp>.AAPL160715C110</stp>
        <tr r="C69" s="2"/>
      </tp>
      <tp>
        <v>2.87</v>
        <stp/>
        <stp>LAST</stp>
        <stp>.AAPL160715P105</stp>
        <tr r="P68" s="2"/>
      </tp>
      <tp>
        <v>9.6199999999999992</v>
        <stp/>
        <stp>LAST</stp>
        <stp>.AAPL160715C105</stp>
        <tr r="C68" s="2"/>
      </tp>
      <tp>
        <v>1.73</v>
        <stp/>
        <stp>LAST</stp>
        <stp>.AAPL160715P100</stp>
        <tr r="P67" s="2"/>
      </tp>
      <tp>
        <v>13.55</v>
        <stp/>
        <stp>LAST</stp>
        <stp>.AAPL160715C100</stp>
        <tr r="C67" s="2"/>
      </tp>
      <tp>
        <v>28</v>
        <stp/>
        <stp>ASK</stp>
        <stp>.AAPL170616C87.5</stp>
        <tr r="H148" s="2"/>
      </tp>
      <tp>
        <v>20.75</v>
        <stp/>
        <stp>ASK</stp>
        <stp>.AAPL170616C97.5</stp>
        <tr r="H152" s="2"/>
      </tp>
      <tp>
        <v>65.05</v>
        <stp/>
        <stp>ASK</stp>
        <stp>.AAPL170616C47.5</stp>
        <tr r="H139" s="2"/>
      </tp>
      <tp>
        <v>4.5</v>
        <stp/>
        <stp>ASK</stp>
        <stp>.AAPL170616P87.5</stp>
        <tr r="N148" s="2"/>
      </tp>
      <tp>
        <v>7.35</v>
        <stp/>
        <stp>ASK</stp>
        <stp>.AAPL170616P97.5</stp>
        <tr r="N152" s="2"/>
      </tp>
      <tp>
        <v>0.56000000000000005</v>
        <stp/>
        <stp>ASK</stp>
        <stp>.AAPL170616P47.5</stp>
        <tr r="N139" s="2"/>
      </tp>
      <tp>
        <v>59</v>
        <stp/>
        <stp>LAST</stp>
        <stp>.AAPL160715P175</stp>
        <tr r="P82" s="2"/>
      </tp>
      <tp>
        <v>0.02</v>
        <stp/>
        <stp>LAST</stp>
        <stp>.AAPL160715C175</stp>
        <tr r="C82" s="2"/>
      </tp>
      <tp>
        <v>59.75</v>
        <stp/>
        <stp>LAST</stp>
        <stp>.AAPL160715P170</stp>
        <tr r="P81" s="2"/>
      </tp>
      <tp>
        <v>0.02</v>
        <stp/>
        <stp>LAST</stp>
        <stp>.AAPL160715C170</stp>
        <tr r="C81" s="2"/>
      </tp>
      <tp>
        <v>67</v>
        <stp/>
        <stp>LAST</stp>
        <stp>.AAPL160715P165</stp>
        <tr r="P80" s="2"/>
      </tp>
      <tp>
        <v>0.06</v>
        <stp/>
        <stp>LAST</stp>
        <stp>.AAPL160715C165</stp>
        <tr r="C80" s="2"/>
      </tp>
      <tp>
        <v>60.43</v>
        <stp/>
        <stp>LAST</stp>
        <stp>.AAPL160715P160</stp>
        <tr r="P79" s="2"/>
      </tp>
      <tp>
        <v>0.04</v>
        <stp/>
        <stp>LAST</stp>
        <stp>.AAPL160715C160</stp>
        <tr r="C79" s="2"/>
      </tp>
      <tp>
        <v>15.8</v>
        <stp/>
        <stp>ASK</stp>
        <stp>.AAPL160715C97.5</stp>
        <tr r="H66" s="2"/>
      </tp>
      <tp>
        <v>25.05</v>
        <stp/>
        <stp>ASK</stp>
        <stp>.AAPL160715C87.5</stp>
        <tr r="H62" s="2"/>
      </tp>
      <tp>
        <v>1.32</v>
        <stp/>
        <stp>ASK</stp>
        <stp>.AAPL160715P97.5</stp>
        <tr r="N66" s="2"/>
      </tp>
      <tp>
        <v>0.47</v>
        <stp/>
        <stp>ASK</stp>
        <stp>.AAPL160715P87.5</stp>
        <tr r="N62" s="2"/>
      </tp>
      <tp>
        <v>57.9</v>
        <stp/>
        <stp>LAST</stp>
        <stp>.AAPL160715P155</stp>
        <tr r="P78" s="2"/>
      </tp>
      <tp>
        <v>0.05</v>
        <stp/>
        <stp>LAST</stp>
        <stp>.AAPL160715C155</stp>
        <tr r="C78" s="2"/>
      </tp>
      <tp>
        <v>41.1</v>
        <stp/>
        <stp>LAST</stp>
        <stp>.AAPL160715P150</stp>
        <tr r="P77" s="2"/>
      </tp>
      <tp>
        <v>0.08</v>
        <stp/>
        <stp>LAST</stp>
        <stp>.AAPL160715C150</stp>
        <tr r="C77" s="2"/>
      </tp>
      <tp>
        <v>41.85</v>
        <stp/>
        <stp>LAST</stp>
        <stp>.AAPL160715P145</stp>
        <tr r="P76" s="2"/>
      </tp>
      <tp>
        <v>0.1</v>
        <stp/>
        <stp>LAST</stp>
        <stp>.AAPL160715C145</stp>
        <tr r="C76" s="2"/>
      </tp>
      <tp>
        <v>28.79</v>
        <stp/>
        <stp>LAST</stp>
        <stp>.AAPL160715P140</stp>
        <tr r="P75" s="2"/>
      </tp>
      <tp>
        <v>0.19</v>
        <stp/>
        <stp>LAST</stp>
        <stp>.AAPL160715C140</stp>
        <tr r="C75" s="2"/>
      </tp>
      <tp>
        <v>27.4</v>
        <stp/>
        <stp>ASK</stp>
        <stp>.AAPL7170120C100</stp>
        <tr r="H129" s="2"/>
      </tp>
      <tp t="s">
        <v>N/A</v>
        <stp/>
        <stp>ASK</stp>
        <stp>.AAPL7170120P100</stp>
        <tr r="N129" s="2"/>
      </tp>
      <tp>
        <v>11.35</v>
        <stp/>
        <stp>ASK</stp>
        <stp>.AAPL7170120C105</stp>
        <tr r="H130" s="2"/>
      </tp>
      <tp t="s">
        <v>N/A</v>
        <stp/>
        <stp>ASK</stp>
        <stp>.AAPL7170120P105</stp>
        <tr r="N130" s="2"/>
      </tp>
      <tp>
        <v>28</v>
        <stp/>
        <stp>ASK</stp>
        <stp>.AAPL7170120C110</stp>
        <tr r="H131" s="2"/>
      </tp>
      <tp>
        <v>23</v>
        <stp/>
        <stp>ASK</stp>
        <stp>.AAPL7170120P110</stp>
        <tr r="N131" s="2"/>
      </tp>
      <tp>
        <v>13.5</v>
        <stp/>
        <stp>ASK</stp>
        <stp>.AAPL7170120C115</stp>
        <tr r="H132" s="2"/>
      </tp>
      <tp>
        <v>26</v>
        <stp/>
        <stp>ASK</stp>
        <stp>.AAPL7170120P115</stp>
        <tr r="N132" s="2"/>
      </tp>
      <tp>
        <v>7.35</v>
        <stp/>
        <stp>ASK</stp>
        <stp>.AAPL7170120C120</stp>
        <tr r="H133" s="2"/>
      </tp>
      <tp>
        <v>29.5</v>
        <stp/>
        <stp>ASK</stp>
        <stp>.AAPL7170120P120</stp>
        <tr r="N133" s="2"/>
      </tp>
      <tp>
        <v>20</v>
        <stp/>
        <stp>ASK</stp>
        <stp>.AAPL7170120C125</stp>
        <tr r="H134" s="2"/>
      </tp>
      <tp>
        <v>32.950000000000003</v>
        <stp/>
        <stp>ASK</stp>
        <stp>.AAPL7170120P125</stp>
        <tr r="N134" s="2"/>
      </tp>
      <tp>
        <v>22</v>
        <stp/>
        <stp>ASK</stp>
        <stp>.AAPL7170120C130</stp>
        <tr r="H135" s="2"/>
      </tp>
      <tp>
        <v>36.35</v>
        <stp/>
        <stp>ASK</stp>
        <stp>.AAPL7170120P130</stp>
        <tr r="N135" s="2"/>
      </tp>
      <tp>
        <v>17</v>
        <stp/>
        <stp>ASK</stp>
        <stp>.AAPL7170120C135</stp>
        <tr r="H136" s="2"/>
      </tp>
      <tp>
        <v>39</v>
        <stp/>
        <stp>ASK</stp>
        <stp>.AAPL7170120P135</stp>
        <tr r="N136" s="2"/>
      </tp>
      <tp>
        <v>10.1</v>
        <stp/>
        <stp>ASK</stp>
        <stp>.TSLA160520P235</stp>
        <tr r="N42" s="1"/>
      </tp>
      <tp>
        <v>27.8</v>
        <stp/>
        <stp>ASK</stp>
        <stp>.TSLA160520C235</stp>
        <tr r="H42" s="1"/>
      </tp>
      <tp>
        <v>8.5500000000000007</v>
        <stp/>
        <stp>ASK</stp>
        <stp>.TSLA160520P230</stp>
        <tr r="N41" s="1"/>
      </tp>
      <tp>
        <v>31.3</v>
        <stp/>
        <stp>ASK</stp>
        <stp>.TSLA160520C230</stp>
        <tr r="H41" s="1"/>
      </tp>
      <tp>
        <v>7.15</v>
        <stp/>
        <stp>ASK</stp>
        <stp>.TSLA160520P225</stp>
        <tr r="N40" s="1"/>
      </tp>
      <tp>
        <v>35</v>
        <stp/>
        <stp>ASK</stp>
        <stp>.TSLA160520C225</stp>
        <tr r="H40" s="1"/>
      </tp>
      <tp>
        <v>6</v>
        <stp/>
        <stp>ASK</stp>
        <stp>.TSLA160520P220</stp>
        <tr r="N39" s="1"/>
      </tp>
      <tp>
        <v>38.799999999999997</v>
        <stp/>
        <stp>ASK</stp>
        <stp>.TSLA160520C220</stp>
        <tr r="H39" s="1"/>
      </tp>
      <tp>
        <v>5</v>
        <stp/>
        <stp>ASK</stp>
        <stp>.TSLA160520P215</stp>
        <tr r="N38" s="1"/>
      </tp>
      <tp>
        <v>42.9</v>
        <stp/>
        <stp>ASK</stp>
        <stp>.TSLA160520C215</stp>
        <tr r="H38" s="1"/>
      </tp>
      <tp>
        <v>4.0999999999999996</v>
        <stp/>
        <stp>ASK</stp>
        <stp>.TSLA160520P210</stp>
        <tr r="N37" s="1"/>
      </tp>
      <tp>
        <v>47.1</v>
        <stp/>
        <stp>ASK</stp>
        <stp>.TSLA160520C210</stp>
        <tr r="H37" s="1"/>
      </tp>
      <tp>
        <v>3.4</v>
        <stp/>
        <stp>ASK</stp>
        <stp>.TSLA160520P205</stp>
        <tr r="N36" s="1"/>
      </tp>
      <tp>
        <v>51.5</v>
        <stp/>
        <stp>ASK</stp>
        <stp>.TSLA160520C205</stp>
        <tr r="H36" s="1"/>
      </tp>
      <tp>
        <v>2.78</v>
        <stp/>
        <stp>ASK</stp>
        <stp>.TSLA160520P200</stp>
        <tr r="N35" s="1"/>
      </tp>
      <tp>
        <v>56.45</v>
        <stp/>
        <stp>ASK</stp>
        <stp>.TSLA160520C200</stp>
        <tr r="H35" s="1"/>
      </tp>
      <tp>
        <v>31.4</v>
        <stp/>
        <stp>ASK</stp>
        <stp>.TSLA160520P275</stp>
        <tr r="N50" s="1"/>
      </tp>
      <tp>
        <v>8.65</v>
        <stp/>
        <stp>ASK</stp>
        <stp>.TSLA160520C275</stp>
        <tr r="H50" s="1"/>
      </tp>
      <tp>
        <v>27.9</v>
        <stp/>
        <stp>ASK</stp>
        <stp>.TSLA160520P270</stp>
        <tr r="N49" s="1"/>
      </tp>
      <tp>
        <v>10.199999999999999</v>
        <stp/>
        <stp>ASK</stp>
        <stp>.TSLA160520C270</stp>
        <tr r="H49" s="1"/>
      </tp>
      <tp>
        <v>24.65</v>
        <stp/>
        <stp>ASK</stp>
        <stp>.TSLA160520P265</stp>
        <tr r="N48" s="1"/>
      </tp>
      <tp>
        <v>12</v>
        <stp/>
        <stp>ASK</stp>
        <stp>.TSLA160520C265</stp>
        <tr r="H48" s="1"/>
      </tp>
      <tp>
        <v>21.6</v>
        <stp/>
        <stp>ASK</stp>
        <stp>.TSLA160520P260</stp>
        <tr r="N47" s="1"/>
      </tp>
      <tp>
        <v>14</v>
        <stp/>
        <stp>ASK</stp>
        <stp>.TSLA160520C260</stp>
        <tr r="H47" s="1"/>
      </tp>
      <tp>
        <v>18.850000000000001</v>
        <stp/>
        <stp>ASK</stp>
        <stp>.TSLA160520P255</stp>
        <tr r="N46" s="1"/>
      </tp>
      <tp>
        <v>16.25</v>
        <stp/>
        <stp>ASK</stp>
        <stp>.TSLA160520C255</stp>
        <tr r="H46" s="1"/>
      </tp>
      <tp>
        <v>16.3</v>
        <stp/>
        <stp>ASK</stp>
        <stp>.TSLA160520P250</stp>
        <tr r="N45" s="1"/>
      </tp>
      <tp>
        <v>18.7</v>
        <stp/>
        <stp>ASK</stp>
        <stp>.TSLA160520C250</stp>
        <tr r="H45" s="1"/>
      </tp>
      <tp>
        <v>14</v>
        <stp/>
        <stp>ASK</stp>
        <stp>.TSLA160520P245</stp>
        <tr r="N44" s="1"/>
      </tp>
      <tp>
        <v>21.6</v>
        <stp/>
        <stp>ASK</stp>
        <stp>.TSLA160520C245</stp>
        <tr r="H44" s="1"/>
      </tp>
      <tp>
        <v>11.95</v>
        <stp/>
        <stp>ASK</stp>
        <stp>.TSLA160520P240</stp>
        <tr r="N43" s="1"/>
      </tp>
      <tp>
        <v>24.55</v>
        <stp/>
        <stp>ASK</stp>
        <stp>.TSLA160520C240</stp>
        <tr r="H43" s="1"/>
      </tp>
      <tp>
        <v>47.1</v>
        <stp/>
        <stp>ASK</stp>
        <stp>.TSLA160520P295</stp>
        <tr r="N54" s="1"/>
      </tp>
      <tp>
        <v>4.3</v>
        <stp/>
        <stp>ASK</stp>
        <stp>.TSLA160520C295</stp>
        <tr r="H54" s="1"/>
      </tp>
      <tp>
        <v>42.9</v>
        <stp/>
        <stp>ASK</stp>
        <stp>.TSLA160520P290</stp>
        <tr r="N53" s="1"/>
      </tp>
      <tp>
        <v>5.15</v>
        <stp/>
        <stp>ASK</stp>
        <stp>.TSLA160520C290</stp>
        <tr r="H53" s="1"/>
      </tp>
      <tp>
        <v>38.950000000000003</v>
        <stp/>
        <stp>ASK</stp>
        <stp>.TSLA160520P285</stp>
        <tr r="N52" s="1"/>
      </tp>
      <tp>
        <v>6.15</v>
        <stp/>
        <stp>ASK</stp>
        <stp>.TSLA160520C285</stp>
        <tr r="H52" s="1"/>
      </tp>
      <tp>
        <v>35.1</v>
        <stp/>
        <stp>ASK</stp>
        <stp>.TSLA160520P280</stp>
        <tr r="N51" s="1"/>
      </tp>
      <tp>
        <v>7.3</v>
        <stp/>
        <stp>ASK</stp>
        <stp>.TSLA160520C280</stp>
        <tr r="H51" s="1"/>
      </tp>
      <tp>
        <v>1.72</v>
        <stp/>
        <stp>BID</stp>
        <stp>.TSLA160520P190</stp>
        <tr r="L33" s="1"/>
      </tp>
      <tp>
        <v>63.5</v>
        <stp/>
        <stp>BID</stp>
        <stp>.TSLA160520C190</stp>
        <tr r="F33" s="1"/>
      </tp>
      <tp>
        <v>2.13</v>
        <stp/>
        <stp>BID</stp>
        <stp>.TSLA160520P195</stp>
        <tr r="L34" s="1"/>
      </tp>
      <tp>
        <v>58.8</v>
        <stp/>
        <stp>BID</stp>
        <stp>.TSLA160520C195</stp>
        <tr r="F34" s="1"/>
      </tp>
      <tp>
        <v>1.1000000000000001</v>
        <stp/>
        <stp>BID</stp>
        <stp>.TSLA160520P180</stp>
        <tr r="L31" s="1"/>
      </tp>
      <tp>
        <v>73.05</v>
        <stp/>
        <stp>BID</stp>
        <stp>.TSLA160520C180</stp>
        <tr r="F31" s="1"/>
      </tp>
      <tp>
        <v>1.4</v>
        <stp/>
        <stp>BID</stp>
        <stp>.TSLA160520P185</stp>
        <tr r="L32" s="1"/>
      </tp>
      <tp>
        <v>68.2</v>
        <stp/>
        <stp>BID</stp>
        <stp>.TSLA160520C185</stp>
        <tr r="F32" s="1"/>
      </tp>
      <tp>
        <v>0</v>
        <stp/>
        <stp>BID</stp>
        <stp>.TSLA160520P110</stp>
        <tr r="L17" s="1"/>
      </tp>
      <tp>
        <v>142.85</v>
        <stp/>
        <stp>BID</stp>
        <stp>.TSLA160520C110</stp>
        <tr r="F17" s="1"/>
      </tp>
      <tp>
        <v>0</v>
        <stp/>
        <stp>BID</stp>
        <stp>.TSLA160520P115</stp>
        <tr r="L18" s="1"/>
      </tp>
      <tp>
        <v>137.75</v>
        <stp/>
        <stp>BID</stp>
        <stp>.TSLA160520C115</stp>
        <tr r="F18" s="1"/>
      </tp>
      <tp>
        <v>7.0000000000000007E-2</v>
        <stp/>
        <stp>BID</stp>
        <stp>.TSLA160520P100</stp>
        <tr r="L15" s="1"/>
      </tp>
      <tp>
        <v>152.85</v>
        <stp/>
        <stp>BID</stp>
        <stp>.TSLA160520C100</stp>
        <tr r="F15" s="1"/>
      </tp>
      <tp>
        <v>0</v>
        <stp/>
        <stp>BID</stp>
        <stp>.TSLA160520P105</stp>
        <tr r="L16" s="1"/>
      </tp>
      <tp>
        <v>147.85</v>
        <stp/>
        <stp>BID</stp>
        <stp>.TSLA160520C105</stp>
        <tr r="F16" s="1"/>
      </tp>
      <tp>
        <v>0.1</v>
        <stp/>
        <stp>BID</stp>
        <stp>.TSLA160520P130</stp>
        <tr r="L21" s="1"/>
      </tp>
      <tp>
        <v>122.85</v>
        <stp/>
        <stp>BID</stp>
        <stp>.TSLA160520C130</stp>
        <tr r="F21" s="1"/>
      </tp>
      <tp>
        <v>0</v>
        <stp/>
        <stp>BID</stp>
        <stp>.TSLA160520P135</stp>
        <tr r="L22" s="1"/>
      </tp>
      <tp>
        <v>117.7</v>
        <stp/>
        <stp>BID</stp>
        <stp>.TSLA160520C135</stp>
        <tr r="F22" s="1"/>
      </tp>
      <tp>
        <v>0</v>
        <stp/>
        <stp>BID</stp>
        <stp>.TSLA160520P120</stp>
        <tr r="L19" s="1"/>
      </tp>
      <tp>
        <v>132.69999999999999</v>
        <stp/>
        <stp>BID</stp>
        <stp>.TSLA160520C120</stp>
        <tr r="F19" s="1"/>
      </tp>
      <tp>
        <v>0</v>
        <stp/>
        <stp>BID</stp>
        <stp>.TSLA160520P125</stp>
        <tr r="L20" s="1"/>
      </tp>
      <tp>
        <v>127.75</v>
        <stp/>
        <stp>BID</stp>
        <stp>.TSLA160520C125</stp>
        <tr r="F20" s="1"/>
      </tp>
      <tp>
        <v>0.31</v>
        <stp/>
        <stp>BID</stp>
        <stp>.TSLA160520P150</stp>
        <tr r="L25" s="1"/>
      </tp>
      <tp>
        <v>102.85</v>
        <stp/>
        <stp>BID</stp>
        <stp>.TSLA160520C150</stp>
        <tr r="F25" s="1"/>
      </tp>
      <tp>
        <v>0.2</v>
        <stp/>
        <stp>BID</stp>
        <stp>.TSLA160520P155</stp>
        <tr r="L26" s="1"/>
      </tp>
      <tp>
        <v>97.75</v>
        <stp/>
        <stp>BID</stp>
        <stp>.TSLA160520C155</stp>
        <tr r="F26" s="1"/>
      </tp>
      <tp>
        <v>0.1</v>
        <stp/>
        <stp>BID</stp>
        <stp>.TSLA160520P140</stp>
        <tr r="L23" s="1"/>
      </tp>
      <tp>
        <v>112.7</v>
        <stp/>
        <stp>BID</stp>
        <stp>.TSLA160520C140</stp>
        <tr r="F23" s="1"/>
      </tp>
      <tp>
        <v>0.21</v>
        <stp/>
        <stp>BID</stp>
        <stp>.TSLA160520P145</stp>
        <tr r="L24" s="1"/>
      </tp>
      <tp>
        <v>107.85</v>
        <stp/>
        <stp>BID</stp>
        <stp>.TSLA160520C145</stp>
        <tr r="F24" s="1"/>
      </tp>
      <tp>
        <v>0.67</v>
        <stp/>
        <stp>BID</stp>
        <stp>.TSLA160520P170</stp>
        <tr r="L29" s="1"/>
      </tp>
      <tp>
        <v>82.95</v>
        <stp/>
        <stp>BID</stp>
        <stp>.TSLA160520C170</stp>
        <tr r="F29" s="1"/>
      </tp>
      <tp>
        <v>0.88</v>
        <stp/>
        <stp>BID</stp>
        <stp>.TSLA160520P175</stp>
        <tr r="L30" s="1"/>
      </tp>
      <tp>
        <v>78</v>
        <stp/>
        <stp>BID</stp>
        <stp>.TSLA160520C175</stp>
        <tr r="F30" s="1"/>
      </tp>
      <tp>
        <v>0.48</v>
        <stp/>
        <stp>BID</stp>
        <stp>.TSLA160520P160</stp>
        <tr r="L27" s="1"/>
      </tp>
      <tp>
        <v>92.85</v>
        <stp/>
        <stp>BID</stp>
        <stp>.TSLA160520C160</stp>
        <tr r="F27" s="1"/>
      </tp>
      <tp>
        <v>0.6</v>
        <stp/>
        <stp>BID</stp>
        <stp>.TSLA160520P165</stp>
        <tr r="L28" s="1"/>
      </tp>
      <tp>
        <v>87.95</v>
        <stp/>
        <stp>BID</stp>
        <stp>.TSLA160520C165</stp>
        <tr r="F28" s="1"/>
      </tp>
      <tp>
        <v>90.85</v>
        <stp/>
        <stp>LAST</stp>
        <stp>.AAPL160520P200</stp>
        <tr r="P48" s="2"/>
      </tp>
      <tp>
        <v>0</v>
        <stp/>
        <stp>LAST</stp>
        <stp>.AAPL160520C200</stp>
        <tr r="C48" s="2"/>
      </tp>
      <tp>
        <v>29.89</v>
        <stp/>
        <stp>LAST</stp>
        <stp>.AAPL170616P135</stp>
        <tr r="P160" s="2"/>
      </tp>
      <tp>
        <v>4.5</v>
        <stp/>
        <stp>LAST</stp>
        <stp>.AAPL170616C135</stp>
        <tr r="C160" s="2"/>
      </tp>
      <tp>
        <v>25.4</v>
        <stp/>
        <stp>LAST</stp>
        <stp>.AAPL170616P130</stp>
        <tr r="P159" s="2"/>
      </tp>
      <tp>
        <v>5.6</v>
        <stp/>
        <stp>LAST</stp>
        <stp>.AAPL170616C130</stp>
        <tr r="C159" s="2"/>
      </tp>
      <tp>
        <v>100.5</v>
        <stp/>
        <stp>LAST</stp>
        <stp>.AAPL160520P210</stp>
        <tr r="P49" s="2"/>
      </tp>
      <tp>
        <v>0</v>
        <stp/>
        <stp>LAST</stp>
        <stp>.AAPL160520C210</stp>
        <tr r="C49" s="2"/>
      </tp>
      <tp>
        <v>21.31</v>
        <stp/>
        <stp>LAST</stp>
        <stp>.AAPL170616P125</stp>
        <tr r="P158" s="2"/>
      </tp>
      <tp>
        <v>7.2</v>
        <stp/>
        <stp>LAST</stp>
        <stp>.AAPL170616C125</stp>
        <tr r="C158" s="2"/>
      </tp>
      <tp>
        <v>19.45</v>
        <stp/>
        <stp>LAST</stp>
        <stp>.AAPL170616P120</stp>
        <tr r="P157" s="2"/>
      </tp>
      <tp>
        <v>8.8000000000000007</v>
        <stp/>
        <stp>LAST</stp>
        <stp>.AAPL170616C120</stp>
        <tr r="C157" s="2"/>
      </tp>
      <tp>
        <v>15.3</v>
        <stp/>
        <stp>LAST</stp>
        <stp>.AAPL170616P115</stp>
        <tr r="P156" s="2"/>
      </tp>
      <tp>
        <v>10.82</v>
        <stp/>
        <stp>LAST</stp>
        <stp>.AAPL170616C115</stp>
        <tr r="C156" s="2"/>
      </tp>
      <tp>
        <v>12.3</v>
        <stp/>
        <stp>LAST</stp>
        <stp>.AAPL170616P110</stp>
        <tr r="P155" s="2"/>
      </tp>
      <tp>
        <v>13.25</v>
        <stp/>
        <stp>LAST</stp>
        <stp>.AAPL170616C110</stp>
        <tr r="C155" s="2"/>
      </tp>
      <tp>
        <v>10.57</v>
        <stp/>
        <stp>LAST</stp>
        <stp>.AAPL170616P105</stp>
        <tr r="P154" s="2"/>
      </tp>
      <tp>
        <v>16.03</v>
        <stp/>
        <stp>LAST</stp>
        <stp>.AAPL170616C105</stp>
        <tr r="C154" s="2"/>
      </tp>
      <tp>
        <v>8.0500000000000007</v>
        <stp/>
        <stp>LAST</stp>
        <stp>.AAPL170616P100</stp>
        <tr r="P153" s="2"/>
      </tp>
      <tp>
        <v>18.55</v>
        <stp/>
        <stp>LAST</stp>
        <stp>.AAPL170616C100</stp>
        <tr r="C153" s="2"/>
      </tp>
      <tp>
        <v>56.54</v>
        <stp/>
        <stp>LAST</stp>
        <stp>.AAPL170616P165</stp>
        <tr r="P166" s="2"/>
      </tp>
      <tp>
        <v>0.85</v>
        <stp/>
        <stp>LAST</stp>
        <stp>.AAPL170616C165</stp>
        <tr r="C166" s="2"/>
      </tp>
      <tp>
        <v>0</v>
        <stp/>
        <stp>LAST</stp>
        <stp>.AAPL170616P160</stp>
        <tr r="P165" s="2"/>
      </tp>
      <tp>
        <v>1.1299999999999999</v>
        <stp/>
        <stp>LAST</stp>
        <stp>.AAPL170616C160</stp>
        <tr r="C165" s="2"/>
      </tp>
      <tp>
        <v>51.19</v>
        <stp/>
        <stp>LAST</stp>
        <stp>.AAPL170616P155</stp>
        <tr r="P164" s="2"/>
      </tp>
      <tp>
        <v>1.4</v>
        <stp/>
        <stp>LAST</stp>
        <stp>.AAPL170616C155</stp>
        <tr r="C164" s="2"/>
      </tp>
      <tp>
        <v>43.2</v>
        <stp/>
        <stp>LAST</stp>
        <stp>.AAPL170616P150</stp>
        <tr r="P163" s="2"/>
      </tp>
      <tp>
        <v>2.15</v>
        <stp/>
        <stp>LAST</stp>
        <stp>.AAPL170616C150</stp>
        <tr r="C163" s="2"/>
      </tp>
      <tp>
        <v>42</v>
        <stp/>
        <stp>LAST</stp>
        <stp>.AAPL170616P145</stp>
        <tr r="P162" s="2"/>
      </tp>
      <tp>
        <v>2.5</v>
        <stp/>
        <stp>LAST</stp>
        <stp>.AAPL170616C145</stp>
        <tr r="C162" s="2"/>
      </tp>
      <tp>
        <v>34.6</v>
        <stp/>
        <stp>LAST</stp>
        <stp>.AAPL170616P140</stp>
        <tr r="P161" s="2"/>
      </tp>
      <tp>
        <v>3.51</v>
        <stp/>
        <stp>LAST</stp>
        <stp>.AAPL170616C140</stp>
        <tr r="C161" s="2"/>
      </tp>
      <tp>
        <v>85.3</v>
        <stp/>
        <stp>ASK</stp>
        <stp>.TSLA160520P335</stp>
        <tr r="N62" s="1"/>
      </tp>
      <tp>
        <v>1.0900000000000001</v>
        <stp/>
        <stp>ASK</stp>
        <stp>.TSLA160520C335</stp>
        <tr r="H62" s="1"/>
      </tp>
      <tp>
        <v>80.25</v>
        <stp/>
        <stp>ASK</stp>
        <stp>.TSLA160520P330</stp>
        <tr r="N61" s="1"/>
      </tp>
      <tp>
        <v>1.27</v>
        <stp/>
        <stp>ASK</stp>
        <stp>.TSLA160520C330</stp>
        <tr r="H61" s="1"/>
      </tp>
      <tp>
        <v>75.650000000000006</v>
        <stp/>
        <stp>ASK</stp>
        <stp>.TSLA160520P325</stp>
        <tr r="N60" s="1"/>
      </tp>
      <tp>
        <v>1.47</v>
        <stp/>
        <stp>ASK</stp>
        <stp>.TSLA160520C325</stp>
        <tr r="H60" s="1"/>
      </tp>
      <tp>
        <v>70.849999999999994</v>
        <stp/>
        <stp>ASK</stp>
        <stp>.TSLA160520P320</stp>
        <tr r="N59" s="1"/>
      </tp>
      <tp>
        <v>1.76</v>
        <stp/>
        <stp>ASK</stp>
        <stp>.TSLA160520C320</stp>
        <tr r="H59" s="1"/>
      </tp>
      <tp>
        <v>65.45</v>
        <stp/>
        <stp>ASK</stp>
        <stp>.TSLA160520P315</stp>
        <tr r="N58" s="1"/>
      </tp>
      <tp>
        <v>2.1</v>
        <stp/>
        <stp>ASK</stp>
        <stp>.TSLA160520C315</stp>
        <tr r="H58" s="1"/>
      </tp>
      <tp>
        <v>60.55</v>
        <stp/>
        <stp>ASK</stp>
        <stp>.TSLA160520P310</stp>
        <tr r="N57" s="1"/>
      </tp>
      <tp>
        <v>2.5099999999999998</v>
        <stp/>
        <stp>ASK</stp>
        <stp>.TSLA160520C310</stp>
        <tr r="H57" s="1"/>
      </tp>
      <tp>
        <v>55.95</v>
        <stp/>
        <stp>ASK</stp>
        <stp>.TSLA160520P305</stp>
        <tr r="N56" s="1"/>
      </tp>
      <tp>
        <v>3</v>
        <stp/>
        <stp>ASK</stp>
        <stp>.TSLA160520C305</stp>
        <tr r="H56" s="1"/>
      </tp>
      <tp>
        <v>51.4</v>
        <stp/>
        <stp>ASK</stp>
        <stp>.TSLA160520P300</stp>
        <tr r="N55" s="1"/>
      </tp>
      <tp>
        <v>3.6</v>
        <stp/>
        <stp>ASK</stp>
        <stp>.TSLA160520C300</stp>
        <tr r="H55" s="1"/>
      </tp>
      <tp>
        <v>124.45</v>
        <stp/>
        <stp>ASK</stp>
        <stp>.TSLA160520P375</stp>
        <tr r="N70" s="1"/>
      </tp>
      <tp>
        <v>0.87</v>
        <stp/>
        <stp>ASK</stp>
        <stp>.TSLA160520C375</stp>
        <tr r="H70" s="1"/>
      </tp>
      <tp>
        <v>119.6</v>
        <stp/>
        <stp>ASK</stp>
        <stp>.TSLA160520P370</stp>
        <tr r="N69" s="1"/>
      </tp>
      <tp>
        <v>0.46</v>
        <stp/>
        <stp>ASK</stp>
        <stp>.TSLA160520C370</stp>
        <tr r="H69" s="1"/>
      </tp>
      <tp>
        <v>114.65</v>
        <stp/>
        <stp>ASK</stp>
        <stp>.TSLA160520P365</stp>
        <tr r="N68" s="1"/>
      </tp>
      <tp>
        <v>0.5</v>
        <stp/>
        <stp>ASK</stp>
        <stp>.TSLA160520C365</stp>
        <tr r="H68" s="1"/>
      </tp>
      <tp>
        <v>109.7</v>
        <stp/>
        <stp>ASK</stp>
        <stp>.TSLA160520P360</stp>
        <tr r="N67" s="1"/>
      </tp>
      <tp>
        <v>0.56999999999999995</v>
        <stp/>
        <stp>ASK</stp>
        <stp>.TSLA160520C360</stp>
        <tr r="H67" s="1"/>
      </tp>
      <tp>
        <v>104.7</v>
        <stp/>
        <stp>ASK</stp>
        <stp>.TSLA160520P355</stp>
        <tr r="N66" s="1"/>
      </tp>
      <tp>
        <v>0.65</v>
        <stp/>
        <stp>ASK</stp>
        <stp>.TSLA160520C355</stp>
        <tr r="H66" s="1"/>
      </tp>
      <tp>
        <v>99.75</v>
        <stp/>
        <stp>ASK</stp>
        <stp>.TSLA160520P350</stp>
        <tr r="N65" s="1"/>
      </tp>
      <tp>
        <v>0.71</v>
        <stp/>
        <stp>ASK</stp>
        <stp>.TSLA160520C350</stp>
        <tr r="H65" s="1"/>
      </tp>
      <tp>
        <v>95.05</v>
        <stp/>
        <stp>ASK</stp>
        <stp>.TSLA160520P345</stp>
        <tr r="N64" s="1"/>
      </tp>
      <tp>
        <v>0.83</v>
        <stp/>
        <stp>ASK</stp>
        <stp>.TSLA160520C345</stp>
        <tr r="H64" s="1"/>
      </tp>
      <tp>
        <v>90.15</v>
        <stp/>
        <stp>ASK</stp>
        <stp>.TSLA160520P340</stp>
        <tr r="N63" s="1"/>
      </tp>
      <tp>
        <v>0.94</v>
        <stp/>
        <stp>ASK</stp>
        <stp>.TSLA160520C340</stp>
        <tr r="H63" s="1"/>
      </tp>
      <tp>
        <v>144.25</v>
        <stp/>
        <stp>ASK</stp>
        <stp>.TSLA160520P395</stp>
        <tr r="N74" s="1"/>
      </tp>
      <tp>
        <v>0.5</v>
        <stp/>
        <stp>ASK</stp>
        <stp>.TSLA160520C395</stp>
        <tr r="H74" s="1"/>
      </tp>
      <tp>
        <v>139.35</v>
        <stp/>
        <stp>ASK</stp>
        <stp>.TSLA160520P390</stp>
        <tr r="N73" s="1"/>
      </tp>
      <tp>
        <v>0.71</v>
        <stp/>
        <stp>ASK</stp>
        <stp>.TSLA160520C390</stp>
        <tr r="H73" s="1"/>
      </tp>
      <tp>
        <v>134.19999999999999</v>
        <stp/>
        <stp>ASK</stp>
        <stp>.TSLA160520P385</stp>
        <tr r="N72" s="1"/>
      </tp>
      <tp>
        <v>0.5</v>
        <stp/>
        <stp>ASK</stp>
        <stp>.TSLA160520C385</stp>
        <tr r="H72" s="1"/>
      </tp>
      <tp>
        <v>129.4</v>
        <stp/>
        <stp>ASK</stp>
        <stp>.TSLA160520P380</stp>
        <tr r="N71" s="1"/>
      </tp>
      <tp>
        <v>0.52</v>
        <stp/>
        <stp>ASK</stp>
        <stp>.TSLA160520C380</stp>
        <tr r="H71" s="1"/>
      </tp>
      <tp>
        <v>21.4</v>
        <stp/>
        <stp>ASK</stp>
        <stp>.AAPL161021C92.5</stp>
        <tr r="H96" s="2"/>
      </tp>
      <tp>
        <v>2.1800000000000002</v>
        <stp/>
        <stp>ASK</stp>
        <stp>.AAPL161021P92.5</stp>
        <tr r="N96" s="2"/>
      </tp>
      <tp>
        <v>19.95</v>
        <stp/>
        <stp>ASK</stp>
        <stp>.AAPL160520C92.5</stp>
        <tr r="H25" s="2"/>
      </tp>
      <tp>
        <v>0.26</v>
        <stp/>
        <stp>ASK</stp>
        <stp>.AAPL160520P92.5</stp>
        <tr r="N25" s="2"/>
      </tp>
      <tp>
        <v>179.2</v>
        <stp/>
        <stp>ASK</stp>
        <stp>.TSLA160520P430</stp>
        <tr r="N78" s="1"/>
      </tp>
      <tp>
        <v>0.35</v>
        <stp/>
        <stp>ASK</stp>
        <stp>.TSLA160520C430</stp>
        <tr r="H78" s="1"/>
      </tp>
      <tp>
        <v>169.4</v>
        <stp/>
        <stp>ASK</stp>
        <stp>.TSLA160520P420</stp>
        <tr r="N77" s="1"/>
      </tp>
      <tp>
        <v>0.5</v>
        <stp/>
        <stp>ASK</stp>
        <stp>.TSLA160520C420</stp>
        <tr r="H77" s="1"/>
      </tp>
      <tp>
        <v>159.4</v>
        <stp/>
        <stp>ASK</stp>
        <stp>.TSLA160520P410</stp>
        <tr r="N76" s="1"/>
      </tp>
      <tp>
        <v>0.89</v>
        <stp/>
        <stp>ASK</stp>
        <stp>.TSLA160520C410</stp>
        <tr r="H76" s="1"/>
      </tp>
      <tp>
        <v>149.4</v>
        <stp/>
        <stp>ASK</stp>
        <stp>.TSLA160520P400</stp>
        <tr r="N75" s="1"/>
      </tp>
      <tp>
        <v>0.5</v>
        <stp/>
        <stp>ASK</stp>
        <stp>.TSLA160520C400</stp>
        <tr r="H75" s="1"/>
      </tp>
      <tp>
        <v>219.1</v>
        <stp/>
        <stp>ASK</stp>
        <stp>.TSLA160520P470</stp>
        <tr r="N82" s="1"/>
      </tp>
      <tp>
        <v>0.1</v>
        <stp/>
        <stp>ASK</stp>
        <stp>.TSLA160520C470</stp>
        <tr r="H82" s="1"/>
      </tp>
      <tp>
        <v>209.1</v>
        <stp/>
        <stp>ASK</stp>
        <stp>.TSLA160520P460</stp>
        <tr r="N81" s="1"/>
      </tp>
      <tp>
        <v>0.1</v>
        <stp/>
        <stp>ASK</stp>
        <stp>.TSLA160520C460</stp>
        <tr r="H81" s="1"/>
      </tp>
      <tp>
        <v>199.05</v>
        <stp/>
        <stp>ASK</stp>
        <stp>.TSLA160520P450</stp>
        <tr r="N80" s="1"/>
      </tp>
      <tp>
        <v>1.1299999999999999</v>
        <stp/>
        <stp>ASK</stp>
        <stp>.TSLA160520C450</stp>
        <tr r="H80" s="1"/>
      </tp>
      <tp>
        <v>189.15</v>
        <stp/>
        <stp>ASK</stp>
        <stp>.TSLA160520P440</stp>
        <tr r="N79" s="1"/>
      </tp>
      <tp>
        <v>1.27</v>
        <stp/>
        <stp>ASK</stp>
        <stp>.TSLA160520C440</stp>
        <tr r="H79" s="1"/>
      </tp>
      <tp>
        <v>229.1</v>
        <stp/>
        <stp>ASK</stp>
        <stp>.TSLA160520P480</stp>
        <tr r="N83" s="1"/>
      </tp>
      <tp>
        <v>0.1</v>
        <stp/>
        <stp>ASK</stp>
        <stp>.TSLA160520C480</stp>
        <tr r="H83" s="1"/>
      </tp>
      <tp>
        <v>0</v>
        <stp/>
        <stp>LAST</stp>
        <stp>.AAPL161021P180</stp>
        <tr r="P115" s="2"/>
      </tp>
      <tp>
        <v>0</v>
        <stp/>
        <stp>LAST</stp>
        <stp>.AAPL161021C180</stp>
        <tr r="C115" s="2"/>
      </tp>
      <tp>
        <v>0</v>
        <stp/>
        <stp>LAST</stp>
        <stp>.AAPL161021P185</stp>
        <tr r="P116" s="2"/>
      </tp>
      <tp>
        <v>0</v>
        <stp/>
        <stp>LAST</stp>
        <stp>.AAPL161021C185</stp>
        <tr r="C116" s="2"/>
      </tp>
      <tp>
        <v>87.75</v>
        <stp/>
        <stp>LAST</stp>
        <stp>.AAPL161021P190</stp>
        <tr r="P117" s="2"/>
      </tp>
      <tp>
        <v>0.05</v>
        <stp/>
        <stp>LAST</stp>
        <stp>.AAPL161021C190</stp>
        <tr r="C117" s="2"/>
      </tp>
      <tp>
        <v>85.65</v>
        <stp/>
        <stp>LAST</stp>
        <stp>.AAPL161021P195</stp>
        <tr r="P118" s="2"/>
      </tp>
      <tp>
        <v>0</v>
        <stp/>
        <stp>LAST</stp>
        <stp>.AAPL161021C195</stp>
        <tr r="C118" s="2"/>
      </tp>
      <tp>
        <v>3.85</v>
        <stp/>
        <stp>LAST</stp>
        <stp>.AAPL161021P100</stp>
        <tr r="P99" s="2"/>
      </tp>
      <tp>
        <v>15.35</v>
        <stp/>
        <stp>LAST</stp>
        <stp>.AAPL161021C100</stp>
        <tr r="C99" s="2"/>
      </tp>
      <tp>
        <v>5.35</v>
        <stp/>
        <stp>LAST</stp>
        <stp>.AAPL161021P105</stp>
        <tr r="P100" s="2"/>
      </tp>
      <tp>
        <v>11.9</v>
        <stp/>
        <stp>LAST</stp>
        <stp>.AAPL161021C105</stp>
        <tr r="C100" s="2"/>
      </tp>
      <tp>
        <v>7.35</v>
        <stp/>
        <stp>LAST</stp>
        <stp>.AAPL161021P110</stp>
        <tr r="P101" s="2"/>
      </tp>
      <tp>
        <v>8.9</v>
        <stp/>
        <stp>LAST</stp>
        <stp>.AAPL161021C110</stp>
        <tr r="C101" s="2"/>
      </tp>
      <tp>
        <v>9.9</v>
        <stp/>
        <stp>LAST</stp>
        <stp>.AAPL161021P115</stp>
        <tr r="P102" s="2"/>
      </tp>
      <tp>
        <v>6.47</v>
        <stp/>
        <stp>LAST</stp>
        <stp>.AAPL161021C115</stp>
        <tr r="C102" s="2"/>
      </tp>
      <tp>
        <v>13.06</v>
        <stp/>
        <stp>LAST</stp>
        <stp>.AAPL161021P120</stp>
        <tr r="P103" s="2"/>
      </tp>
      <tp>
        <v>4.5</v>
        <stp/>
        <stp>LAST</stp>
        <stp>.AAPL161021C120</stp>
        <tr r="C103" s="2"/>
      </tp>
      <tp>
        <v>17.84</v>
        <stp/>
        <stp>LAST</stp>
        <stp>.AAPL161021P125</stp>
        <tr r="P104" s="2"/>
      </tp>
      <tp>
        <v>3.06</v>
        <stp/>
        <stp>LAST</stp>
        <stp>.AAPL161021C125</stp>
        <tr r="C104" s="2"/>
      </tp>
      <tp>
        <v>20.76</v>
        <stp/>
        <stp>LAST</stp>
        <stp>.AAPL161021P130</stp>
        <tr r="P105" s="2"/>
      </tp>
      <tp>
        <v>2.0299999999999998</v>
        <stp/>
        <stp>LAST</stp>
        <stp>.AAPL161021C130</stp>
        <tr r="C105" s="2"/>
      </tp>
      <tp>
        <v>25.06</v>
        <stp/>
        <stp>LAST</stp>
        <stp>.AAPL161021P135</stp>
        <tr r="P106" s="2"/>
      </tp>
      <tp>
        <v>1.32</v>
        <stp/>
        <stp>LAST</stp>
        <stp>.AAPL161021C135</stp>
        <tr r="C106" s="2"/>
      </tp>
      <tp>
        <v>29.45</v>
        <stp/>
        <stp>LAST</stp>
        <stp>.AAPL161021P140</stp>
        <tr r="P107" s="2"/>
      </tp>
      <tp>
        <v>0.86</v>
        <stp/>
        <stp>LAST</stp>
        <stp>.AAPL161021C140</stp>
        <tr r="C107" s="2"/>
      </tp>
      <tp>
        <v>50.55</v>
        <stp/>
        <stp>LAST</stp>
        <stp>.AAPL161021P145</stp>
        <tr r="P108" s="2"/>
      </tp>
      <tp>
        <v>0.46</v>
        <stp/>
        <stp>LAST</stp>
        <stp>.AAPL161021C145</stp>
        <tr r="C108" s="2"/>
      </tp>
      <tp>
        <v>44.99</v>
        <stp/>
        <stp>LAST</stp>
        <stp>.AAPL161021P150</stp>
        <tr r="P109" s="2"/>
      </tp>
      <tp>
        <v>0.37</v>
        <stp/>
        <stp>LAST</stp>
        <stp>.AAPL161021C150</stp>
        <tr r="C109" s="2"/>
      </tp>
      <tp>
        <v>49.66</v>
        <stp/>
        <stp>LAST</stp>
        <stp>.AAPL161021P155</stp>
        <tr r="P110" s="2"/>
      </tp>
      <tp>
        <v>0.21</v>
        <stp/>
        <stp>LAST</stp>
        <stp>.AAPL161021C155</stp>
        <tr r="C110" s="2"/>
      </tp>
      <tp>
        <v>54.63</v>
        <stp/>
        <stp>LAST</stp>
        <stp>.AAPL161021P160</stp>
        <tr r="P111" s="2"/>
      </tp>
      <tp>
        <v>0.14000000000000001</v>
        <stp/>
        <stp>LAST</stp>
        <stp>.AAPL161021C160</stp>
        <tr r="C111" s="2"/>
      </tp>
      <tp>
        <v>65.400000000000006</v>
        <stp/>
        <stp>LAST</stp>
        <stp>.AAPL161021P165</stp>
        <tr r="P112" s="2"/>
      </tp>
      <tp>
        <v>0.09</v>
        <stp/>
        <stp>LAST</stp>
        <stp>.AAPL161021C165</stp>
        <tr r="C112" s="2"/>
      </tp>
      <tp>
        <v>0</v>
        <stp/>
        <stp>LAST</stp>
        <stp>.AAPL161021P170</stp>
        <tr r="P113" s="2"/>
      </tp>
      <tp>
        <v>7.0000000000000007E-2</v>
        <stp/>
        <stp>LAST</stp>
        <stp>.AAPL161021C170</stp>
        <tr r="C113" s="2"/>
      </tp>
      <tp>
        <v>65.349999999999994</v>
        <stp/>
        <stp>LAST</stp>
        <stp>.AAPL161021P175</stp>
        <tr r="P114" s="2"/>
      </tp>
      <tp>
        <v>7.0000000000000007E-2</v>
        <stp/>
        <stp>LAST</stp>
        <stp>.AAPL161021C175</stp>
        <tr r="C114" s="2"/>
      </tp>
      <tp>
        <v>24.25</v>
        <stp/>
        <stp>ASK</stp>
        <stp>.AAPL170616C92.5</stp>
        <tr r="H150" s="2"/>
      </tp>
      <tp>
        <v>5.8</v>
        <stp/>
        <stp>ASK</stp>
        <stp>.AAPL170616P92.5</stp>
        <tr r="N150" s="2"/>
      </tp>
      <tp>
        <v>20.3</v>
        <stp/>
        <stp>ASK</stp>
        <stp>.AAPL160715C92.5</stp>
        <tr r="H64" s="2"/>
      </tp>
      <tp>
        <v>0.79</v>
        <stp/>
        <stp>ASK</stp>
        <stp>.AAPL160715P92.5</stp>
        <tr r="N64" s="2"/>
      </tp>
      <tp>
        <v>225.6</v>
        <stp/>
        <stp>BID</stp>
        <stp>.TSLA160520P480</stp>
        <tr r="L83" s="1"/>
      </tp>
      <tp>
        <v>0</v>
        <stp/>
        <stp>BID</stp>
        <stp>.TSLA160520C480</stp>
        <tr r="F83" s="1"/>
      </tp>
      <tp>
        <v>156.15</v>
        <stp/>
        <stp>BID</stp>
        <stp>.TSLA160520P410</stp>
        <tr r="L76" s="1"/>
      </tp>
      <tp>
        <v>0</v>
        <stp/>
        <stp>BID</stp>
        <stp>.TSLA160520C410</stp>
        <tr r="F76" s="1"/>
      </tp>
      <tp>
        <v>146.19999999999999</v>
        <stp/>
        <stp>BID</stp>
        <stp>.TSLA160520P400</stp>
        <tr r="L75" s="1"/>
      </tp>
      <tp>
        <v>0.01</v>
        <stp/>
        <stp>BID</stp>
        <stp>.TSLA160520C400</stp>
        <tr r="F75" s="1"/>
      </tp>
      <tp>
        <v>176</v>
        <stp/>
        <stp>BID</stp>
        <stp>.TSLA160520P430</stp>
        <tr r="L78" s="1"/>
      </tp>
      <tp>
        <v>0</v>
        <stp/>
        <stp>BID</stp>
        <stp>.TSLA160520C430</stp>
        <tr r="F78" s="1"/>
      </tp>
      <tp>
        <v>166.15</v>
        <stp/>
        <stp>BID</stp>
        <stp>.TSLA160520P420</stp>
        <tr r="L77" s="1"/>
      </tp>
      <tp>
        <v>0</v>
        <stp/>
        <stp>BID</stp>
        <stp>.TSLA160520C420</stp>
        <tr r="F77" s="1"/>
      </tp>
      <tp>
        <v>195.9</v>
        <stp/>
        <stp>BID</stp>
        <stp>.TSLA160520P450</stp>
        <tr r="L80" s="1"/>
      </tp>
      <tp>
        <v>0</v>
        <stp/>
        <stp>BID</stp>
        <stp>.TSLA160520C450</stp>
        <tr r="F80" s="1"/>
      </tp>
      <tp>
        <v>185.65</v>
        <stp/>
        <stp>BID</stp>
        <stp>.TSLA160520P440</stp>
        <tr r="L79" s="1"/>
      </tp>
      <tp>
        <v>0</v>
        <stp/>
        <stp>BID</stp>
        <stp>.TSLA160520C440</stp>
        <tr r="F79" s="1"/>
      </tp>
      <tp>
        <v>215.9</v>
        <stp/>
        <stp>BID</stp>
        <stp>.TSLA160520P470</stp>
        <tr r="L82" s="1"/>
      </tp>
      <tp>
        <v>0</v>
        <stp/>
        <stp>BID</stp>
        <stp>.TSLA160520C470</stp>
        <tr r="F82" s="1"/>
      </tp>
      <tp>
        <v>205.85</v>
        <stp/>
        <stp>BID</stp>
        <stp>.TSLA160520P460</stp>
        <tr r="L81" s="1"/>
      </tp>
      <tp>
        <v>0</v>
        <stp/>
        <stp>BID</stp>
        <stp>.TSLA160520C460</stp>
        <tr r="F81" s="1"/>
      </tp>
      <tp>
        <v>0.15</v>
        <stp/>
        <stp>ASK</stp>
        <stp>.AAPL161021C165</stp>
        <tr r="H112" s="2"/>
      </tp>
      <tp>
        <v>53.85</v>
        <stp/>
        <stp>ASK</stp>
        <stp>.AAPL161021P165</stp>
        <tr r="N112" s="2"/>
      </tp>
      <tp>
        <v>0.19</v>
        <stp/>
        <stp>ASK</stp>
        <stp>.AAPL161021C160</stp>
        <tr r="H111" s="2"/>
      </tp>
      <tp>
        <v>48.9</v>
        <stp/>
        <stp>ASK</stp>
        <stp>.AAPL161021P160</stp>
        <tr r="N111" s="2"/>
      </tp>
      <tp>
        <v>0.1</v>
        <stp/>
        <stp>ASK</stp>
        <stp>.AAPL161021C175</stp>
        <tr r="H114" s="2"/>
      </tp>
      <tp>
        <v>63.8</v>
        <stp/>
        <stp>ASK</stp>
        <stp>.AAPL161021P175</stp>
        <tr r="N114" s="2"/>
      </tp>
      <tp>
        <v>0.1</v>
        <stp/>
        <stp>ASK</stp>
        <stp>.AAPL161021C170</stp>
        <tr r="H113" s="2"/>
      </tp>
      <tp>
        <v>58.8</v>
        <stp/>
        <stp>ASK</stp>
        <stp>.AAPL161021P170</stp>
        <tr r="N113" s="2"/>
      </tp>
      <tp>
        <v>0.56999999999999995</v>
        <stp/>
        <stp>ASK</stp>
        <stp>.AAPL161021C145</stp>
        <tr r="H108" s="2"/>
      </tp>
      <tp>
        <v>34.25</v>
        <stp/>
        <stp>ASK</stp>
        <stp>.AAPL161021P145</stp>
        <tr r="N108" s="2"/>
      </tp>
      <tp>
        <v>0.87</v>
        <stp/>
        <stp>ASK</stp>
        <stp>.AAPL161021C140</stp>
        <tr r="H107" s="2"/>
      </tp>
      <tp>
        <v>29.55</v>
        <stp/>
        <stp>ASK</stp>
        <stp>.AAPL161021P140</stp>
        <tr r="N107" s="2"/>
      </tp>
      <tp>
        <v>0.27</v>
        <stp/>
        <stp>ASK</stp>
        <stp>.AAPL161021C155</stp>
        <tr r="H110" s="2"/>
      </tp>
      <tp>
        <v>44</v>
        <stp/>
        <stp>ASK</stp>
        <stp>.AAPL161021P155</stp>
        <tr r="N110" s="2"/>
      </tp>
      <tp>
        <v>0.39</v>
        <stp/>
        <stp>ASK</stp>
        <stp>.AAPL161021C150</stp>
        <tr r="H109" s="2"/>
      </tp>
      <tp>
        <v>39.1</v>
        <stp/>
        <stp>ASK</stp>
        <stp>.AAPL161021P150</stp>
        <tr r="N109" s="2"/>
      </tp>
      <tp>
        <v>3.1</v>
        <stp/>
        <stp>ASK</stp>
        <stp>.AAPL161021C125</stp>
        <tr r="H104" s="2"/>
      </tp>
      <tp>
        <v>16.649999999999999</v>
        <stp/>
        <stp>ASK</stp>
        <stp>.AAPL161021P125</stp>
        <tr r="N104" s="2"/>
      </tp>
      <tp>
        <v>4.5999999999999996</v>
        <stp/>
        <stp>ASK</stp>
        <stp>.AAPL161021C120</stp>
        <tr r="H103" s="2"/>
      </tp>
      <tp>
        <v>13.05</v>
        <stp/>
        <stp>ASK</stp>
        <stp>.AAPL161021P120</stp>
        <tr r="N103" s="2"/>
      </tp>
      <tp>
        <v>1.34</v>
        <stp/>
        <stp>ASK</stp>
        <stp>.AAPL161021C135</stp>
        <tr r="H106" s="2"/>
      </tp>
      <tp>
        <v>25</v>
        <stp/>
        <stp>ASK</stp>
        <stp>.AAPL161021P135</stp>
        <tr r="N106" s="2"/>
      </tp>
      <tp>
        <v>2.0499999999999998</v>
        <stp/>
        <stp>ASK</stp>
        <stp>.AAPL161021C130</stp>
        <tr r="H105" s="2"/>
      </tp>
      <tp>
        <v>20.65</v>
        <stp/>
        <stp>ASK</stp>
        <stp>.AAPL161021P130</stp>
        <tr r="N105" s="2"/>
      </tp>
      <tp>
        <v>11.95</v>
        <stp/>
        <stp>ASK</stp>
        <stp>.AAPL161021C105</stp>
        <tr r="H100" s="2"/>
      </tp>
      <tp>
        <v>5.4</v>
        <stp/>
        <stp>ASK</stp>
        <stp>.AAPL161021P105</stp>
        <tr r="N100" s="2"/>
      </tp>
      <tp>
        <v>15.45</v>
        <stp/>
        <stp>ASK</stp>
        <stp>.AAPL161021C100</stp>
        <tr r="H99" s="2"/>
      </tp>
      <tp>
        <v>3.8</v>
        <stp/>
        <stp>ASK</stp>
        <stp>.AAPL161021P100</stp>
        <tr r="N99" s="2"/>
      </tp>
      <tp>
        <v>6.5</v>
        <stp/>
        <stp>ASK</stp>
        <stp>.AAPL161021C115</stp>
        <tr r="H102" s="2"/>
      </tp>
      <tp>
        <v>10</v>
        <stp/>
        <stp>ASK</stp>
        <stp>.AAPL161021P115</stp>
        <tr r="N102" s="2"/>
      </tp>
      <tp>
        <v>9</v>
        <stp/>
        <stp>ASK</stp>
        <stp>.AAPL161021C110</stp>
        <tr r="H101" s="2"/>
      </tp>
      <tp>
        <v>7.4</v>
        <stp/>
        <stp>ASK</stp>
        <stp>.AAPL161021P110</stp>
        <tr r="N101" s="2"/>
      </tp>
      <tp>
        <v>7.0000000000000007E-2</v>
        <stp/>
        <stp>ASK</stp>
        <stp>.AAPL161021C185</stp>
        <tr r="H116" s="2"/>
      </tp>
      <tp>
        <v>73.75</v>
        <stp/>
        <stp>ASK</stp>
        <stp>.AAPL161021P185</stp>
        <tr r="N116" s="2"/>
      </tp>
      <tp>
        <v>0.08</v>
        <stp/>
        <stp>ASK</stp>
        <stp>.AAPL161021C180</stp>
        <tr r="H115" s="2"/>
      </tp>
      <tp>
        <v>68.8</v>
        <stp/>
        <stp>ASK</stp>
        <stp>.AAPL161021P180</stp>
        <tr r="N115" s="2"/>
      </tp>
      <tp>
        <v>0.06</v>
        <stp/>
        <stp>ASK</stp>
        <stp>.AAPL161021C195</stp>
        <tr r="H118" s="2"/>
      </tp>
      <tp>
        <v>83.75</v>
        <stp/>
        <stp>ASK</stp>
        <stp>.AAPL161021P195</stp>
        <tr r="N118" s="2"/>
      </tp>
      <tp>
        <v>7.0000000000000007E-2</v>
        <stp/>
        <stp>ASK</stp>
        <stp>.AAPL161021C190</stp>
        <tr r="H117" s="2"/>
      </tp>
      <tp>
        <v>78.75</v>
        <stp/>
        <stp>ASK</stp>
        <stp>.AAPL161021P190</stp>
        <tr r="N117" s="2"/>
      </tp>
      <tp>
        <v>286.64999999999998</v>
        <stp/>
        <stp>52HIGH</stp>
        <stp>TSLA</stp>
        <tr r="G7" s="1"/>
      </tp>
      <tp>
        <v>0.02</v>
        <stp/>
        <stp>BID</stp>
        <stp>.AAPL161021C180</stp>
        <tr r="F115" s="2"/>
      </tp>
      <tp>
        <v>68.349999999999994</v>
        <stp/>
        <stp>BID</stp>
        <stp>.AAPL161021P180</stp>
        <tr r="L115" s="2"/>
      </tp>
      <tp>
        <v>0.01</v>
        <stp/>
        <stp>BID</stp>
        <stp>.AAPL161021C185</stp>
        <tr r="F116" s="2"/>
      </tp>
      <tp>
        <v>73.3</v>
        <stp/>
        <stp>BID</stp>
        <stp>.AAPL161021P185</stp>
        <tr r="L116" s="2"/>
      </tp>
      <tp>
        <v>0.01</v>
        <stp/>
        <stp>BID</stp>
        <stp>.AAPL161021C190</stp>
        <tr r="F117" s="2"/>
      </tp>
      <tp>
        <v>78.3</v>
        <stp/>
        <stp>BID</stp>
        <stp>.AAPL161021P190</stp>
        <tr r="L117" s="2"/>
      </tp>
      <tp>
        <v>0</v>
        <stp/>
        <stp>BID</stp>
        <stp>.AAPL161021C195</stp>
        <tr r="F118" s="2"/>
      </tp>
      <tp>
        <v>83.3</v>
        <stp/>
        <stp>BID</stp>
        <stp>.AAPL161021P195</stp>
        <tr r="L118" s="2"/>
      </tp>
      <tp>
        <v>0.83</v>
        <stp/>
        <stp>BID</stp>
        <stp>.AAPL161021C140</stp>
        <tr r="F107" s="2"/>
      </tp>
      <tp>
        <v>29.2</v>
        <stp/>
        <stp>BID</stp>
        <stp>.AAPL161021P140</stp>
        <tr r="L107" s="2"/>
      </tp>
      <tp>
        <v>0.54</v>
        <stp/>
        <stp>BID</stp>
        <stp>.AAPL161021C145</stp>
        <tr r="F108" s="2"/>
      </tp>
      <tp>
        <v>33.9</v>
        <stp/>
        <stp>BID</stp>
        <stp>.AAPL161021P145</stp>
        <tr r="L108" s="2"/>
      </tp>
      <tp>
        <v>0.34</v>
        <stp/>
        <stp>BID</stp>
        <stp>.AAPL161021C150</stp>
        <tr r="F109" s="2"/>
      </tp>
      <tp>
        <v>38.700000000000003</v>
        <stp/>
        <stp>BID</stp>
        <stp>.AAPL161021P150</stp>
        <tr r="L109" s="2"/>
      </tp>
      <tp>
        <v>0.21</v>
        <stp/>
        <stp>BID</stp>
        <stp>.AAPL161021C155</stp>
        <tr r="F110" s="2"/>
      </tp>
      <tp>
        <v>43.6</v>
        <stp/>
        <stp>BID</stp>
        <stp>.AAPL161021P155</stp>
        <tr r="L110" s="2"/>
      </tp>
      <tp>
        <v>0.14000000000000001</v>
        <stp/>
        <stp>BID</stp>
        <stp>.AAPL161021C160</stp>
        <tr r="F111" s="2"/>
      </tp>
      <tp>
        <v>48.5</v>
        <stp/>
        <stp>BID</stp>
        <stp>.AAPL161021P160</stp>
        <tr r="L111" s="2"/>
      </tp>
      <tp>
        <v>0.09</v>
        <stp/>
        <stp>BID</stp>
        <stp>.AAPL161021C165</stp>
        <tr r="F112" s="2"/>
      </tp>
      <tp>
        <v>53.45</v>
        <stp/>
        <stp>BID</stp>
        <stp>.AAPL161021P165</stp>
        <tr r="L112" s="2"/>
      </tp>
      <tp>
        <v>0.06</v>
        <stp/>
        <stp>BID</stp>
        <stp>.AAPL161021C170</stp>
        <tr r="F113" s="2"/>
      </tp>
      <tp>
        <v>58.4</v>
        <stp/>
        <stp>BID</stp>
        <stp>.AAPL161021P170</stp>
        <tr r="L113" s="2"/>
      </tp>
      <tp>
        <v>0.04</v>
        <stp/>
        <stp>BID</stp>
        <stp>.AAPL161021C175</stp>
        <tr r="F114" s="2"/>
      </tp>
      <tp>
        <v>63.35</v>
        <stp/>
        <stp>BID</stp>
        <stp>.AAPL161021P175</stp>
        <tr r="L114" s="2"/>
      </tp>
      <tp>
        <v>15.25</v>
        <stp/>
        <stp>BID</stp>
        <stp>.AAPL161021C100</stp>
        <tr r="F99" s="2"/>
      </tp>
      <tp>
        <v>3.75</v>
        <stp/>
        <stp>BID</stp>
        <stp>.AAPL161021P100</stp>
        <tr r="L99" s="2"/>
      </tp>
      <tp>
        <v>11.85</v>
        <stp/>
        <stp>BID</stp>
        <stp>.AAPL161021C105</stp>
        <tr r="F100" s="2"/>
      </tp>
      <tp>
        <v>5.3</v>
        <stp/>
        <stp>BID</stp>
        <stp>.AAPL161021P105</stp>
        <tr r="L100" s="2"/>
      </tp>
      <tp>
        <v>8.85</v>
        <stp/>
        <stp>BID</stp>
        <stp>.AAPL161021C110</stp>
        <tr r="F101" s="2"/>
      </tp>
      <tp>
        <v>7.3</v>
        <stp/>
        <stp>BID</stp>
        <stp>.AAPL161021P110</stp>
        <tr r="L101" s="2"/>
      </tp>
      <tp>
        <v>6.4</v>
        <stp/>
        <stp>BID</stp>
        <stp>.AAPL161021C115</stp>
        <tr r="F102" s="2"/>
      </tp>
      <tp>
        <v>9.85</v>
        <stp/>
        <stp>BID</stp>
        <stp>.AAPL161021P115</stp>
        <tr r="L102" s="2"/>
      </tp>
      <tp>
        <v>4.45</v>
        <stp/>
        <stp>BID</stp>
        <stp>.AAPL161021C120</stp>
        <tr r="F103" s="2"/>
      </tp>
      <tp>
        <v>12.9</v>
        <stp/>
        <stp>BID</stp>
        <stp>.AAPL161021P120</stp>
        <tr r="L103" s="2"/>
      </tp>
      <tp>
        <v>3</v>
        <stp/>
        <stp>BID</stp>
        <stp>.AAPL161021C125</stp>
        <tr r="F104" s="2"/>
      </tp>
      <tp>
        <v>16.45</v>
        <stp/>
        <stp>BID</stp>
        <stp>.AAPL161021P125</stp>
        <tr r="L104" s="2"/>
      </tp>
      <tp>
        <v>2</v>
        <stp/>
        <stp>BID</stp>
        <stp>.AAPL161021C130</stp>
        <tr r="F105" s="2"/>
      </tp>
      <tp>
        <v>20.45</v>
        <stp/>
        <stp>BID</stp>
        <stp>.AAPL161021P130</stp>
        <tr r="L105" s="2"/>
      </tp>
      <tp>
        <v>1.3</v>
        <stp/>
        <stp>BID</stp>
        <stp>.AAPL161021C135</stp>
        <tr r="F106" s="2"/>
      </tp>
      <tp>
        <v>24.75</v>
        <stp/>
        <stp>BID</stp>
        <stp>.AAPL161021P135</stp>
        <tr r="L106" s="2"/>
      </tp>
      <tp>
        <v>1.23</v>
        <stp/>
        <stp>ASK</stp>
        <stp>.AAPL161021P85</stp>
        <tr r="N93" s="2"/>
      </tp>
      <tp>
        <v>0.85</v>
        <stp/>
        <stp>ASK</stp>
        <stp>.AAPL161021P80</stp>
        <tr r="N92" s="2"/>
      </tp>
      <tp>
        <v>2.63</v>
        <stp/>
        <stp>ASK</stp>
        <stp>.AAPL161021P95</stp>
        <tr r="N97" s="2"/>
      </tp>
      <tp>
        <v>1.79</v>
        <stp/>
        <stp>ASK</stp>
        <stp>.AAPL161021P90</stp>
        <tr r="N95" s="2"/>
      </tp>
      <tp>
        <v>2.58</v>
        <stp/>
        <stp>BID</stp>
        <stp>.AAPL161021P95</stp>
        <tr r="L97" s="2"/>
      </tp>
      <tp>
        <v>1.77</v>
        <stp/>
        <stp>BID</stp>
        <stp>.AAPL161021P90</stp>
        <tr r="L95" s="2"/>
      </tp>
      <tp>
        <v>1.2</v>
        <stp/>
        <stp>BID</stp>
        <stp>.AAPL161021P85</stp>
        <tr r="L93" s="2"/>
      </tp>
      <tp>
        <v>0.83</v>
        <stp/>
        <stp>BID</stp>
        <stp>.AAPL161021P80</stp>
        <tr r="L92" s="2"/>
      </tp>
      <tp>
        <v>0.55000000000000004</v>
        <stp/>
        <stp>BID</stp>
        <stp>.AAPL161021P75</stp>
        <tr r="L91" s="2"/>
      </tp>
      <tp>
        <v>0.37</v>
        <stp/>
        <stp>BID</stp>
        <stp>.AAPL161021P70</stp>
        <tr r="L90" s="2"/>
      </tp>
      <tp>
        <v>0.25</v>
        <stp/>
        <stp>BID</stp>
        <stp>.AAPL161021P65</stp>
        <tr r="L89" s="2"/>
      </tp>
      <tp>
        <v>0.16</v>
        <stp/>
        <stp>BID</stp>
        <stp>.AAPL161021P60</stp>
        <tr r="L88" s="2"/>
      </tp>
      <tp>
        <v>0.15</v>
        <stp/>
        <stp>ASK</stp>
        <stp>.AAPL161021P55</stp>
        <tr r="N87" s="2"/>
      </tp>
      <tp>
        <v>0.11</v>
        <stp/>
        <stp>ASK</stp>
        <stp>.AAPL161021P50</stp>
        <tr r="N86" s="2"/>
      </tp>
      <tp>
        <v>0.1</v>
        <stp/>
        <stp>BID</stp>
        <stp>.AAPL161021P55</stp>
        <tr r="L87" s="2"/>
      </tp>
      <tp>
        <v>0.06</v>
        <stp/>
        <stp>BID</stp>
        <stp>.AAPL161021P50</stp>
        <tr r="L86" s="2"/>
      </tp>
      <tp>
        <v>0.28999999999999998</v>
        <stp/>
        <stp>ASK</stp>
        <stp>.AAPL161021P65</stp>
        <tr r="N89" s="2"/>
      </tp>
      <tp>
        <v>0.21</v>
        <stp/>
        <stp>ASK</stp>
        <stp>.AAPL161021P60</stp>
        <tr r="N88" s="2"/>
      </tp>
      <tp>
        <v>0.57999999999999996</v>
        <stp/>
        <stp>ASK</stp>
        <stp>.AAPL161021P75</stp>
        <tr r="N91" s="2"/>
      </tp>
      <tp>
        <v>0.41</v>
        <stp/>
        <stp>ASK</stp>
        <stp>.AAPL161021P70</stp>
        <tr r="N90" s="2"/>
      </tp>
      <tp>
        <v>112.19</v>
        <stp/>
        <stp>LAST</stp>
        <stp>AAPL</stp>
        <tr r="A4" s="2"/>
      </tp>
      <tp>
        <v>6.3</v>
        <stp/>
        <stp>BID</stp>
        <stp>.AAPL170616P95</stp>
        <tr r="L151" s="2"/>
      </tp>
      <tp>
        <v>0.37</v>
        <stp/>
        <stp>BID</stp>
        <stp>.AAPL160715P85</stp>
        <tr r="L61" s="2"/>
      </tp>
      <tp>
        <v>4.95</v>
        <stp/>
        <stp>BID</stp>
        <stp>.AAPL170616P90</stp>
        <tr r="L149" s="2"/>
      </tp>
      <tp>
        <v>0.23</v>
        <stp/>
        <stp>BID</stp>
        <stp>.AAPL160715P80</stp>
        <tr r="L60" s="2"/>
      </tp>
      <tp>
        <v>0.36</v>
        <stp/>
        <stp>ASK</stp>
        <stp>.AAPL160520P95</stp>
        <tr r="N26" s="2"/>
      </tp>
      <tp>
        <v>0.19</v>
        <stp/>
        <stp>ASK</stp>
        <stp>.AAPL160520P90</stp>
        <tr r="N24" s="2"/>
      </tp>
      <tp>
        <v>3.8</v>
        <stp/>
        <stp>BID</stp>
        <stp>.AAPL170616P85</stp>
        <tr r="L147" s="2"/>
      </tp>
      <tp>
        <v>0.99</v>
        <stp/>
        <stp>BID</stp>
        <stp>.AAPL160715P95</stp>
        <tr r="L65" s="2"/>
      </tp>
      <tp>
        <v>2.88</v>
        <stp/>
        <stp>BID</stp>
        <stp>.AAPL170616P80</stp>
        <tr r="L146" s="2"/>
      </tp>
      <tp>
        <v>0.6</v>
        <stp/>
        <stp>BID</stp>
        <stp>.AAPL160715P90</stp>
        <tr r="L63" s="2"/>
      </tp>
      <tp>
        <v>0.11</v>
        <stp/>
        <stp>ASK</stp>
        <stp>.AAPL160520P85</stp>
        <tr r="N22" s="2"/>
      </tp>
      <tp>
        <v>0.06</v>
        <stp/>
        <stp>ASK</stp>
        <stp>.AAPL160520P80</stp>
        <tr r="N21" s="2"/>
      </tp>
      <tp>
        <v>0.1</v>
        <stp/>
        <stp>BID</stp>
        <stp>.AAPL160520P85</stp>
        <tr r="L22" s="2"/>
      </tp>
      <tp>
        <v>0.05</v>
        <stp/>
        <stp>BID</stp>
        <stp>.AAPL160520P80</stp>
        <tr r="L21" s="2"/>
      </tp>
      <tp>
        <v>1.02</v>
        <stp/>
        <stp>ASK</stp>
        <stp>.AAPL160715P95</stp>
        <tr r="N65" s="2"/>
      </tp>
      <tp>
        <v>3.95</v>
        <stp/>
        <stp>ASK</stp>
        <stp>.AAPL170616P85</stp>
        <tr r="N147" s="2"/>
      </tp>
      <tp>
        <v>0.61</v>
        <stp/>
        <stp>ASK</stp>
        <stp>.AAPL160715P90</stp>
        <tr r="N63" s="2"/>
      </tp>
      <tp>
        <v>3.15</v>
        <stp/>
        <stp>ASK</stp>
        <stp>.AAPL170616P80</stp>
        <tr r="N146" s="2"/>
      </tp>
      <tp>
        <v>0.35</v>
        <stp/>
        <stp>BID</stp>
        <stp>.AAPL160520P95</stp>
        <tr r="L26" s="2"/>
      </tp>
      <tp>
        <v>0.18</v>
        <stp/>
        <stp>BID</stp>
        <stp>.AAPL160520P90</stp>
        <tr r="L24" s="2"/>
      </tp>
      <tp>
        <v>0.38</v>
        <stp/>
        <stp>ASK</stp>
        <stp>.AAPL160715P85</stp>
        <tr r="N61" s="2"/>
      </tp>
      <tp>
        <v>6.5</v>
        <stp/>
        <stp>ASK</stp>
        <stp>.AAPL170616P95</stp>
        <tr r="N151" s="2"/>
      </tp>
      <tp>
        <v>0.24</v>
        <stp/>
        <stp>ASK</stp>
        <stp>.AAPL160715P80</stp>
        <tr r="N60" s="2"/>
      </tp>
      <tp>
        <v>5.0999999999999996</v>
        <stp/>
        <stp>ASK</stp>
        <stp>.AAPL170616P90</stp>
        <tr r="N149" s="2"/>
      </tp>
      <tp>
        <v>0</v>
        <stp/>
        <stp>BID</stp>
        <stp>.AAPL160520P65</stp>
        <tr r="L18" s="2"/>
      </tp>
      <tp>
        <v>0.55000000000000004</v>
        <stp/>
        <stp>BID</stp>
        <stp>.AAPL170616P55</stp>
        <tr r="L141" s="2"/>
      </tp>
      <tp>
        <v>0</v>
        <stp/>
        <stp>BID</stp>
        <stp>.AAPL160520P60</stp>
        <tr r="L17" s="2"/>
      </tp>
      <tp>
        <v>0.39</v>
        <stp/>
        <stp>BID</stp>
        <stp>.AAPL170616P50</stp>
        <tr r="L140" s="2"/>
      </tp>
      <tp>
        <v>0.16</v>
        <stp/>
        <stp>ASK</stp>
        <stp>.AAPL160715P75</stp>
        <tr r="N59" s="2"/>
      </tp>
      <tp>
        <v>1.41</v>
        <stp/>
        <stp>ASK</stp>
        <stp>.AAPL170616P65</stp>
        <tr r="N143" s="2"/>
      </tp>
      <tp>
        <v>0.01</v>
        <stp/>
        <stp>ASK</stp>
        <stp>.AAPL160520P55</stp>
        <tr r="N16" s="2"/>
      </tp>
      <tp>
        <v>0.12</v>
        <stp/>
        <stp>ASK</stp>
        <stp>.AAPL160715P70</stp>
        <tr r="N58" s="2"/>
      </tp>
      <tp>
        <v>1.08</v>
        <stp/>
        <stp>ASK</stp>
        <stp>.AAPL170616P60</stp>
        <tr r="N142" s="2"/>
      </tp>
      <tp>
        <v>0.01</v>
        <stp/>
        <stp>ASK</stp>
        <stp>.AAPL160520P50</stp>
        <tr r="N15" s="2"/>
      </tp>
      <tp>
        <v>0.03</v>
        <stp/>
        <stp>BID</stp>
        <stp>.AAPL160520P75</stp>
        <tr r="L20" s="2"/>
      </tp>
      <tp>
        <v>0</v>
        <stp/>
        <stp>BID</stp>
        <stp>.AAPL160715P55</stp>
        <tr r="L55" s="2"/>
      </tp>
      <tp>
        <v>0.02</v>
        <stp/>
        <stp>BID</stp>
        <stp>.AAPL160520P70</stp>
        <tr r="L19" s="2"/>
      </tp>
      <tp>
        <v>0</v>
        <stp/>
        <stp>BID</stp>
        <stp>.AAPL160715P50</stp>
        <tr r="L54" s="2"/>
      </tp>
      <tp>
        <v>0.09</v>
        <stp/>
        <stp>ASK</stp>
        <stp>.AAPL160715P65</stp>
        <tr r="N57" s="2"/>
      </tp>
      <tp>
        <v>2.42</v>
        <stp/>
        <stp>ASK</stp>
        <stp>.AAPL170616P75</stp>
        <tr r="N145" s="2"/>
      </tp>
      <tp>
        <v>7.0000000000000007E-2</v>
        <stp/>
        <stp>ASK</stp>
        <stp>.AAPL160715P60</stp>
        <tr r="N56" s="2"/>
      </tp>
      <tp>
        <v>1.85</v>
        <stp/>
        <stp>ASK</stp>
        <stp>.AAPL170616P70</stp>
        <tr r="N144" s="2"/>
      </tp>
      <tp>
        <v>2.1800000000000002</v>
        <stp/>
        <stp>BID</stp>
        <stp>.AAPL170616P75</stp>
        <tr r="L145" s="2"/>
      </tp>
      <tp>
        <v>0.05</v>
        <stp/>
        <stp>BID</stp>
        <stp>.AAPL160715P65</stp>
        <tr r="L57" s="2"/>
      </tp>
      <tp>
        <v>1.58</v>
        <stp/>
        <stp>BID</stp>
        <stp>.AAPL170616P70</stp>
        <tr r="L144" s="2"/>
      </tp>
      <tp>
        <v>0.03</v>
        <stp/>
        <stp>BID</stp>
        <stp>.AAPL160715P60</stp>
        <tr r="L56" s="2"/>
      </tp>
      <tp>
        <v>0.05</v>
        <stp/>
        <stp>ASK</stp>
        <stp>.AAPL160715P55</stp>
        <tr r="N55" s="2"/>
      </tp>
      <tp>
        <v>0.04</v>
        <stp/>
        <stp>ASK</stp>
        <stp>.AAPL160520P75</stp>
        <tr r="N20" s="2"/>
      </tp>
      <tp>
        <v>0.04</v>
        <stp/>
        <stp>ASK</stp>
        <stp>.AAPL160715P50</stp>
        <tr r="N54" s="2"/>
      </tp>
      <tp>
        <v>0.04</v>
        <stp/>
        <stp>ASK</stp>
        <stp>.AAPL160520P70</stp>
        <tr r="N19" s="2"/>
      </tp>
      <tp>
        <v>0</v>
        <stp/>
        <stp>BID</stp>
        <stp>.AAPL160520P55</stp>
        <tr r="L16" s="2"/>
      </tp>
      <tp>
        <v>1.1100000000000001</v>
        <stp/>
        <stp>BID</stp>
        <stp>.AAPL170616P65</stp>
        <tr r="L143" s="2"/>
      </tp>
      <tp>
        <v>0.15</v>
        <stp/>
        <stp>BID</stp>
        <stp>.AAPL160715P75</stp>
        <tr r="L59" s="2"/>
      </tp>
      <tp>
        <v>0</v>
        <stp/>
        <stp>BID</stp>
        <stp>.AAPL160520P50</stp>
        <tr r="L15" s="2"/>
      </tp>
      <tp>
        <v>0.85</v>
        <stp/>
        <stp>BID</stp>
        <stp>.AAPL170616P60</stp>
        <tr r="L142" s="2"/>
      </tp>
      <tp>
        <v>0.09</v>
        <stp/>
        <stp>BID</stp>
        <stp>.AAPL160715P70</stp>
        <tr r="L58" s="2"/>
      </tp>
      <tp>
        <v>0.82</v>
        <stp/>
        <stp>ASK</stp>
        <stp>.AAPL170616P55</stp>
        <tr r="N141" s="2"/>
      </tp>
      <tp>
        <v>0.01</v>
        <stp/>
        <stp>ASK</stp>
        <stp>.AAPL160520P65</stp>
        <tr r="N18" s="2"/>
      </tp>
      <tp>
        <v>0.64</v>
        <stp/>
        <stp>ASK</stp>
        <stp>.AAPL170616P50</stp>
        <tr r="N140" s="2"/>
      </tp>
      <tp>
        <v>0.01</v>
        <stp/>
        <stp>ASK</stp>
        <stp>.AAPL160520P60</stp>
        <tr r="N17" s="2"/>
      </tp>
      <tp>
        <v>0.83</v>
        <stp/>
        <stp>BID</stp>
        <stp>.AAPL170616C165</stp>
        <tr r="F166" s="2"/>
      </tp>
      <tp>
        <v>54.4</v>
        <stp/>
        <stp>BID</stp>
        <stp>.AAPL170616P165</stp>
        <tr r="L166" s="2"/>
      </tp>
      <tp>
        <v>1.1100000000000001</v>
        <stp/>
        <stp>BID</stp>
        <stp>.AAPL170616C160</stp>
        <tr r="F165" s="2"/>
      </tp>
      <tp>
        <v>49.7</v>
        <stp/>
        <stp>BID</stp>
        <stp>.AAPL170616P160</stp>
        <tr r="L165" s="2"/>
      </tp>
      <tp>
        <v>1.47</v>
        <stp/>
        <stp>BID</stp>
        <stp>.AAPL170616C155</stp>
        <tr r="F164" s="2"/>
      </tp>
      <tp>
        <v>45.2</v>
        <stp/>
        <stp>BID</stp>
        <stp>.AAPL170616P155</stp>
        <tr r="L164" s="2"/>
      </tp>
      <tp>
        <v>2.1</v>
        <stp/>
        <stp>BID</stp>
        <stp>.AAPL170616C150</stp>
        <tr r="F163" s="2"/>
      </tp>
      <tp>
        <v>40.75</v>
        <stp/>
        <stp>BID</stp>
        <stp>.AAPL170616P150</stp>
        <tr r="L163" s="2"/>
      </tp>
      <tp>
        <v>2.64</v>
        <stp/>
        <stp>BID</stp>
        <stp>.AAPL170616C145</stp>
        <tr r="F162" s="2"/>
      </tp>
      <tp>
        <v>36.450000000000003</v>
        <stp/>
        <stp>BID</stp>
        <stp>.AAPL170616P145</stp>
        <tr r="L162" s="2"/>
      </tp>
      <tp>
        <v>3.4</v>
        <stp/>
        <stp>BID</stp>
        <stp>.AAPL170616C140</stp>
        <tr r="F161" s="2"/>
      </tp>
      <tp>
        <v>32.35</v>
        <stp/>
        <stp>BID</stp>
        <stp>.AAPL170616P140</stp>
        <tr r="L161" s="2"/>
      </tp>
      <tp>
        <v>4.4000000000000004</v>
        <stp/>
        <stp>BID</stp>
        <stp>.AAPL170616C135</stp>
        <tr r="F160" s="2"/>
      </tp>
      <tp>
        <v>28.35</v>
        <stp/>
        <stp>BID</stp>
        <stp>.AAPL170616P135</stp>
        <tr r="L160" s="2"/>
      </tp>
      <tp>
        <v>0</v>
        <stp/>
        <stp>BID</stp>
        <stp>.AAPL160520C200</stp>
        <tr r="F48" s="2"/>
      </tp>
      <tp>
        <v>88.05</v>
        <stp/>
        <stp>BID</stp>
        <stp>.AAPL160520P200</stp>
        <tr r="L48" s="2"/>
      </tp>
      <tp>
        <v>5.55</v>
        <stp/>
        <stp>BID</stp>
        <stp>.AAPL170616C130</stp>
        <tr r="F159" s="2"/>
      </tp>
      <tp>
        <v>24.55</v>
        <stp/>
        <stp>BID</stp>
        <stp>.AAPL170616P130</stp>
        <tr r="L159" s="2"/>
      </tp>
      <tp>
        <v>7</v>
        <stp/>
        <stp>BID</stp>
        <stp>.AAPL170616C125</stp>
        <tr r="F158" s="2"/>
      </tp>
      <tp>
        <v>21.05</v>
        <stp/>
        <stp>BID</stp>
        <stp>.AAPL170616P125</stp>
        <tr r="L158" s="2"/>
      </tp>
      <tp>
        <v>0</v>
        <stp/>
        <stp>BID</stp>
        <stp>.AAPL160520C210</stp>
        <tr r="F49" s="2"/>
      </tp>
      <tp>
        <v>98.05</v>
        <stp/>
        <stp>BID</stp>
        <stp>.AAPL160520P210</stp>
        <tr r="L49" s="2"/>
      </tp>
      <tp>
        <v>8.6999999999999993</v>
        <stp/>
        <stp>BID</stp>
        <stp>.AAPL170616C120</stp>
        <tr r="F157" s="2"/>
      </tp>
      <tp>
        <v>17.850000000000001</v>
        <stp/>
        <stp>BID</stp>
        <stp>.AAPL170616P120</stp>
        <tr r="L157" s="2"/>
      </tp>
      <tp>
        <v>10.75</v>
        <stp/>
        <stp>BID</stp>
        <stp>.AAPL170616C115</stp>
        <tr r="F156" s="2"/>
      </tp>
      <tp>
        <v>14.9</v>
        <stp/>
        <stp>BID</stp>
        <stp>.AAPL170616P115</stp>
        <tr r="L156" s="2"/>
      </tp>
      <tp>
        <v>13.1</v>
        <stp/>
        <stp>BID</stp>
        <stp>.AAPL170616C110</stp>
        <tr r="F155" s="2"/>
      </tp>
      <tp>
        <v>12.3</v>
        <stp/>
        <stp>BID</stp>
        <stp>.AAPL170616P110</stp>
        <tr r="L155" s="2"/>
      </tp>
      <tp>
        <v>15.7</v>
        <stp/>
        <stp>BID</stp>
        <stp>.AAPL170616C105</stp>
        <tr r="F154" s="2"/>
      </tp>
      <tp>
        <v>10</v>
        <stp/>
        <stp>BID</stp>
        <stp>.AAPL170616P105</stp>
        <tr r="L154" s="2"/>
      </tp>
      <tp>
        <v>18.649999999999999</v>
        <stp/>
        <stp>BID</stp>
        <stp>.AAPL170616C100</stp>
        <tr r="F153" s="2"/>
      </tp>
      <tp>
        <v>8</v>
        <stp/>
        <stp>BID</stp>
        <stp>.AAPL170616P100</stp>
        <tr r="L153" s="2"/>
      </tp>
      <tp>
        <v>0.03</v>
        <stp/>
        <stp>ASK</stp>
        <stp>.AAPL160520C165</stp>
        <tr r="H41" s="2"/>
      </tp>
      <tp>
        <v>53.5</v>
        <stp/>
        <stp>ASK</stp>
        <stp>.AAPL160520P165</stp>
        <tr r="N41" s="2"/>
      </tp>
      <tp>
        <v>0.03</v>
        <stp/>
        <stp>ASK</stp>
        <stp>.AAPL160520C160</stp>
        <tr r="H40" s="2"/>
      </tp>
      <tp>
        <v>48.5</v>
        <stp/>
        <stp>ASK</stp>
        <stp>.AAPL160520P160</stp>
        <tr r="N40" s="2"/>
      </tp>
      <tp>
        <v>0.03</v>
        <stp/>
        <stp>ASK</stp>
        <stp>.AAPL160520C175</stp>
        <tr r="H43" s="2"/>
      </tp>
      <tp>
        <v>63.5</v>
        <stp/>
        <stp>ASK</stp>
        <stp>.AAPL160520P175</stp>
        <tr r="N43" s="2"/>
      </tp>
      <tp>
        <v>0.03</v>
        <stp/>
        <stp>ASK</stp>
        <stp>.AAPL160520C170</stp>
        <tr r="H42" s="2"/>
      </tp>
      <tp>
        <v>58.5</v>
        <stp/>
        <stp>ASK</stp>
        <stp>.AAPL160520P170</stp>
        <tr r="N42" s="2"/>
      </tp>
      <tp>
        <v>0.03</v>
        <stp/>
        <stp>ASK</stp>
        <stp>.AAPL160520C145</stp>
        <tr r="H37" s="2"/>
      </tp>
      <tp>
        <v>33.549999999999997</v>
        <stp/>
        <stp>ASK</stp>
        <stp>.AAPL160520P145</stp>
        <tr r="N37" s="2"/>
      </tp>
      <tp>
        <v>0.05</v>
        <stp/>
        <stp>ASK</stp>
        <stp>.AAPL160520C140</stp>
        <tr r="H36" s="2"/>
      </tp>
      <tp>
        <v>28.55</v>
        <stp/>
        <stp>ASK</stp>
        <stp>.AAPL160520P140</stp>
        <tr r="N36" s="2"/>
      </tp>
      <tp>
        <v>0.01</v>
        <stp/>
        <stp>ASK</stp>
        <stp>.AAPL160520C155</stp>
        <tr r="H39" s="2"/>
      </tp>
      <tp>
        <v>43.5</v>
        <stp/>
        <stp>ASK</stp>
        <stp>.AAPL160520P155</stp>
        <tr r="N39" s="2"/>
      </tp>
      <tp>
        <v>0.01</v>
        <stp/>
        <stp>ASK</stp>
        <stp>.AAPL160520C150</stp>
        <tr r="H38" s="2"/>
      </tp>
      <tp>
        <v>38.5</v>
        <stp/>
        <stp>ASK</stp>
        <stp>.AAPL160520P150</stp>
        <tr r="N38" s="2"/>
      </tp>
      <tp>
        <v>0.44</v>
        <stp/>
        <stp>ASK</stp>
        <stp>.AAPL160520C125</stp>
        <tr r="H33" s="2"/>
      </tp>
      <tp>
        <v>13.9</v>
        <stp/>
        <stp>ASK</stp>
        <stp>.AAPL160520P125</stp>
        <tr r="N33" s="2"/>
      </tp>
      <tp>
        <v>1.0900000000000001</v>
        <stp/>
        <stp>ASK</stp>
        <stp>.AAPL160520C120</stp>
        <tr r="H32" s="2"/>
      </tp>
      <tp>
        <v>9.4</v>
        <stp/>
        <stp>ASK</stp>
        <stp>.AAPL160520P120</stp>
        <tr r="N32" s="2"/>
      </tp>
      <tp>
        <v>0.1</v>
        <stp/>
        <stp>ASK</stp>
        <stp>.AAPL160520C135</stp>
        <tr r="H35" s="2"/>
      </tp>
      <tp>
        <v>23.55</v>
        <stp/>
        <stp>ASK</stp>
        <stp>.AAPL160520P135</stp>
        <tr r="N35" s="2"/>
      </tp>
      <tp>
        <v>0.19</v>
        <stp/>
        <stp>ASK</stp>
        <stp>.AAPL160520C130</stp>
        <tr r="H34" s="2"/>
      </tp>
      <tp>
        <v>18.649999999999999</v>
        <stp/>
        <stp>ASK</stp>
        <stp>.AAPL160520P130</stp>
        <tr r="N34" s="2"/>
      </tp>
      <tp>
        <v>8.5</v>
        <stp/>
        <stp>ASK</stp>
        <stp>.AAPL160520C105</stp>
        <tr r="H29" s="2"/>
      </tp>
      <tp>
        <v>1.56</v>
        <stp/>
        <stp>ASK</stp>
        <stp>.AAPL160520P105</stp>
        <tr r="N29" s="2"/>
      </tp>
      <tp>
        <v>12.8</v>
        <stp/>
        <stp>ASK</stp>
        <stp>.AAPL160520C100</stp>
        <tr r="H28" s="2"/>
      </tp>
      <tp>
        <v>0.74</v>
        <stp/>
        <stp>ASK</stp>
        <stp>.AAPL160520P100</stp>
        <tr r="N28" s="2"/>
      </tp>
      <tp>
        <v>2.5</v>
        <stp/>
        <stp>ASK</stp>
        <stp>.AAPL160520C115</stp>
        <tr r="H31" s="2"/>
      </tp>
      <tp>
        <v>5.8</v>
        <stp/>
        <stp>ASK</stp>
        <stp>.AAPL160520P115</stp>
        <tr r="N31" s="2"/>
      </tp>
      <tp>
        <v>5</v>
        <stp/>
        <stp>ASK</stp>
        <stp>.AAPL160520C110</stp>
        <tr r="H30" s="2"/>
      </tp>
      <tp>
        <v>3.2</v>
        <stp/>
        <stp>ASK</stp>
        <stp>.AAPL160520P110</stp>
        <tr r="N30" s="2"/>
      </tp>
      <tp>
        <v>0.03</v>
        <stp/>
        <stp>ASK</stp>
        <stp>.AAPL160520C185</stp>
        <tr r="H45" s="2"/>
      </tp>
      <tp>
        <v>73.5</v>
        <stp/>
        <stp>ASK</stp>
        <stp>.AAPL160520P185</stp>
        <tr r="N45" s="2"/>
      </tp>
      <tp>
        <v>0.03</v>
        <stp/>
        <stp>ASK</stp>
        <stp>.AAPL160520C180</stp>
        <tr r="H44" s="2"/>
      </tp>
      <tp>
        <v>68.5</v>
        <stp/>
        <stp>ASK</stp>
        <stp>.AAPL160520P180</stp>
        <tr r="N44" s="2"/>
      </tp>
      <tp>
        <v>0.03</v>
        <stp/>
        <stp>ASK</stp>
        <stp>.AAPL160520C195</stp>
        <tr r="H47" s="2"/>
      </tp>
      <tp>
        <v>83.5</v>
        <stp/>
        <stp>ASK</stp>
        <stp>.AAPL160520P195</stp>
        <tr r="N47" s="2"/>
      </tp>
      <tp>
        <v>0.03</v>
        <stp/>
        <stp>ASK</stp>
        <stp>.AAPL160520C190</stp>
        <tr r="H46" s="2"/>
      </tp>
      <tp>
        <v>78.5</v>
        <stp/>
        <stp>ASK</stp>
        <stp>.AAPL160520P190</stp>
        <tr r="N46" s="2"/>
      </tp>
      <tp>
        <v>254.8</v>
        <stp/>
        <stp>HIGH</stp>
        <stp>TSLA</stp>
        <tr r="K4" s="1"/>
      </tp>
      <tp>
        <v>0</v>
        <stp/>
        <stp>BID</stp>
        <stp>.AAPL160715C180</stp>
        <tr r="F83" s="2"/>
      </tp>
      <tp>
        <v>68.150000000000006</v>
        <stp/>
        <stp>BID</stp>
        <stp>.AAPL160715P180</stp>
        <tr r="L83" s="2"/>
      </tp>
      <tp>
        <v>0</v>
        <stp/>
        <stp>BID</stp>
        <stp>.AAPL160715C175</stp>
        <tr r="F82" s="2"/>
      </tp>
      <tp>
        <v>63.15</v>
        <stp/>
        <stp>BID</stp>
        <stp>.AAPL160715P175</stp>
        <tr r="L82" s="2"/>
      </tp>
      <tp>
        <v>0</v>
        <stp/>
        <stp>BID</stp>
        <stp>.AAPL160715C170</stp>
        <tr r="F81" s="2"/>
      </tp>
      <tp>
        <v>58.15</v>
        <stp/>
        <stp>BID</stp>
        <stp>.AAPL160715P170</stp>
        <tr r="L81" s="2"/>
      </tp>
      <tp>
        <v>0</v>
        <stp/>
        <stp>BID</stp>
        <stp>.AAPL160715C165</stp>
        <tr r="F80" s="2"/>
      </tp>
      <tp>
        <v>53.15</v>
        <stp/>
        <stp>BID</stp>
        <stp>.AAPL160715P165</stp>
        <tr r="L80" s="2"/>
      </tp>
      <tp>
        <v>0.02</v>
        <stp/>
        <stp>BID</stp>
        <stp>.AAPL160715C160</stp>
        <tr r="F79" s="2"/>
      </tp>
      <tp>
        <v>48.1</v>
        <stp/>
        <stp>BID</stp>
        <stp>.AAPL160715P160</stp>
        <tr r="L79" s="2"/>
      </tp>
      <tp>
        <v>0.03</v>
        <stp/>
        <stp>BID</stp>
        <stp>.AAPL160715C155</stp>
        <tr r="F78" s="2"/>
      </tp>
      <tp>
        <v>43.2</v>
        <stp/>
        <stp>BID</stp>
        <stp>.AAPL160715P155</stp>
        <tr r="L78" s="2"/>
      </tp>
      <tp>
        <v>0.06</v>
        <stp/>
        <stp>BID</stp>
        <stp>.AAPL160715C150</stp>
        <tr r="F77" s="2"/>
      </tp>
      <tp>
        <v>38.200000000000003</v>
        <stp/>
        <stp>BID</stp>
        <stp>.AAPL160715P150</stp>
        <tr r="L77" s="2"/>
      </tp>
      <tp>
        <v>0.11</v>
        <stp/>
        <stp>BID</stp>
        <stp>.AAPL160715C145</stp>
        <tr r="F76" s="2"/>
      </tp>
      <tp>
        <v>33.25</v>
        <stp/>
        <stp>BID</stp>
        <stp>.AAPL160715P145</stp>
        <tr r="L76" s="2"/>
      </tp>
      <tp>
        <v>0.17</v>
        <stp/>
        <stp>BID</stp>
        <stp>.AAPL160715C140</stp>
        <tr r="F75" s="2"/>
      </tp>
      <tp>
        <v>28.3</v>
        <stp/>
        <stp>BID</stp>
        <stp>.AAPL160715P140</stp>
        <tr r="L75" s="2"/>
      </tp>
      <tp>
        <v>0.32</v>
        <stp/>
        <stp>BID</stp>
        <stp>.AAPL160715C135</stp>
        <tr r="F74" s="2"/>
      </tp>
      <tp>
        <v>23.45</v>
        <stp/>
        <stp>BID</stp>
        <stp>.AAPL160715P135</stp>
        <tr r="L74" s="2"/>
      </tp>
      <tp>
        <v>0.61</v>
        <stp/>
        <stp>BID</stp>
        <stp>.AAPL160715C130</stp>
        <tr r="F73" s="2"/>
      </tp>
      <tp>
        <v>18.75</v>
        <stp/>
        <stp>BID</stp>
        <stp>.AAPL160715P130</stp>
        <tr r="L73" s="2"/>
      </tp>
      <tp>
        <v>1.2</v>
        <stp/>
        <stp>BID</stp>
        <stp>.AAPL160715C125</stp>
        <tr r="F72" s="2"/>
      </tp>
      <tp>
        <v>14.35</v>
        <stp/>
        <stp>BID</stp>
        <stp>.AAPL160715P125</stp>
        <tr r="L72" s="2"/>
      </tp>
      <tp>
        <v>2.2599999999999998</v>
        <stp/>
        <stp>BID</stp>
        <stp>.AAPL160715C120</stp>
        <tr r="F71" s="2"/>
      </tp>
      <tp>
        <v>10.4</v>
        <stp/>
        <stp>BID</stp>
        <stp>.AAPL160715P120</stp>
        <tr r="L71" s="2"/>
      </tp>
      <tp>
        <v>3.95</v>
        <stp/>
        <stp>BID</stp>
        <stp>.AAPL160715C115</stp>
        <tr r="F70" s="2"/>
      </tp>
      <tp>
        <v>7.1</v>
        <stp/>
        <stp>BID</stp>
        <stp>.AAPL160715P115</stp>
        <tr r="L70" s="2"/>
      </tp>
      <tp>
        <v>6.45</v>
        <stp/>
        <stp>BID</stp>
        <stp>.AAPL160715C110</stp>
        <tr r="F69" s="2"/>
      </tp>
      <tp>
        <v>4.5999999999999996</v>
        <stp/>
        <stp>BID</stp>
        <stp>.AAPL160715P110</stp>
        <tr r="L69" s="2"/>
      </tp>
      <tp>
        <v>9.65</v>
        <stp/>
        <stp>BID</stp>
        <stp>.AAPL160715C105</stp>
        <tr r="F68" s="2"/>
      </tp>
      <tp>
        <v>2.84</v>
        <stp/>
        <stp>BID</stp>
        <stp>.AAPL160715P105</stp>
        <tr r="L68" s="2"/>
      </tp>
      <tp>
        <v>13.5</v>
        <stp/>
        <stp>BID</stp>
        <stp>.AAPL160715C100</stp>
        <tr r="F67" s="2"/>
      </tp>
      <tp>
        <v>1.7</v>
        <stp/>
        <stp>BID</stp>
        <stp>.AAPL160715P100</stp>
        <tr r="L67" s="2"/>
      </tp>
      <tp>
        <v>0.09</v>
        <stp/>
        <stp>ASK</stp>
        <stp>.AAPL160715C150</stp>
        <tr r="H77" s="2"/>
      </tp>
      <tp>
        <v>38.549999999999997</v>
        <stp/>
        <stp>ASK</stp>
        <stp>.AAPL160715P150</stp>
        <tr r="N77" s="2"/>
      </tp>
      <tp>
        <v>7.0000000000000007E-2</v>
        <stp/>
        <stp>ASK</stp>
        <stp>.AAPL160715C155</stp>
        <tr r="H78" s="2"/>
      </tp>
      <tp>
        <v>43.55</v>
        <stp/>
        <stp>ASK</stp>
        <stp>.AAPL160715P155</stp>
        <tr r="N78" s="2"/>
      </tp>
      <tp>
        <v>0.19</v>
        <stp/>
        <stp>ASK</stp>
        <stp>.AAPL160715C140</stp>
        <tr r="H75" s="2"/>
      </tp>
      <tp>
        <v>28.6</v>
        <stp/>
        <stp>ASK</stp>
        <stp>.AAPL160715P140</stp>
        <tr r="N75" s="2"/>
      </tp>
      <tp>
        <v>0.12</v>
        <stp/>
        <stp>ASK</stp>
        <stp>.AAPL160715C145</stp>
        <tr r="H76" s="2"/>
      </tp>
      <tp>
        <v>33.549999999999997</v>
        <stp/>
        <stp>ASK</stp>
        <stp>.AAPL160715P145</stp>
        <tr r="N76" s="2"/>
      </tp>
      <tp>
        <v>0.04</v>
        <stp/>
        <stp>ASK</stp>
        <stp>.AAPL160715C170</stp>
        <tr r="H81" s="2"/>
      </tp>
      <tp>
        <v>58.5</v>
        <stp/>
        <stp>ASK</stp>
        <stp>.AAPL160715P170</stp>
        <tr r="N81" s="2"/>
      </tp>
      <tp>
        <v>0.04</v>
        <stp/>
        <stp>ASK</stp>
        <stp>.AAPL160715C175</stp>
        <tr r="H82" s="2"/>
      </tp>
      <tp>
        <v>63.5</v>
        <stp/>
        <stp>ASK</stp>
        <stp>.AAPL160715P175</stp>
        <tr r="N82" s="2"/>
      </tp>
      <tp>
        <v>0.06</v>
        <stp/>
        <stp>ASK</stp>
        <stp>.AAPL160715C160</stp>
        <tr r="H79" s="2"/>
      </tp>
      <tp>
        <v>48.5</v>
        <stp/>
        <stp>ASK</stp>
        <stp>.AAPL160715P160</stp>
        <tr r="N79" s="2"/>
      </tp>
      <tp>
        <v>0.05</v>
        <stp/>
        <stp>ASK</stp>
        <stp>.AAPL160715C165</stp>
        <tr r="H80" s="2"/>
      </tp>
      <tp>
        <v>53.5</v>
        <stp/>
        <stp>ASK</stp>
        <stp>.AAPL160715P165</stp>
        <tr r="N80" s="2"/>
      </tp>
      <tp>
        <v>6.5</v>
        <stp/>
        <stp>ASK</stp>
        <stp>.AAPL160715C110</stp>
        <tr r="H69" s="2"/>
      </tp>
      <tp>
        <v>4.7</v>
        <stp/>
        <stp>ASK</stp>
        <stp>.AAPL160715P110</stp>
        <tr r="N69" s="2"/>
      </tp>
      <tp>
        <v>4</v>
        <stp/>
        <stp>ASK</stp>
        <stp>.AAPL160715C115</stp>
        <tr r="H70" s="2"/>
      </tp>
      <tp>
        <v>7.25</v>
        <stp/>
        <stp>ASK</stp>
        <stp>.AAPL160715P115</stp>
        <tr r="N70" s="2"/>
      </tp>
      <tp>
        <v>13.65</v>
        <stp/>
        <stp>ASK</stp>
        <stp>.AAPL160715C100</stp>
        <tr r="H67" s="2"/>
      </tp>
      <tp>
        <v>1.72</v>
        <stp/>
        <stp>ASK</stp>
        <stp>.AAPL160715P100</stp>
        <tr r="N67" s="2"/>
      </tp>
      <tp>
        <v>9.75</v>
        <stp/>
        <stp>ASK</stp>
        <stp>.AAPL160715C105</stp>
        <tr r="H68" s="2"/>
      </tp>
      <tp>
        <v>2.87</v>
        <stp/>
        <stp>ASK</stp>
        <stp>.AAPL160715P105</stp>
        <tr r="N68" s="2"/>
      </tp>
      <tp>
        <v>0.63</v>
        <stp/>
        <stp>ASK</stp>
        <stp>.AAPL160715C130</stp>
        <tr r="H73" s="2"/>
      </tp>
      <tp>
        <v>19</v>
        <stp/>
        <stp>ASK</stp>
        <stp>.AAPL160715P130</stp>
        <tr r="N73" s="2"/>
      </tp>
      <tp>
        <v>0.34</v>
        <stp/>
        <stp>ASK</stp>
        <stp>.AAPL160715C135</stp>
        <tr r="H74" s="2"/>
      </tp>
      <tp>
        <v>23.75</v>
        <stp/>
        <stp>ASK</stp>
        <stp>.AAPL160715P135</stp>
        <tr r="N74" s="2"/>
      </tp>
      <tp>
        <v>2.2799999999999998</v>
        <stp/>
        <stp>ASK</stp>
        <stp>.AAPL160715C120</stp>
        <tr r="H71" s="2"/>
      </tp>
      <tp>
        <v>10.5</v>
        <stp/>
        <stp>ASK</stp>
        <stp>.AAPL160715P120</stp>
        <tr r="N71" s="2"/>
      </tp>
      <tp>
        <v>1.22</v>
        <stp/>
        <stp>ASK</stp>
        <stp>.AAPL160715C125</stp>
        <tr r="H72" s="2"/>
      </tp>
      <tp>
        <v>14.55</v>
        <stp/>
        <stp>ASK</stp>
        <stp>.AAPL160715P125</stp>
        <tr r="N72" s="2"/>
      </tp>
      <tp>
        <v>0.04</v>
        <stp/>
        <stp>ASK</stp>
        <stp>.AAPL160715C180</stp>
        <tr r="H83" s="2"/>
      </tp>
      <tp>
        <v>68.5</v>
        <stp/>
        <stp>ASK</stp>
        <stp>.AAPL160715P180</stp>
        <tr r="N83" s="2"/>
      </tp>
      <tp>
        <v>248.51</v>
        <stp/>
        <stp>OPEN</stp>
        <stp>TSLA</stp>
        <tr r="J4" s="1"/>
      </tp>
      <tp>
        <v>0</v>
        <stp/>
        <stp>BID</stp>
        <stp>.AAPL160520C180</stp>
        <tr r="F44" s="2"/>
      </tp>
      <tp>
        <v>68.099999999999994</v>
        <stp/>
        <stp>BID</stp>
        <stp>.AAPL160520P180</stp>
        <tr r="L44" s="2"/>
      </tp>
      <tp>
        <v>0</v>
        <stp/>
        <stp>BID</stp>
        <stp>.AAPL160520C185</stp>
        <tr r="F45" s="2"/>
      </tp>
      <tp>
        <v>73.099999999999994</v>
        <stp/>
        <stp>BID</stp>
        <stp>.AAPL160520P185</stp>
        <tr r="L45" s="2"/>
      </tp>
      <tp>
        <v>0</v>
        <stp/>
        <stp>BID</stp>
        <stp>.AAPL160520C190</stp>
        <tr r="F46" s="2"/>
      </tp>
      <tp>
        <v>78.099999999999994</v>
        <stp/>
        <stp>BID</stp>
        <stp>.AAPL160520P190</stp>
        <tr r="L46" s="2"/>
      </tp>
      <tp>
        <v>0</v>
        <stp/>
        <stp>BID</stp>
        <stp>.AAPL160520C195</stp>
        <tr r="F47" s="2"/>
      </tp>
      <tp>
        <v>83.1</v>
        <stp/>
        <stp>BID</stp>
        <stp>.AAPL160520P195</stp>
        <tr r="L47" s="2"/>
      </tp>
      <tp>
        <v>0.04</v>
        <stp/>
        <stp>BID</stp>
        <stp>.AAPL160520C140</stp>
        <tr r="F36" s="2"/>
      </tp>
      <tp>
        <v>28.2</v>
        <stp/>
        <stp>BID</stp>
        <stp>.AAPL160520P140</stp>
        <tr r="L36" s="2"/>
      </tp>
      <tp>
        <v>0.02</v>
        <stp/>
        <stp>BID</stp>
        <stp>.AAPL160520C145</stp>
        <tr r="F37" s="2"/>
      </tp>
      <tp>
        <v>33.15</v>
        <stp/>
        <stp>BID</stp>
        <stp>.AAPL160520P145</stp>
        <tr r="L37" s="2"/>
      </tp>
      <tp>
        <v>0</v>
        <stp/>
        <stp>BID</stp>
        <stp>.AAPL160520C150</stp>
        <tr r="F38" s="2"/>
      </tp>
      <tp>
        <v>38.1</v>
        <stp/>
        <stp>BID</stp>
        <stp>.AAPL160520P150</stp>
        <tr r="L38" s="2"/>
      </tp>
      <tp>
        <v>0</v>
        <stp/>
        <stp>BID</stp>
        <stp>.AAPL160520C155</stp>
        <tr r="F39" s="2"/>
      </tp>
      <tp>
        <v>43.1</v>
        <stp/>
        <stp>BID</stp>
        <stp>.AAPL160520P155</stp>
        <tr r="L39" s="2"/>
      </tp>
      <tp>
        <v>0</v>
        <stp/>
        <stp>BID</stp>
        <stp>.AAPL160520C160</stp>
        <tr r="F40" s="2"/>
      </tp>
      <tp>
        <v>48.1</v>
        <stp/>
        <stp>BID</stp>
        <stp>.AAPL160520P160</stp>
        <tr r="L40" s="2"/>
      </tp>
      <tp>
        <v>0</v>
        <stp/>
        <stp>BID</stp>
        <stp>.AAPL160520C165</stp>
        <tr r="F41" s="2"/>
      </tp>
      <tp>
        <v>53.1</v>
        <stp/>
        <stp>BID</stp>
        <stp>.AAPL160520P165</stp>
        <tr r="L41" s="2"/>
      </tp>
      <tp>
        <v>0</v>
        <stp/>
        <stp>BID</stp>
        <stp>.AAPL160520C170</stp>
        <tr r="F42" s="2"/>
      </tp>
      <tp>
        <v>58.1</v>
        <stp/>
        <stp>BID</stp>
        <stp>.AAPL160520P170</stp>
        <tr r="L42" s="2"/>
      </tp>
      <tp>
        <v>0</v>
        <stp/>
        <stp>BID</stp>
        <stp>.AAPL160520C175</stp>
        <tr r="F43" s="2"/>
      </tp>
      <tp>
        <v>63.1</v>
        <stp/>
        <stp>BID</stp>
        <stp>.AAPL160520P175</stp>
        <tr r="L43" s="2"/>
      </tp>
      <tp>
        <v>12.7</v>
        <stp/>
        <stp>BID</stp>
        <stp>.AAPL160520C100</stp>
        <tr r="F28" s="2"/>
      </tp>
      <tp>
        <v>0.73</v>
        <stp/>
        <stp>BID</stp>
        <stp>.AAPL160520P100</stp>
        <tr r="L28" s="2"/>
      </tp>
      <tp>
        <v>8.4499999999999993</v>
        <stp/>
        <stp>BID</stp>
        <stp>.AAPL160520C105</stp>
        <tr r="F29" s="2"/>
      </tp>
      <tp>
        <v>1.55</v>
        <stp/>
        <stp>BID</stp>
        <stp>.AAPL160520P105</stp>
        <tr r="L29" s="2"/>
      </tp>
      <tp>
        <v>4.9000000000000004</v>
        <stp/>
        <stp>BID</stp>
        <stp>.AAPL160520C110</stp>
        <tr r="F30" s="2"/>
      </tp>
      <tp>
        <v>3.1</v>
        <stp/>
        <stp>BID</stp>
        <stp>.AAPL160520P110</stp>
        <tr r="L30" s="2"/>
      </tp>
      <tp>
        <v>2.48</v>
        <stp/>
        <stp>BID</stp>
        <stp>.AAPL160520C115</stp>
        <tr r="F31" s="2"/>
      </tp>
      <tp>
        <v>5.7</v>
        <stp/>
        <stp>BID</stp>
        <stp>.AAPL160520P115</stp>
        <tr r="L31" s="2"/>
      </tp>
      <tp>
        <v>1.07</v>
        <stp/>
        <stp>BID</stp>
        <stp>.AAPL160520C120</stp>
        <tr r="F32" s="2"/>
      </tp>
      <tp>
        <v>9.3000000000000007</v>
        <stp/>
        <stp>BID</stp>
        <stp>.AAPL160520P120</stp>
        <tr r="L32" s="2"/>
      </tp>
      <tp>
        <v>0.43</v>
        <stp/>
        <stp>BID</stp>
        <stp>.AAPL160520C125</stp>
        <tr r="F33" s="2"/>
      </tp>
      <tp>
        <v>13.65</v>
        <stp/>
        <stp>BID</stp>
        <stp>.AAPL160520P125</stp>
        <tr r="L33" s="2"/>
      </tp>
      <tp>
        <v>0.18</v>
        <stp/>
        <stp>BID</stp>
        <stp>.AAPL160520C130</stp>
        <tr r="F34" s="2"/>
      </tp>
      <tp>
        <v>18.350000000000001</v>
        <stp/>
        <stp>BID</stp>
        <stp>.AAPL160520P130</stp>
        <tr r="L34" s="2"/>
      </tp>
      <tp>
        <v>0.08</v>
        <stp/>
        <stp>BID</stp>
        <stp>.AAPL160520C135</stp>
        <tr r="F35" s="2"/>
      </tp>
      <tp>
        <v>23.3</v>
        <stp/>
        <stp>BID</stp>
        <stp>.AAPL160520P135</stp>
        <tr r="L35" s="2"/>
      </tp>
      <tp>
        <v>2.23</v>
        <stp/>
        <stp>ASK</stp>
        <stp>.AAPL170616C150</stp>
        <tr r="H163" s="2"/>
      </tp>
      <tp>
        <v>41.55</v>
        <stp/>
        <stp>ASK</stp>
        <stp>.AAPL170616P150</stp>
        <tr r="N163" s="2"/>
      </tp>
      <tp>
        <v>1.77</v>
        <stp/>
        <stp>ASK</stp>
        <stp>.AAPL170616C155</stp>
        <tr r="H164" s="2"/>
      </tp>
      <tp>
        <v>46.1</v>
        <stp/>
        <stp>ASK</stp>
        <stp>.AAPL170616P155</stp>
        <tr r="N164" s="2"/>
      </tp>
      <tp>
        <v>3.65</v>
        <stp/>
        <stp>ASK</stp>
        <stp>.AAPL170616C140</stp>
        <tr r="H161" s="2"/>
      </tp>
      <tp>
        <v>32.9</v>
        <stp/>
        <stp>ASK</stp>
        <stp>.AAPL170616P140</stp>
        <tr r="N161" s="2"/>
      </tp>
      <tp>
        <v>2.81</v>
        <stp/>
        <stp>ASK</stp>
        <stp>.AAPL170616C145</stp>
        <tr r="H162" s="2"/>
      </tp>
      <tp>
        <v>37.15</v>
        <stp/>
        <stp>ASK</stp>
        <stp>.AAPL170616P145</stp>
        <tr r="N162" s="2"/>
      </tp>
      <tp>
        <v>1.39</v>
        <stp/>
        <stp>ASK</stp>
        <stp>.AAPL170616C160</stp>
        <tr r="H165" s="2"/>
      </tp>
      <tp>
        <v>50.65</v>
        <stp/>
        <stp>ASK</stp>
        <stp>.AAPL170616P160</stp>
        <tr r="N165" s="2"/>
      </tp>
      <tp>
        <v>1</v>
        <stp/>
        <stp>ASK</stp>
        <stp>.AAPL170616C165</stp>
        <tr r="H166" s="2"/>
      </tp>
      <tp>
        <v>55.35</v>
        <stp/>
        <stp>ASK</stp>
        <stp>.AAPL170616P165</stp>
        <tr r="N166" s="2"/>
      </tp>
      <tp>
        <v>13.3</v>
        <stp/>
        <stp>ASK</stp>
        <stp>.AAPL170616C110</stp>
        <tr r="H155" s="2"/>
      </tp>
      <tp>
        <v>12.5</v>
        <stp/>
        <stp>ASK</stp>
        <stp>.AAPL170616P110</stp>
        <tr r="N155" s="2"/>
      </tp>
      <tp>
        <v>10.95</v>
        <stp/>
        <stp>ASK</stp>
        <stp>.AAPL170616C115</stp>
        <tr r="H156" s="2"/>
      </tp>
      <tp>
        <v>15.15</v>
        <stp/>
        <stp>ASK</stp>
        <stp>.AAPL170616P115</stp>
        <tr r="N156" s="2"/>
      </tp>
      <tp>
        <v>19.149999999999999</v>
        <stp/>
        <stp>ASK</stp>
        <stp>.AAPL170616C100</stp>
        <tr r="H153" s="2"/>
      </tp>
      <tp>
        <v>8.1999999999999993</v>
        <stp/>
        <stp>ASK</stp>
        <stp>.AAPL170616P100</stp>
        <tr r="N153" s="2"/>
      </tp>
      <tp>
        <v>16.100000000000001</v>
        <stp/>
        <stp>ASK</stp>
        <stp>.AAPL170616C105</stp>
        <tr r="H154" s="2"/>
      </tp>
      <tp>
        <v>10.199999999999999</v>
        <stp/>
        <stp>ASK</stp>
        <stp>.AAPL170616P105</stp>
        <tr r="N154" s="2"/>
      </tp>
      <tp>
        <v>5.75</v>
        <stp/>
        <stp>ASK</stp>
        <stp>.AAPL170616C130</stp>
        <tr r="H159" s="2"/>
      </tp>
      <tp>
        <v>25.05</v>
        <stp/>
        <stp>ASK</stp>
        <stp>.AAPL170616P130</stp>
        <tr r="N159" s="2"/>
      </tp>
      <tp>
        <v>0.03</v>
        <stp/>
        <stp>ASK</stp>
        <stp>.AAPL160520C200</stp>
        <tr r="H48" s="2"/>
      </tp>
      <tp>
        <v>88.5</v>
        <stp/>
        <stp>ASK</stp>
        <stp>.AAPL160520P200</stp>
        <tr r="N48" s="2"/>
      </tp>
      <tp>
        <v>4.5999999999999996</v>
        <stp/>
        <stp>ASK</stp>
        <stp>.AAPL170616C135</stp>
        <tr r="H160" s="2"/>
      </tp>
      <tp>
        <v>28.85</v>
        <stp/>
        <stp>ASK</stp>
        <stp>.AAPL170616P135</stp>
        <tr r="N160" s="2"/>
      </tp>
      <tp>
        <v>8.9</v>
        <stp/>
        <stp>ASK</stp>
        <stp>.AAPL170616C120</stp>
        <tr r="H157" s="2"/>
      </tp>
      <tp>
        <v>18.149999999999999</v>
        <stp/>
        <stp>ASK</stp>
        <stp>.AAPL170616P120</stp>
        <tr r="N157" s="2"/>
      </tp>
      <tp>
        <v>0.03</v>
        <stp/>
        <stp>ASK</stp>
        <stp>.AAPL160520C210</stp>
        <tr r="H49" s="2"/>
      </tp>
      <tp>
        <v>98.5</v>
        <stp/>
        <stp>ASK</stp>
        <stp>.AAPL160520P210</stp>
        <tr r="N49" s="2"/>
      </tp>
      <tp>
        <v>7.2</v>
        <stp/>
        <stp>ASK</stp>
        <stp>.AAPL170616C125</stp>
        <tr r="H158" s="2"/>
      </tp>
      <tp>
        <v>21.45</v>
        <stp/>
        <stp>ASK</stp>
        <stp>.AAPL170616P125</stp>
        <tr r="N158" s="2"/>
      </tp>
      <tp>
        <v>26290172</v>
        <stp/>
        <stp>VOLUME</stp>
        <stp>AAPL</stp>
        <tr r="I4" s="2"/>
      </tp>
      <tp>
        <v>14.5</v>
        <stp/>
        <stp>LAST</stp>
        <stp>.AAPL7170120C95</stp>
        <tr r="C128" s="2"/>
      </tp>
      <tp>
        <v>0</v>
        <stp/>
        <stp>LAST</stp>
        <stp>.AAPL7170120C90</stp>
        <tr r="C127" s="2"/>
      </tp>
      <tp>
        <v>45</v>
        <stp/>
        <stp>LAST</stp>
        <stp>.AAPL7170120C85</stp>
        <tr r="C126" s="2"/>
      </tp>
      <tp>
        <v>22.75</v>
        <stp/>
        <stp>LAST</stp>
        <stp>.AAPL7170120C80</stp>
        <tr r="C125" s="2"/>
      </tp>
      <tp>
        <v>31.8</v>
        <stp/>
        <stp>LAST</stp>
        <stp>.AAPL7170120C75</stp>
        <tr r="C124" s="2"/>
      </tp>
      <tp>
        <v>38</v>
        <stp/>
        <stp>LAST</stp>
        <stp>.AAPL7170120C70</stp>
        <tr r="C123" s="2"/>
      </tp>
      <tp>
        <v>35</v>
        <stp/>
        <stp>LAST</stp>
        <stp>.AAPL7170120C65</stp>
        <tr r="C122" s="2"/>
      </tp>
      <tp>
        <v>0</v>
        <stp/>
        <stp>BID</stp>
        <stp>.AAPL7170120C95</stp>
        <tr r="F128" s="2"/>
      </tp>
      <tp>
        <v>0</v>
        <stp/>
        <stp>BID</stp>
        <stp>.AAPL7170120C90</stp>
        <tr r="F127" s="2"/>
      </tp>
      <tp>
        <v>0</v>
        <stp/>
        <stp>BID</stp>
        <stp>.AAPL7170120C85</stp>
        <tr r="F126" s="2"/>
      </tp>
      <tp>
        <v>0</v>
        <stp/>
        <stp>BID</stp>
        <stp>.AAPL7170120C80</stp>
        <tr r="F125" s="2"/>
      </tp>
      <tp>
        <v>0</v>
        <stp/>
        <stp>BID</stp>
        <stp>.AAPL7170120C75</stp>
        <tr r="F124" s="2"/>
      </tp>
      <tp>
        <v>0</v>
        <stp/>
        <stp>BID</stp>
        <stp>.AAPL7170120C70</stp>
        <tr r="F123" s="2"/>
      </tp>
      <tp>
        <v>0</v>
        <stp/>
        <stp>BID</stp>
        <stp>.AAPL7170120C65</stp>
        <tr r="F122" s="2"/>
      </tp>
      <tp>
        <v>38</v>
        <stp/>
        <stp>ASK</stp>
        <stp>.AAPL7170120C70</stp>
        <tr r="H123" s="2"/>
      </tp>
      <tp>
        <v>38</v>
        <stp/>
        <stp>ASK</stp>
        <stp>.AAPL7170120C75</stp>
        <tr r="H124" s="2"/>
      </tp>
      <tp>
        <v>43.5</v>
        <stp/>
        <stp>ASK</stp>
        <stp>.AAPL7170120C65</stp>
        <tr r="H122" s="2"/>
      </tp>
      <tp>
        <v>40</v>
        <stp/>
        <stp>ASK</stp>
        <stp>.AAPL7170120C90</stp>
        <tr r="H127" s="2"/>
      </tp>
      <tp>
        <v>14.5</v>
        <stp/>
        <stp>ASK</stp>
        <stp>.AAPL7170120C95</stp>
        <tr r="H128" s="2"/>
      </tp>
      <tp>
        <v>22.75</v>
        <stp/>
        <stp>ASK</stp>
        <stp>.AAPL7170120C80</stp>
        <tr r="H125" s="2"/>
      </tp>
      <tp>
        <v>46</v>
        <stp/>
        <stp>ASK</stp>
        <stp>.AAPL7170120C85</stp>
        <tr r="H126" s="2"/>
      </tp>
      <tp>
        <v>5544583000</v>
        <stp/>
        <stp>SHARES</stp>
        <stp>AAPL</stp>
        <tr r="I7" s="2"/>
      </tp>
      <tp t="s">
        <v>5 x 14</v>
        <stp/>
        <stp>BA_SIZE</stp>
        <stp>AAPL</stp>
        <tr r="H4" s="2"/>
      </tp>
      <tp>
        <v>4091123</v>
        <stp/>
        <stp>VOLUME</stp>
        <stp>TSLA</stp>
        <tr r="I4" s="1"/>
      </tp>
      <tp>
        <v>5</v>
        <stp/>
        <stp>LAST</stp>
        <stp>.AAPL7170120P95</stp>
        <tr r="P128" s="2"/>
      </tp>
      <tp>
        <v>7.5</v>
        <stp/>
        <stp>LAST</stp>
        <stp>.AAPL7170120P90</stp>
        <tr r="P127" s="2"/>
      </tp>
      <tp>
        <v>9.15</v>
        <stp/>
        <stp>LAST</stp>
        <stp>.AAPL7170120P85</stp>
        <tr r="P126" s="2"/>
      </tp>
      <tp>
        <v>2</v>
        <stp/>
        <stp>LAST</stp>
        <stp>.AAPL7170120P80</stp>
        <tr r="P125" s="2"/>
      </tp>
      <tp>
        <v>4.05</v>
        <stp/>
        <stp>LAST</stp>
        <stp>.AAPL7170120P75</stp>
        <tr r="P124" s="2"/>
      </tp>
      <tp>
        <v>2</v>
        <stp/>
        <stp>LAST</stp>
        <stp>.AAPL7170120P70</stp>
        <tr r="P123" s="2"/>
      </tp>
      <tp>
        <v>4.5</v>
        <stp/>
        <stp>LAST</stp>
        <stp>.AAPL7170120P65</stp>
        <tr r="P122" s="2"/>
      </tp>
      <tp>
        <v>80</v>
        <stp/>
        <stp>STRIKE</stp>
        <stp>.AAPL160715C80</stp>
        <tr r="K60" s="2"/>
      </tp>
      <tp>
        <v>90</v>
        <stp/>
        <stp>STRIKE</stp>
        <stp>.AAPL170616C90</stp>
        <tr r="K149" s="2"/>
      </tp>
      <tp>
        <v>85</v>
        <stp/>
        <stp>STRIKE</stp>
        <stp>.AAPL160715C85</stp>
        <tr r="K61" s="2"/>
      </tp>
      <tp>
        <v>95</v>
        <stp/>
        <stp>STRIKE</stp>
        <stp>.AAPL170616C95</stp>
        <tr r="K151" s="2"/>
      </tp>
      <tp>
        <v>90</v>
        <stp/>
        <stp>STRIKE</stp>
        <stp>.AAPL160715C90</stp>
        <tr r="K63" s="2"/>
      </tp>
      <tp>
        <v>80</v>
        <stp/>
        <stp>STRIKE</stp>
        <stp>.AAPL170616C80</stp>
        <tr r="K146" s="2"/>
      </tp>
      <tp>
        <v>95</v>
        <stp/>
        <stp>STRIKE</stp>
        <stp>.AAPL160715C95</stp>
        <tr r="K65" s="2"/>
      </tp>
      <tp>
        <v>85</v>
        <stp/>
        <stp>STRIKE</stp>
        <stp>.AAPL170616C85</stp>
        <tr r="K147" s="2"/>
      </tp>
      <tp>
        <v>80</v>
        <stp/>
        <stp>STRIKE</stp>
        <stp>.AAPL160520C80</stp>
        <tr r="K21" s="2"/>
      </tp>
      <tp>
        <v>85</v>
        <stp/>
        <stp>STRIKE</stp>
        <stp>.AAPL160520C85</stp>
        <tr r="K22" s="2"/>
      </tp>
      <tp>
        <v>90</v>
        <stp/>
        <stp>STRIKE</stp>
        <stp>.AAPL160520C90</stp>
        <tr r="K24" s="2"/>
      </tp>
      <tp>
        <v>95</v>
        <stp/>
        <stp>STRIKE</stp>
        <stp>.AAPL160520C95</stp>
        <tr r="K26" s="2"/>
      </tp>
      <tp>
        <v>60</v>
        <stp/>
        <stp>STRIKE</stp>
        <stp>.AAPL160520C60</stp>
        <tr r="K17" s="2"/>
      </tp>
      <tp>
        <v>50</v>
        <stp/>
        <stp>STRIKE</stp>
        <stp>.AAPL170616C50</stp>
        <tr r="K140" s="2"/>
      </tp>
      <tp>
        <v>65</v>
        <stp/>
        <stp>STRIKE</stp>
        <stp>.AAPL160520C65</stp>
        <tr r="K18" s="2"/>
      </tp>
      <tp>
        <v>55</v>
        <stp/>
        <stp>STRIKE</stp>
        <stp>.AAPL170616C55</stp>
        <tr r="K141" s="2"/>
      </tp>
      <tp>
        <v>70</v>
        <stp/>
        <stp>STRIKE</stp>
        <stp>.AAPL160520C70</stp>
        <tr r="K19" s="2"/>
      </tp>
      <tp>
        <v>50</v>
        <stp/>
        <stp>STRIKE</stp>
        <stp>.AAPL160715C50</stp>
        <tr r="K54" s="2"/>
      </tp>
      <tp>
        <v>75</v>
        <stp/>
        <stp>STRIKE</stp>
        <stp>.AAPL160520C75</stp>
        <tr r="K20" s="2"/>
      </tp>
      <tp>
        <v>55</v>
        <stp/>
        <stp>STRIKE</stp>
        <stp>.AAPL160715C55</stp>
        <tr r="K55" s="2"/>
      </tp>
      <tp>
        <v>60</v>
        <stp/>
        <stp>STRIKE</stp>
        <stp>.AAPL160715C60</stp>
        <tr r="K56" s="2"/>
      </tp>
      <tp>
        <v>70</v>
        <stp/>
        <stp>STRIKE</stp>
        <stp>.AAPL170616C70</stp>
        <tr r="K144" s="2"/>
      </tp>
      <tp>
        <v>65</v>
        <stp/>
        <stp>STRIKE</stp>
        <stp>.AAPL160715C65</stp>
        <tr r="K57" s="2"/>
      </tp>
      <tp>
        <v>75</v>
        <stp/>
        <stp>STRIKE</stp>
        <stp>.AAPL170616C75</stp>
        <tr r="K145" s="2"/>
      </tp>
      <tp>
        <v>50</v>
        <stp/>
        <stp>STRIKE</stp>
        <stp>.AAPL160520C50</stp>
        <tr r="K15" s="2"/>
      </tp>
      <tp>
        <v>70</v>
        <stp/>
        <stp>STRIKE</stp>
        <stp>.AAPL160715C70</stp>
        <tr r="K58" s="2"/>
      </tp>
      <tp>
        <v>60</v>
        <stp/>
        <stp>STRIKE</stp>
        <stp>.AAPL170616C60</stp>
        <tr r="K142" s="2"/>
      </tp>
      <tp>
        <v>55</v>
        <stp/>
        <stp>STRIKE</stp>
        <stp>.AAPL160520C55</stp>
        <tr r="K16" s="2"/>
      </tp>
      <tp>
        <v>75</v>
        <stp/>
        <stp>STRIKE</stp>
        <stp>.AAPL160715C75</stp>
        <tr r="K59" s="2"/>
      </tp>
      <tp>
        <v>65</v>
        <stp/>
        <stp>STRIKE</stp>
        <stp>.AAPL170616C65</stp>
        <tr r="K143" s="2"/>
      </tp>
      <tp>
        <v>90</v>
        <stp/>
        <stp>STRIKE</stp>
        <stp>.AAPL161021C90</stp>
        <tr r="K95" s="2"/>
      </tp>
      <tp>
        <v>95</v>
        <stp/>
        <stp>STRIKE</stp>
        <stp>.AAPL161021C95</stp>
        <tr r="K97" s="2"/>
      </tp>
      <tp>
        <v>80</v>
        <stp/>
        <stp>STRIKE</stp>
        <stp>.AAPL161021C80</stp>
        <tr r="K92" s="2"/>
      </tp>
      <tp>
        <v>85</v>
        <stp/>
        <stp>STRIKE</stp>
        <stp>.AAPL161021C85</stp>
        <tr r="K93" s="2"/>
      </tp>
      <tp>
        <v>70</v>
        <stp/>
        <stp>STRIKE</stp>
        <stp>.AAPL161021C70</stp>
        <tr r="K90" s="2"/>
      </tp>
      <tp>
        <v>75</v>
        <stp/>
        <stp>STRIKE</stp>
        <stp>.AAPL161021C75</stp>
        <tr r="K91" s="2"/>
      </tp>
      <tp>
        <v>60</v>
        <stp/>
        <stp>STRIKE</stp>
        <stp>.AAPL161021C60</stp>
        <tr r="K88" s="2"/>
      </tp>
      <tp>
        <v>65</v>
        <stp/>
        <stp>STRIKE</stp>
        <stp>.AAPL161021C65</stp>
        <tr r="K89" s="2"/>
      </tp>
      <tp>
        <v>50</v>
        <stp/>
        <stp>STRIKE</stp>
        <stp>.AAPL161021C50</stp>
        <tr r="K86" s="2"/>
      </tp>
      <tp>
        <v>55</v>
        <stp/>
        <stp>STRIKE</stp>
        <stp>.AAPL161021C55</stp>
        <tr r="K87" s="2"/>
      </tp>
      <tp>
        <v>2</v>
        <stp/>
        <stp>ASK</stp>
        <stp>.AAPL7170120P70</stp>
        <tr r="N123" s="2"/>
      </tp>
      <tp>
        <v>8.1999999999999993</v>
        <stp/>
        <stp>ASK</stp>
        <stp>.AAPL7170120P75</stp>
        <tr r="N124" s="2"/>
      </tp>
      <tp>
        <v>5.7</v>
        <stp/>
        <stp>ASK</stp>
        <stp>.AAPL7170120P65</stp>
        <tr r="N122" s="2"/>
      </tp>
      <tp>
        <v>7.5</v>
        <stp/>
        <stp>ASK</stp>
        <stp>.AAPL7170120P90</stp>
        <tr r="N127" s="2"/>
      </tp>
      <tp t="s">
        <v>N/A</v>
        <stp/>
        <stp>ASK</stp>
        <stp>.AAPL7170120P95</stp>
        <tr r="N128" s="2"/>
      </tp>
      <tp>
        <v>9.4499999999999993</v>
        <stp/>
        <stp>ASK</stp>
        <stp>.AAPL7170120P80</stp>
        <tr r="N125" s="2"/>
      </tp>
      <tp>
        <v>10.75</v>
        <stp/>
        <stp>ASK</stp>
        <stp>.AAPL7170120P85</stp>
        <tr r="N126" s="2"/>
      </tp>
      <tp>
        <v>65</v>
        <stp/>
        <stp>STRIKE</stp>
        <stp>.AAPL7170120C65</stp>
        <tr r="K122" s="2"/>
      </tp>
      <tp>
        <v>75</v>
        <stp/>
        <stp>STRIKE</stp>
        <stp>.AAPL7170120C75</stp>
        <tr r="K124" s="2"/>
      </tp>
      <tp>
        <v>70</v>
        <stp/>
        <stp>STRIKE</stp>
        <stp>.AAPL7170120C70</stp>
        <tr r="K123" s="2"/>
      </tp>
      <tp>
        <v>85</v>
        <stp/>
        <stp>STRIKE</stp>
        <stp>.AAPL7170120C85</stp>
        <tr r="K126" s="2"/>
      </tp>
      <tp>
        <v>80</v>
        <stp/>
        <stp>STRIKE</stp>
        <stp>.AAPL7170120C80</stp>
        <tr r="K125" s="2"/>
      </tp>
      <tp>
        <v>95</v>
        <stp/>
        <stp>STRIKE</stp>
        <stp>.AAPL7170120C95</stp>
        <tr r="K128" s="2"/>
      </tp>
      <tp>
        <v>90</v>
        <stp/>
        <stp>STRIKE</stp>
        <stp>.AAPL7170120C90</stp>
        <tr r="K127" s="2"/>
      </tp>
      <tp>
        <v>5</v>
        <stp/>
        <stp>BID</stp>
        <stp>.AAPL7170120P95</stp>
        <tr r="L128" s="2"/>
      </tp>
      <tp>
        <v>9.9</v>
        <stp/>
        <stp>BID</stp>
        <stp>.AAPL7170120P90</stp>
        <tr r="L127" s="2"/>
      </tp>
      <tp>
        <v>9.15</v>
        <stp/>
        <stp>BID</stp>
        <stp>.AAPL7170120P85</stp>
        <tr r="L126" s="2"/>
      </tp>
      <tp>
        <v>2</v>
        <stp/>
        <stp>BID</stp>
        <stp>.AAPL7170120P80</stp>
        <tr r="L125" s="2"/>
      </tp>
      <tp>
        <v>2.69</v>
        <stp/>
        <stp>BID</stp>
        <stp>.AAPL7170120P75</stp>
        <tr r="L124" s="2"/>
      </tp>
      <tp>
        <v>0</v>
        <stp/>
        <stp>BID</stp>
        <stp>.AAPL7170120P70</stp>
        <tr r="L123" s="2"/>
      </tp>
      <tp>
        <v>0.7</v>
        <stp/>
        <stp>BID</stp>
        <stp>.AAPL7170120P65</stp>
        <tr r="L122" s="2"/>
      </tp>
      <tp t="s">
        <v>2017-01-21</v>
        <stp/>
        <stp>EXPIRATION_DAY</stp>
        <stp>.AAPL7170120C70</stp>
        <tr r="J123" s="2"/>
      </tp>
      <tp t="s">
        <v>2017-01-21</v>
        <stp/>
        <stp>EXPIRATION_DAY</stp>
        <stp>.AAPL7170120C75</stp>
        <tr r="J124" s="2"/>
      </tp>
      <tp t="s">
        <v>2017-01-21</v>
        <stp/>
        <stp>EXPIRATION_DAY</stp>
        <stp>.AAPL7170120C65</stp>
        <tr r="J122" s="2"/>
      </tp>
      <tp t="s">
        <v>2017-01-21</v>
        <stp/>
        <stp>EXPIRATION_DAY</stp>
        <stp>.AAPL7170120C90</stp>
        <tr r="J127" s="2"/>
      </tp>
      <tp t="s">
        <v>2017-01-21</v>
        <stp/>
        <stp>EXPIRATION_DAY</stp>
        <stp>.AAPL7170120C95</stp>
        <tr r="J128" s="2"/>
      </tp>
      <tp t="s">
        <v>2017-01-21</v>
        <stp/>
        <stp>EXPIRATION_DAY</stp>
        <stp>.AAPL7170120C80</stp>
        <tr r="J125" s="2"/>
      </tp>
      <tp t="s">
        <v>2017-01-21</v>
        <stp/>
        <stp>EXPIRATION_DAY</stp>
        <stp>.AAPL7170120C85</stp>
        <tr r="J126" s="2"/>
      </tp>
      <tp t="s">
        <v>2016-10-22</v>
        <stp/>
        <stp>EXPIRATION_DAY</stp>
        <stp>.AAPL161021C80</stp>
        <tr r="J92" s="2"/>
      </tp>
      <tp t="s">
        <v>2016-10-22</v>
        <stp/>
        <stp>EXPIRATION_DAY</stp>
        <stp>.AAPL161021C85</stp>
        <tr r="J93" s="2"/>
      </tp>
      <tp t="s">
        <v>2016-10-22</v>
        <stp/>
        <stp>EXPIRATION_DAY</stp>
        <stp>.AAPL161021C90</stp>
        <tr r="J95" s="2"/>
      </tp>
      <tp t="s">
        <v>2016-10-22</v>
        <stp/>
        <stp>EXPIRATION_DAY</stp>
        <stp>.AAPL161021C95</stp>
        <tr r="J97" s="2"/>
      </tp>
      <tp t="s">
        <v>2016-10-22</v>
        <stp/>
        <stp>EXPIRATION_DAY</stp>
        <stp>.AAPL161021C60</stp>
        <tr r="J88" s="2"/>
      </tp>
      <tp t="s">
        <v>2016-10-22</v>
        <stp/>
        <stp>EXPIRATION_DAY</stp>
        <stp>.AAPL161021C65</stp>
        <tr r="J89" s="2"/>
      </tp>
      <tp t="s">
        <v>2016-10-22</v>
        <stp/>
        <stp>EXPIRATION_DAY</stp>
        <stp>.AAPL161021C70</stp>
        <tr r="J90" s="2"/>
      </tp>
      <tp t="s">
        <v>2016-10-22</v>
        <stp/>
        <stp>EXPIRATION_DAY</stp>
        <stp>.AAPL161021C75</stp>
        <tr r="J91" s="2"/>
      </tp>
      <tp t="s">
        <v>2016-10-22</v>
        <stp/>
        <stp>EXPIRATION_DAY</stp>
        <stp>.AAPL161021C50</stp>
        <tr r="J86" s="2"/>
      </tp>
      <tp t="s">
        <v>2016-10-22</v>
        <stp/>
        <stp>EXPIRATION_DAY</stp>
        <stp>.AAPL161021C55</stp>
        <tr r="J87" s="2"/>
      </tp>
      <tp>
        <v>132056337</v>
        <stp/>
        <stp>SHARES</stp>
        <stp>TSLA</stp>
        <tr r="I7" s="1"/>
      </tp>
      <tp t="s">
        <v>2017-06-17</v>
        <stp/>
        <stp>EXPIRATION_DAY</stp>
        <stp>.AAPL170616C80</stp>
        <tr r="J146" s="2"/>
      </tp>
      <tp t="s">
        <v>2016-07-16</v>
        <stp/>
        <stp>EXPIRATION_DAY</stp>
        <stp>.AAPL160715C90</stp>
        <tr r="J63" s="2"/>
      </tp>
      <tp t="s">
        <v>2017-06-17</v>
        <stp/>
        <stp>EXPIRATION_DAY</stp>
        <stp>.AAPL170616C85</stp>
        <tr r="J147" s="2"/>
      </tp>
      <tp t="s">
        <v>2016-07-16</v>
        <stp/>
        <stp>EXPIRATION_DAY</stp>
        <stp>.AAPL160715C95</stp>
        <tr r="J65" s="2"/>
      </tp>
      <tp t="s">
        <v>2017-06-17</v>
        <stp/>
        <stp>EXPIRATION_DAY</stp>
        <stp>.AAPL170616C90</stp>
        <tr r="J149" s="2"/>
      </tp>
      <tp t="s">
        <v>2016-07-16</v>
        <stp/>
        <stp>EXPIRATION_DAY</stp>
        <stp>.AAPL160715C80</stp>
        <tr r="J60" s="2"/>
      </tp>
      <tp t="s">
        <v>2017-06-17</v>
        <stp/>
        <stp>EXPIRATION_DAY</stp>
        <stp>.AAPL170616C95</stp>
        <tr r="J151" s="2"/>
      </tp>
      <tp t="s">
        <v>2016-07-16</v>
        <stp/>
        <stp>EXPIRATION_DAY</stp>
        <stp>.AAPL160715C85</stp>
        <tr r="J61" s="2"/>
      </tp>
      <tp t="s">
        <v>2016-05-21</v>
        <stp/>
        <stp>EXPIRATION_DAY</stp>
        <stp>.AAPL160520C90</stp>
        <tr r="J24" s="2"/>
      </tp>
      <tp t="s">
        <v>2016-05-21</v>
        <stp/>
        <stp>EXPIRATION_DAY</stp>
        <stp>.AAPL160520C95</stp>
        <tr r="J26" s="2"/>
      </tp>
      <tp t="s">
        <v>2016-05-21</v>
        <stp/>
        <stp>EXPIRATION_DAY</stp>
        <stp>.AAPL160520C80</stp>
        <tr r="J21" s="2"/>
      </tp>
      <tp t="s">
        <v>2016-05-21</v>
        <stp/>
        <stp>EXPIRATION_DAY</stp>
        <stp>.AAPL160520C85</stp>
        <tr r="J22" s="2"/>
      </tp>
      <tp t="s">
        <v>2016-05-21</v>
        <stp/>
        <stp>EXPIRATION_DAY</stp>
        <stp>.AAPL160520C70</stp>
        <tr r="J19" s="2"/>
      </tp>
      <tp t="s">
        <v>2016-07-16</v>
        <stp/>
        <stp>EXPIRATION_DAY</stp>
        <stp>.AAPL160715C50</stp>
        <tr r="J54" s="2"/>
      </tp>
      <tp t="s">
        <v>2016-05-21</v>
        <stp/>
        <stp>EXPIRATION_DAY</stp>
        <stp>.AAPL160520C75</stp>
        <tr r="J20" s="2"/>
      </tp>
      <tp t="s">
        <v>2016-07-16</v>
        <stp/>
        <stp>EXPIRATION_DAY</stp>
        <stp>.AAPL160715C55</stp>
        <tr r="J55" s="2"/>
      </tp>
      <tp t="s">
        <v>2016-05-21</v>
        <stp/>
        <stp>EXPIRATION_DAY</stp>
        <stp>.AAPL160520C60</stp>
        <tr r="J17" s="2"/>
      </tp>
      <tp t="s">
        <v>2017-06-17</v>
        <stp/>
        <stp>EXPIRATION_DAY</stp>
        <stp>.AAPL170616C50</stp>
        <tr r="J140" s="2"/>
      </tp>
      <tp t="s">
        <v>2016-05-21</v>
        <stp/>
        <stp>EXPIRATION_DAY</stp>
        <stp>.AAPL160520C65</stp>
        <tr r="J18" s="2"/>
      </tp>
      <tp t="s">
        <v>2017-06-17</v>
        <stp/>
        <stp>EXPIRATION_DAY</stp>
        <stp>.AAPL170616C55</stp>
        <tr r="J141" s="2"/>
      </tp>
      <tp t="s">
        <v>2016-05-21</v>
        <stp/>
        <stp>EXPIRATION_DAY</stp>
        <stp>.AAPL160520C50</stp>
        <tr r="J15" s="2"/>
      </tp>
      <tp t="s">
        <v>2017-06-17</v>
        <stp/>
        <stp>EXPIRATION_DAY</stp>
        <stp>.AAPL170616C60</stp>
        <tr r="J142" s="2"/>
      </tp>
      <tp t="s">
        <v>2016-07-16</v>
        <stp/>
        <stp>EXPIRATION_DAY</stp>
        <stp>.AAPL160715C70</stp>
        <tr r="J58" s="2"/>
      </tp>
      <tp t="s">
        <v>2016-05-21</v>
        <stp/>
        <stp>EXPIRATION_DAY</stp>
        <stp>.AAPL160520C55</stp>
        <tr r="J16" s="2"/>
      </tp>
      <tp t="s">
        <v>2017-06-17</v>
        <stp/>
        <stp>EXPIRATION_DAY</stp>
        <stp>.AAPL170616C65</stp>
        <tr r="J143" s="2"/>
      </tp>
      <tp t="s">
        <v>2016-07-16</v>
        <stp/>
        <stp>EXPIRATION_DAY</stp>
        <stp>.AAPL160715C75</stp>
        <tr r="J59" s="2"/>
      </tp>
      <tp t="s">
        <v>2017-06-17</v>
        <stp/>
        <stp>EXPIRATION_DAY</stp>
        <stp>.AAPL170616C70</stp>
        <tr r="J144" s="2"/>
      </tp>
      <tp t="s">
        <v>2016-07-16</v>
        <stp/>
        <stp>EXPIRATION_DAY</stp>
        <stp>.AAPL160715C60</stp>
        <tr r="J56" s="2"/>
      </tp>
      <tp t="s">
        <v>2017-06-17</v>
        <stp/>
        <stp>EXPIRATION_DAY</stp>
        <stp>.AAPL170616C75</stp>
        <tr r="J145" s="2"/>
      </tp>
      <tp t="s">
        <v>2016-07-16</v>
        <stp/>
        <stp>EXPIRATION_DAY</stp>
        <stp>.AAPL160715C65</stp>
        <tr r="J57" s="2"/>
      </tp>
      <tp t="s">
        <v>1 x 2</v>
        <stp/>
        <stp>BA_SIZE</stp>
        <stp>TSLA</stp>
        <tr r="H4" s="1"/>
      </tp>
      <tp t="s">
        <v>C</v>
        <stp/>
        <stp>LX</stp>
        <stp>.AAPL160715C165</stp>
        <tr r="D80" s="2"/>
      </tp>
      <tp t="s">
        <v>C</v>
        <stp/>
        <stp>LX</stp>
        <stp>.AAPL160715P165</stp>
        <tr r="Q80" s="2"/>
      </tp>
      <tp t="s">
        <v>B</v>
        <stp/>
        <stp>BX</stp>
        <stp>.AAPL160715C180</stp>
        <tr r="G83" s="2"/>
      </tp>
      <tp t="s">
        <v>Z</v>
        <stp/>
        <stp>LX</stp>
        <stp>.AAPL160715C160</stp>
        <tr r="D79" s="2"/>
      </tp>
      <tp t="s">
        <v>M</v>
        <stp/>
        <stp>BX</stp>
        <stp>.AAPL160715P180</stp>
        <tr r="M83" s="2"/>
      </tp>
      <tp t="s">
        <v>C</v>
        <stp/>
        <stp>LX</stp>
        <stp>.AAPL160715P160</stp>
        <tr r="Q79" s="2"/>
      </tp>
      <tp t="s">
        <v>C</v>
        <stp/>
        <stp>LX</stp>
        <stp>.AAPL160715C175</stp>
        <tr r="D82" s="2"/>
      </tp>
      <tp t="s">
        <v>A</v>
        <stp/>
        <stp>LX</stp>
        <stp>.AAPL160715P175</stp>
        <tr r="Q82" s="2"/>
      </tp>
      <tp t="s">
        <v>X</v>
        <stp/>
        <stp>LX</stp>
        <stp>.AAPL160715C170</stp>
        <tr r="D81" s="2"/>
      </tp>
      <tp t="s">
        <v>C</v>
        <stp/>
        <stp>LX</stp>
        <stp>.AAPL160715P170</stp>
        <tr r="Q81" s="2"/>
      </tp>
      <tp t="s">
        <v>I</v>
        <stp/>
        <stp>LX</stp>
        <stp>.AAPL160715C145</stp>
        <tr r="D76" s="2"/>
      </tp>
      <tp t="s">
        <v>C</v>
        <stp/>
        <stp>LX</stp>
        <stp>.AAPL160715P145</stp>
        <tr r="Q76" s="2"/>
      </tp>
      <tp t="s">
        <v>X</v>
        <stp/>
        <stp>LX</stp>
        <stp>.AAPL160715C140</stp>
        <tr r="D75" s="2"/>
      </tp>
      <tp t="s">
        <v>I</v>
        <stp/>
        <stp>LX</stp>
        <stp>.AAPL160715P140</stp>
        <tr r="Q75" s="2"/>
      </tp>
      <tp t="s">
        <v>M</v>
        <stp/>
        <stp>LX</stp>
        <stp>.AAPL160715C155</stp>
        <tr r="D78" s="2"/>
      </tp>
      <tp t="s">
        <v>C</v>
        <stp/>
        <stp>LX</stp>
        <stp>.AAPL160715P155</stp>
        <tr r="Q78" s="2"/>
      </tp>
      <tp t="s">
        <v>C</v>
        <stp/>
        <stp>AX</stp>
        <stp>.AAPL160715C180</stp>
        <tr r="I83" s="2"/>
      </tp>
      <tp t="s">
        <v>Q</v>
        <stp/>
        <stp>LX</stp>
        <stp>.AAPL160715C150</stp>
        <tr r="D77" s="2"/>
      </tp>
      <tp t="s">
        <v>M</v>
        <stp/>
        <stp>AX</stp>
        <stp>.AAPL160715P180</stp>
        <tr r="O83" s="2"/>
      </tp>
      <tp t="s">
        <v>X</v>
        <stp/>
        <stp>LX</stp>
        <stp>.AAPL160715P150</stp>
        <tr r="Q77" s="2"/>
      </tp>
      <tp t="s">
        <v>B</v>
        <stp/>
        <stp>LX</stp>
        <stp>.AAPL160715C125</stp>
        <tr r="D72" s="2"/>
      </tp>
      <tp t="s">
        <v>I</v>
        <stp/>
        <stp>LX</stp>
        <stp>.AAPL160715P125</stp>
        <tr r="Q72" s="2"/>
      </tp>
      <tp t="s">
        <v>C</v>
        <stp/>
        <stp>LX</stp>
        <stp>.AAPL160715C120</stp>
        <tr r="D71" s="2"/>
      </tp>
      <tp t="s">
        <v>X</v>
        <stp/>
        <stp>LX</stp>
        <stp>.AAPL160715P120</stp>
        <tr r="Q71" s="2"/>
      </tp>
      <tp t="s">
        <v>I</v>
        <stp/>
        <stp>LX</stp>
        <stp>.AAPL160715C135</stp>
        <tr r="D74" s="2"/>
      </tp>
      <tp t="s">
        <v>C</v>
        <stp/>
        <stp>LX</stp>
        <stp>.AAPL160715P135</stp>
        <tr r="Q74" s="2"/>
      </tp>
      <tp t="s">
        <v>M</v>
        <stp/>
        <stp>LX</stp>
        <stp>.AAPL160715C130</stp>
        <tr r="D73" s="2"/>
      </tp>
      <tp t="s">
        <v>Z</v>
        <stp/>
        <stp>LX</stp>
        <stp>.AAPL160715P130</stp>
        <tr r="Q73" s="2"/>
      </tp>
      <tp t="s">
        <v>B</v>
        <stp/>
        <stp>LX</stp>
        <stp>.AAPL160715C105</stp>
        <tr r="D68" s="2"/>
      </tp>
      <tp t="s">
        <v>I</v>
        <stp/>
        <stp>LX</stp>
        <stp>.AAPL160715P105</stp>
        <tr r="Q68" s="2"/>
      </tp>
      <tp t="s">
        <v>X</v>
        <stp/>
        <stp>LX</stp>
        <stp>.AAPL160715C100</stp>
        <tr r="D67" s="2"/>
      </tp>
      <tp t="s">
        <v>I</v>
        <stp/>
        <stp>LX</stp>
        <stp>.AAPL160715P100</stp>
        <tr r="Q67" s="2"/>
      </tp>
      <tp t="s">
        <v>C</v>
        <stp/>
        <stp>LX</stp>
        <stp>.AAPL160715C115</stp>
        <tr r="D70" s="2"/>
      </tp>
      <tp t="s">
        <v>C</v>
        <stp/>
        <stp>LX</stp>
        <stp>.AAPL160715P115</stp>
        <tr r="Q70" s="2"/>
      </tp>
      <tp t="s">
        <v>X</v>
        <stp/>
        <stp>LX</stp>
        <stp>.AAPL160715C110</stp>
        <tr r="D69" s="2"/>
      </tp>
      <tp t="s">
        <v>X</v>
        <stp/>
        <stp>LX</stp>
        <stp>.AAPL160715P110</stp>
        <tr r="Q69" s="2"/>
      </tp>
      <tp t="s">
        <v>C</v>
        <stp/>
        <stp>AX</stp>
        <stp>.AAPL160715C135</stp>
        <tr r="I74" s="2"/>
      </tp>
      <tp t="s">
        <v>X</v>
        <stp/>
        <stp>BX</stp>
        <stp>.AAPL160715C105</stp>
        <tr r="G68" s="2"/>
      </tp>
      <tp t="s">
        <v>M</v>
        <stp/>
        <stp>AX</stp>
        <stp>.AAPL160715P135</stp>
        <tr r="O74" s="2"/>
      </tp>
      <tp t="s">
        <v>A</v>
        <stp/>
        <stp>BX</stp>
        <stp>.AAPL160715P105</stp>
        <tr r="M68" s="2"/>
      </tp>
      <tp t="s">
        <v>N</v>
        <stp/>
        <stp>AX</stp>
        <stp>.AAPL160715C130</stp>
        <tr r="I73" s="2"/>
      </tp>
      <tp t="s">
        <v>X</v>
        <stp/>
        <stp>BX</stp>
        <stp>.AAPL160715C100</stp>
        <tr r="G67" s="2"/>
      </tp>
      <tp t="s">
        <v>X</v>
        <stp/>
        <stp>AX</stp>
        <stp>.AAPL160715P130</stp>
        <tr r="O73" s="2"/>
      </tp>
      <tp t="s">
        <v>Q</v>
        <stp/>
        <stp>BX</stp>
        <stp>.AAPL160715P100</stp>
        <tr r="M67" s="2"/>
      </tp>
      <tp t="s">
        <v>Z</v>
        <stp/>
        <stp>AX</stp>
        <stp>.AAPL160715C125</stp>
        <tr r="I72" s="2"/>
      </tp>
      <tp t="s">
        <v>C</v>
        <stp/>
        <stp>BX</stp>
        <stp>.AAPL160715C115</stp>
        <tr r="G70" s="2"/>
      </tp>
      <tp t="s">
        <v>X</v>
        <stp/>
        <stp>AX</stp>
        <stp>.AAPL160715P125</stp>
        <tr r="O72" s="2"/>
      </tp>
      <tp t="s">
        <v>C</v>
        <stp/>
        <stp>BX</stp>
        <stp>.AAPL160715P115</stp>
        <tr r="M70" s="2"/>
      </tp>
      <tp t="s">
        <v>Z</v>
        <stp/>
        <stp>AX</stp>
        <stp>.AAPL160715C120</stp>
        <tr r="I71" s="2"/>
      </tp>
      <tp t="s">
        <v>H</v>
        <stp/>
        <stp>BX</stp>
        <stp>.AAPL160715C110</stp>
        <tr r="G69" s="2"/>
      </tp>
      <tp t="s">
        <v>H</v>
        <stp/>
        <stp>AX</stp>
        <stp>.AAPL160715P120</stp>
        <tr r="O71" s="2"/>
      </tp>
      <tp t="s">
        <v>C</v>
        <stp/>
        <stp>BX</stp>
        <stp>.AAPL160715P110</stp>
        <tr r="M69" s="2"/>
      </tp>
      <tp t="s">
        <v>Z</v>
        <stp/>
        <stp>AX</stp>
        <stp>.AAPL160715C115</stp>
        <tr r="I70" s="2"/>
      </tp>
      <tp t="s">
        <v>C</v>
        <stp/>
        <stp>BX</stp>
        <stp>.AAPL160715C125</stp>
        <tr r="G72" s="2"/>
      </tp>
      <tp t="s">
        <v>C</v>
        <stp/>
        <stp>AX</stp>
        <stp>.AAPL160715P115</stp>
        <tr r="O70" s="2"/>
      </tp>
      <tp t="s">
        <v>C</v>
        <stp/>
        <stp>BX</stp>
        <stp>.AAPL160715P125</stp>
        <tr r="M72" s="2"/>
      </tp>
      <tp t="s">
        <v>T</v>
        <stp/>
        <stp>AX</stp>
        <stp>.AAPL160715C110</stp>
        <tr r="I69" s="2"/>
      </tp>
      <tp t="s">
        <v>H</v>
        <stp/>
        <stp>BX</stp>
        <stp>.AAPL160715C120</stp>
        <tr r="G71" s="2"/>
      </tp>
      <tp t="s">
        <v>C</v>
        <stp/>
        <stp>AX</stp>
        <stp>.AAPL160715P110</stp>
        <tr r="O69" s="2"/>
      </tp>
      <tp t="s">
        <v>C</v>
        <stp/>
        <stp>BX</stp>
        <stp>.AAPL160715P120</stp>
        <tr r="M71" s="2"/>
      </tp>
      <tp t="s">
        <v>X</v>
        <stp/>
        <stp>AX</stp>
        <stp>.AAPL160715C105</stp>
        <tr r="I68" s="2"/>
      </tp>
      <tp t="s">
        <v>Z</v>
        <stp/>
        <stp>BX</stp>
        <stp>.AAPL160715C135</stp>
        <tr r="G74" s="2"/>
      </tp>
      <tp t="s">
        <v>M</v>
        <stp/>
        <stp>AX</stp>
        <stp>.AAPL160715P105</stp>
        <tr r="O68" s="2"/>
      </tp>
      <tp t="s">
        <v>Z</v>
        <stp/>
        <stp>BX</stp>
        <stp>.AAPL160715P135</stp>
        <tr r="M74" s="2"/>
      </tp>
      <tp t="s">
        <v>C</v>
        <stp/>
        <stp>AX</stp>
        <stp>.AAPL160715C100</stp>
        <tr r="I67" s="2"/>
      </tp>
      <tp t="s">
        <v>N</v>
        <stp/>
        <stp>BX</stp>
        <stp>.AAPL160715C130</stp>
        <tr r="G73" s="2"/>
      </tp>
      <tp t="s">
        <v>Z</v>
        <stp/>
        <stp>AX</stp>
        <stp>.AAPL160715P100</stp>
        <tr r="O67" s="2"/>
      </tp>
      <tp t="s">
        <v>X</v>
        <stp/>
        <stp>BX</stp>
        <stp>.AAPL160715P130</stp>
        <tr r="M73" s="2"/>
      </tp>
      <tp t="s">
        <v>C</v>
        <stp/>
        <stp>AX</stp>
        <stp>.AAPL160715C175</stp>
        <tr r="I82" s="2"/>
      </tp>
      <tp t="s">
        <v>Z</v>
        <stp/>
        <stp>BX</stp>
        <stp>.AAPL160715C145</stp>
        <tr r="G76" s="2"/>
      </tp>
      <tp t="s">
        <v>M</v>
        <stp/>
        <stp>AX</stp>
        <stp>.AAPL160715P175</stp>
        <tr r="O82" s="2"/>
      </tp>
      <tp t="s">
        <v>X</v>
        <stp/>
        <stp>BX</stp>
        <stp>.AAPL160715P145</stp>
        <tr r="M76" s="2"/>
      </tp>
      <tp t="s">
        <v>C</v>
        <stp/>
        <stp>AX</stp>
        <stp>.AAPL160715C170</stp>
        <tr r="I81" s="2"/>
      </tp>
      <tp t="s">
        <v>Z</v>
        <stp/>
        <stp>BX</stp>
        <stp>.AAPL160715C140</stp>
        <tr r="G75" s="2"/>
      </tp>
      <tp t="s">
        <v>T</v>
        <stp/>
        <stp>AX</stp>
        <stp>.AAPL160715P170</stp>
        <tr r="O81" s="2"/>
      </tp>
      <tp t="s">
        <v>X</v>
        <stp/>
        <stp>BX</stp>
        <stp>.AAPL160715P140</stp>
        <tr r="M75" s="2"/>
      </tp>
      <tp t="s">
        <v>C</v>
        <stp/>
        <stp>AX</stp>
        <stp>.AAPL160715C165</stp>
        <tr r="I80" s="2"/>
      </tp>
      <tp t="s">
        <v>M</v>
        <stp/>
        <stp>BX</stp>
        <stp>.AAPL160715C155</stp>
        <tr r="G78" s="2"/>
      </tp>
      <tp t="s">
        <v>T</v>
        <stp/>
        <stp>AX</stp>
        <stp>.AAPL160715P165</stp>
        <tr r="O80" s="2"/>
      </tp>
      <tp t="s">
        <v>M</v>
        <stp/>
        <stp>BX</stp>
        <stp>.AAPL160715P155</stp>
        <tr r="M78" s="2"/>
      </tp>
      <tp t="s">
        <v>C</v>
        <stp/>
        <stp>AX</stp>
        <stp>.AAPL160715C160</stp>
        <tr r="I79" s="2"/>
      </tp>
      <tp t="s">
        <v>X</v>
        <stp/>
        <stp>BX</stp>
        <stp>.AAPL160715C150</stp>
        <tr r="G77" s="2"/>
      </tp>
      <tp t="s">
        <v>M</v>
        <stp/>
        <stp>AX</stp>
        <stp>.AAPL160715P160</stp>
        <tr r="O79" s="2"/>
      </tp>
      <tp t="s">
        <v>M</v>
        <stp/>
        <stp>BX</stp>
        <stp>.AAPL160715P150</stp>
        <tr r="M77" s="2"/>
      </tp>
      <tp t="s">
        <v>C</v>
        <stp/>
        <stp>AX</stp>
        <stp>.AAPL160715C155</stp>
        <tr r="I78" s="2"/>
      </tp>
      <tp t="s">
        <v>B</v>
        <stp/>
        <stp>BX</stp>
        <stp>.AAPL160715C165</stp>
        <tr r="G80" s="2"/>
      </tp>
      <tp t="s">
        <v>C</v>
        <stp/>
        <stp>AX</stp>
        <stp>.AAPL160715P155</stp>
        <tr r="O78" s="2"/>
      </tp>
      <tp t="s">
        <v>M</v>
        <stp/>
        <stp>BX</stp>
        <stp>.AAPL160715P165</stp>
        <tr r="M80" s="2"/>
      </tp>
      <tp t="s">
        <v>C</v>
        <stp/>
        <stp>AX</stp>
        <stp>.AAPL160715C150</stp>
        <tr r="I77" s="2"/>
      </tp>
      <tp t="s">
        <v>M</v>
        <stp/>
        <stp>BX</stp>
        <stp>.AAPL160715C160</stp>
        <tr r="G79" s="2"/>
      </tp>
      <tp t="s">
        <v>I</v>
        <stp/>
        <stp>LX</stp>
        <stp>.AAPL160715C180</stp>
        <tr r="D83" s="2"/>
      </tp>
      <tp t="s">
        <v>M</v>
        <stp/>
        <stp>AX</stp>
        <stp>.AAPL160715P150</stp>
        <tr r="O77" s="2"/>
      </tp>
      <tp t="s">
        <v>M</v>
        <stp/>
        <stp>BX</stp>
        <stp>.AAPL160715P160</stp>
        <tr r="M79" s="2"/>
      </tp>
      <tp t="s">
        <v>C</v>
        <stp/>
        <stp>LX</stp>
        <stp>.AAPL160715P180</stp>
        <tr r="Q83" s="2"/>
      </tp>
      <tp t="s">
        <v>X</v>
        <stp/>
        <stp>AX</stp>
        <stp>.AAPL160715C145</stp>
        <tr r="I76" s="2"/>
      </tp>
      <tp t="s">
        <v>B</v>
        <stp/>
        <stp>BX</stp>
        <stp>.AAPL160715C175</stp>
        <tr r="G82" s="2"/>
      </tp>
      <tp t="s">
        <v>C</v>
        <stp/>
        <stp>AX</stp>
        <stp>.AAPL160715P145</stp>
        <tr r="O76" s="2"/>
      </tp>
      <tp t="s">
        <v>M</v>
        <stp/>
        <stp>BX</stp>
        <stp>.AAPL160715P175</stp>
        <tr r="M82" s="2"/>
      </tp>
      <tp t="s">
        <v>Z</v>
        <stp/>
        <stp>AX</stp>
        <stp>.AAPL160715C140</stp>
        <tr r="I75" s="2"/>
      </tp>
      <tp t="s">
        <v>B</v>
        <stp/>
        <stp>BX</stp>
        <stp>.AAPL160715C170</stp>
        <tr r="G81" s="2"/>
      </tp>
      <tp t="s">
        <v>X</v>
        <stp/>
        <stp>AX</stp>
        <stp>.AAPL160715P140</stp>
        <tr r="O75" s="2"/>
      </tp>
      <tp t="s">
        <v>M</v>
        <stp/>
        <stp>BX</stp>
        <stp>.AAPL160715P170</stp>
        <tr r="M81" s="2"/>
      </tp>
      <tp t="s">
        <v>N</v>
        <stp/>
        <stp>LX</stp>
        <stp>.AAPL170616C165</stp>
        <tr r="D166" s="2"/>
      </tp>
      <tp t="s">
        <v>M</v>
        <stp/>
        <stp>LX</stp>
        <stp>.AAPL170616P165</stp>
        <tr r="Q166" s="2"/>
      </tp>
      <tp t="s">
        <v>N</v>
        <stp/>
        <stp>LX</stp>
        <stp>.AAPL170616C160</stp>
        <tr r="D165" s="2"/>
      </tp>
      <tp t="s">
        <v/>
        <stp/>
        <stp>LX</stp>
        <stp>.AAPL170616P160</stp>
        <tr r="Q165" s="2"/>
      </tp>
      <tp t="s">
        <v>I</v>
        <stp/>
        <stp>LX</stp>
        <stp>.AAPL170616C145</stp>
        <tr r="D162" s="2"/>
      </tp>
      <tp t="s">
        <v>X</v>
        <stp/>
        <stp>LX</stp>
        <stp>.AAPL170616P145</stp>
        <tr r="Q162" s="2"/>
      </tp>
      <tp t="s">
        <v>I</v>
        <stp/>
        <stp>LX</stp>
        <stp>.AAPL170616C140</stp>
        <tr r="D161" s="2"/>
      </tp>
      <tp t="s">
        <v>N</v>
        <stp/>
        <stp>LX</stp>
        <stp>.AAPL170616P140</stp>
        <tr r="Q161" s="2"/>
      </tp>
      <tp t="s">
        <v>A</v>
        <stp/>
        <stp>LX</stp>
        <stp>.AAPL170616C155</stp>
        <tr r="D164" s="2"/>
      </tp>
      <tp t="s">
        <v>X</v>
        <stp/>
        <stp>LX</stp>
        <stp>.AAPL170616P155</stp>
        <tr r="Q164" s="2"/>
      </tp>
      <tp t="s">
        <v>Q</v>
        <stp/>
        <stp>LX</stp>
        <stp>.AAPL170616C150</stp>
        <tr r="D163" s="2"/>
      </tp>
      <tp t="s">
        <v>I</v>
        <stp/>
        <stp>LX</stp>
        <stp>.AAPL170616P150</stp>
        <tr r="Q163" s="2"/>
      </tp>
      <tp t="s">
        <v/>
        <stp/>
        <stp>LX</stp>
        <stp>.AAPL160520C210</stp>
        <tr r="D49" s="2"/>
      </tp>
      <tp t="s">
        <v>Z</v>
        <stp/>
        <stp>LX</stp>
        <stp>.AAPL160520P210</stp>
        <tr r="Q49" s="2"/>
      </tp>
      <tp t="s">
        <v>X</v>
        <stp/>
        <stp>LX</stp>
        <stp>.AAPL170616C125</stp>
        <tr r="D158" s="2"/>
      </tp>
      <tp t="s">
        <v>X</v>
        <stp/>
        <stp>LX</stp>
        <stp>.AAPL170616P125</stp>
        <tr r="Q158" s="2"/>
      </tp>
      <tp t="s">
        <v>X</v>
        <stp/>
        <stp>LX</stp>
        <stp>.AAPL170616C120</stp>
        <tr r="D157" s="2"/>
      </tp>
      <tp t="s">
        <v>I</v>
        <stp/>
        <stp>LX</stp>
        <stp>.AAPL170616P120</stp>
        <tr r="Q157" s="2"/>
      </tp>
      <tp t="s">
        <v/>
        <stp/>
        <stp>LX</stp>
        <stp>.AAPL160520C200</stp>
        <tr r="D48" s="2"/>
      </tp>
      <tp t="s">
        <v>N</v>
        <stp/>
        <stp>LX</stp>
        <stp>.AAPL160520P200</stp>
        <tr r="Q48" s="2"/>
      </tp>
      <tp t="s">
        <v>I</v>
        <stp/>
        <stp>LX</stp>
        <stp>.AAPL170616C135</stp>
        <tr r="D160" s="2"/>
      </tp>
      <tp t="s">
        <v>C</v>
        <stp/>
        <stp>LX</stp>
        <stp>.AAPL170616P135</stp>
        <tr r="Q160" s="2"/>
      </tp>
      <tp t="s">
        <v>M</v>
        <stp/>
        <stp>LX</stp>
        <stp>.AAPL170616C130</stp>
        <tr r="D159" s="2"/>
      </tp>
      <tp t="s">
        <v>N</v>
        <stp/>
        <stp>LX</stp>
        <stp>.AAPL170616P130</stp>
        <tr r="Q159" s="2"/>
      </tp>
      <tp t="s">
        <v>X</v>
        <stp/>
        <stp>LX</stp>
        <stp>.AAPL170616C105</stp>
        <tr r="D154" s="2"/>
      </tp>
      <tp t="s">
        <v>I</v>
        <stp/>
        <stp>LX</stp>
        <stp>.AAPL170616P105</stp>
        <tr r="Q154" s="2"/>
      </tp>
      <tp t="s">
        <v>Z</v>
        <stp/>
        <stp>LX</stp>
        <stp>.AAPL170616C100</stp>
        <tr r="D153" s="2"/>
      </tp>
      <tp t="s">
        <v>C</v>
        <stp/>
        <stp>LX</stp>
        <stp>.AAPL170616P100</stp>
        <tr r="Q153" s="2"/>
      </tp>
      <tp t="s">
        <v>I</v>
        <stp/>
        <stp>LX</stp>
        <stp>.AAPL170616C115</stp>
        <tr r="D156" s="2"/>
      </tp>
      <tp t="s">
        <v>Z</v>
        <stp/>
        <stp>LX</stp>
        <stp>.AAPL170616P115</stp>
        <tr r="Q156" s="2"/>
      </tp>
      <tp t="s">
        <v>Z</v>
        <stp/>
        <stp>LX</stp>
        <stp>.AAPL170616C110</stp>
        <tr r="D155" s="2"/>
      </tp>
      <tp t="s">
        <v>C</v>
        <stp/>
        <stp>LX</stp>
        <stp>.AAPL170616P110</stp>
        <tr r="Q155" s="2"/>
      </tp>
      <tp t="s">
        <v>C</v>
        <stp/>
        <stp>AX</stp>
        <stp>.AAPL160520C200</stp>
        <tr r="I48" s="2"/>
      </tp>
      <tp t="s">
        <v>C</v>
        <stp/>
        <stp>AX</stp>
        <stp>.AAPL160520P200</stp>
        <tr r="O48" s="2"/>
      </tp>
      <tp t="s">
        <v>C</v>
        <stp/>
        <stp>AX</stp>
        <stp>.AAPL170616C135</stp>
        <tr r="I160" s="2"/>
      </tp>
      <tp t="s">
        <v>C</v>
        <stp/>
        <stp>BX</stp>
        <stp>.AAPL170616C105</stp>
        <tr r="G154" s="2"/>
      </tp>
      <tp t="s">
        <v>C</v>
        <stp/>
        <stp>AX</stp>
        <stp>.AAPL170616P135</stp>
        <tr r="O160" s="2"/>
      </tp>
      <tp t="s">
        <v>C</v>
        <stp/>
        <stp>BX</stp>
        <stp>.AAPL170616P105</stp>
        <tr r="M154" s="2"/>
      </tp>
      <tp t="s">
        <v>A</v>
        <stp/>
        <stp>AX</stp>
        <stp>.AAPL170616C130</stp>
        <tr r="I159" s="2"/>
      </tp>
      <tp t="s">
        <v>C</v>
        <stp/>
        <stp>BX</stp>
        <stp>.AAPL170616C100</stp>
        <tr r="G153" s="2"/>
      </tp>
      <tp t="s">
        <v>C</v>
        <stp/>
        <stp>AX</stp>
        <stp>.AAPL170616P130</stp>
        <tr r="O159" s="2"/>
      </tp>
      <tp t="s">
        <v>X</v>
        <stp/>
        <stp>BX</stp>
        <stp>.AAPL170616P100</stp>
        <tr r="M153" s="2"/>
      </tp>
      <tp t="s">
        <v>C</v>
        <stp/>
        <stp>AX</stp>
        <stp>.AAPL160520C210</stp>
        <tr r="I49" s="2"/>
      </tp>
      <tp t="s">
        <v>C</v>
        <stp/>
        <stp>AX</stp>
        <stp>.AAPL160520P210</stp>
        <tr r="O49" s="2"/>
      </tp>
      <tp t="s">
        <v>C</v>
        <stp/>
        <stp>AX</stp>
        <stp>.AAPL170616C125</stp>
        <tr r="I158" s="2"/>
      </tp>
      <tp t="s">
        <v>C</v>
        <stp/>
        <stp>BX</stp>
        <stp>.AAPL170616C115</stp>
        <tr r="G156" s="2"/>
      </tp>
      <tp t="s">
        <v>X</v>
        <stp/>
        <stp>AX</stp>
        <stp>.AAPL170616P125</stp>
        <tr r="O158" s="2"/>
      </tp>
      <tp t="s">
        <v>C</v>
        <stp/>
        <stp>BX</stp>
        <stp>.AAPL170616P115</stp>
        <tr r="M156" s="2"/>
      </tp>
      <tp t="s">
        <v>X</v>
        <stp/>
        <stp>AX</stp>
        <stp>.AAPL170616C120</stp>
        <tr r="I157" s="2"/>
      </tp>
      <tp t="s">
        <v>C</v>
        <stp/>
        <stp>BX</stp>
        <stp>.AAPL170616C110</stp>
        <tr r="G155" s="2"/>
      </tp>
      <tp t="s">
        <v>C</v>
        <stp/>
        <stp>AX</stp>
        <stp>.AAPL170616P120</stp>
        <tr r="O157" s="2"/>
      </tp>
      <tp t="s">
        <v>C</v>
        <stp/>
        <stp>BX</stp>
        <stp>.AAPL170616P110</stp>
        <tr r="M155" s="2"/>
      </tp>
      <tp t="s">
        <v>B</v>
        <stp/>
        <stp>BX</stp>
        <stp>.AAPL160520C210</stp>
        <tr r="G49" s="2"/>
      </tp>
      <tp t="s">
        <v>W</v>
        <stp/>
        <stp>BX</stp>
        <stp>.AAPL160520P210</stp>
        <tr r="M49" s="2"/>
      </tp>
      <tp t="s">
        <v>C</v>
        <stp/>
        <stp>AX</stp>
        <stp>.AAPL170616C115</stp>
        <tr r="I156" s="2"/>
      </tp>
      <tp t="s">
        <v>C</v>
        <stp/>
        <stp>BX</stp>
        <stp>.AAPL170616C125</stp>
        <tr r="G158" s="2"/>
      </tp>
      <tp t="s">
        <v>C</v>
        <stp/>
        <stp>AX</stp>
        <stp>.AAPL170616P115</stp>
        <tr r="O156" s="2"/>
      </tp>
      <tp t="s">
        <v>X</v>
        <stp/>
        <stp>BX</stp>
        <stp>.AAPL170616P125</stp>
        <tr r="M158" s="2"/>
      </tp>
      <tp t="s">
        <v>X</v>
        <stp/>
        <stp>AX</stp>
        <stp>.AAPL170616C110</stp>
        <tr r="I155" s="2"/>
      </tp>
      <tp t="s">
        <v>C</v>
        <stp/>
        <stp>BX</stp>
        <stp>.AAPL170616C120</stp>
        <tr r="G157" s="2"/>
      </tp>
      <tp t="s">
        <v>C</v>
        <stp/>
        <stp>AX</stp>
        <stp>.AAPL170616P110</stp>
        <tr r="O155" s="2"/>
      </tp>
      <tp t="s">
        <v>X</v>
        <stp/>
        <stp>BX</stp>
        <stp>.AAPL170616P120</stp>
        <tr r="M157" s="2"/>
      </tp>
      <tp t="s">
        <v>B</v>
        <stp/>
        <stp>BX</stp>
        <stp>.AAPL160520C200</stp>
        <tr r="G48" s="2"/>
      </tp>
      <tp t="s">
        <v>W</v>
        <stp/>
        <stp>BX</stp>
        <stp>.AAPL160520P200</stp>
        <tr r="M48" s="2"/>
      </tp>
      <tp t="s">
        <v>X</v>
        <stp/>
        <stp>AX</stp>
        <stp>.AAPL170616C105</stp>
        <tr r="I154" s="2"/>
      </tp>
      <tp t="s">
        <v>X</v>
        <stp/>
        <stp>BX</stp>
        <stp>.AAPL170616C135</stp>
        <tr r="G160" s="2"/>
      </tp>
      <tp t="s">
        <v>C</v>
        <stp/>
        <stp>AX</stp>
        <stp>.AAPL170616P105</stp>
        <tr r="O154" s="2"/>
      </tp>
      <tp t="s">
        <v>X</v>
        <stp/>
        <stp>BX</stp>
        <stp>.AAPL170616P135</stp>
        <tr r="M160" s="2"/>
      </tp>
      <tp t="s">
        <v>C</v>
        <stp/>
        <stp>AX</stp>
        <stp>.AAPL170616C100</stp>
        <tr r="I153" s="2"/>
      </tp>
      <tp t="s">
        <v>X</v>
        <stp/>
        <stp>BX</stp>
        <stp>.AAPL170616C130</stp>
        <tr r="G159" s="2"/>
      </tp>
      <tp t="s">
        <v>X</v>
        <stp/>
        <stp>AX</stp>
        <stp>.AAPL170616P100</stp>
        <tr r="O153" s="2"/>
      </tp>
      <tp t="s">
        <v>X</v>
        <stp/>
        <stp>BX</stp>
        <stp>.AAPL170616P130</stp>
        <tr r="M159" s="2"/>
      </tp>
      <tp t="s">
        <v>C</v>
        <stp/>
        <stp>BX</stp>
        <stp>.AAPL170616C145</stp>
        <tr r="G162" s="2"/>
      </tp>
      <tp t="s">
        <v>X</v>
        <stp/>
        <stp>BX</stp>
        <stp>.AAPL170616P145</stp>
        <tr r="M162" s="2"/>
      </tp>
      <tp t="s">
        <v>X</v>
        <stp/>
        <stp>BX</stp>
        <stp>.AAPL170616C140</stp>
        <tr r="G161" s="2"/>
      </tp>
      <tp t="s">
        <v>X</v>
        <stp/>
        <stp>BX</stp>
        <stp>.AAPL170616P140</stp>
        <tr r="M161" s="2"/>
      </tp>
      <tp t="s">
        <v>X</v>
        <stp/>
        <stp>AX</stp>
        <stp>.AAPL170616C165</stp>
        <tr r="I166" s="2"/>
      </tp>
      <tp t="s">
        <v>C</v>
        <stp/>
        <stp>BX</stp>
        <stp>.AAPL170616C155</stp>
        <tr r="G164" s="2"/>
      </tp>
      <tp t="s">
        <v>A</v>
        <stp/>
        <stp>AX</stp>
        <stp>.AAPL170616P165</stp>
        <tr r="O166" s="2"/>
      </tp>
      <tp t="s">
        <v>X</v>
        <stp/>
        <stp>BX</stp>
        <stp>.AAPL170616P155</stp>
        <tr r="M164" s="2"/>
      </tp>
      <tp t="s">
        <v>C</v>
        <stp/>
        <stp>AX</stp>
        <stp>.AAPL170616C160</stp>
        <tr r="I165" s="2"/>
      </tp>
      <tp t="s">
        <v>Q</v>
        <stp/>
        <stp>BX</stp>
        <stp>.AAPL170616C150</stp>
        <tr r="G163" s="2"/>
      </tp>
      <tp t="s">
        <v>X</v>
        <stp/>
        <stp>AX</stp>
        <stp>.AAPL170616P160</stp>
        <tr r="O165" s="2"/>
      </tp>
      <tp t="s">
        <v>C</v>
        <stp/>
        <stp>BX</stp>
        <stp>.AAPL170616P150</stp>
        <tr r="M163" s="2"/>
      </tp>
      <tp t="s">
        <v>C</v>
        <stp/>
        <stp>AX</stp>
        <stp>.AAPL170616C155</stp>
        <tr r="I164" s="2"/>
      </tp>
      <tp t="s">
        <v>C</v>
        <stp/>
        <stp>BX</stp>
        <stp>.AAPL170616C165</stp>
        <tr r="G166" s="2"/>
      </tp>
      <tp t="s">
        <v>X</v>
        <stp/>
        <stp>AX</stp>
        <stp>.AAPL170616P155</stp>
        <tr r="O164" s="2"/>
      </tp>
      <tp t="s">
        <v>T</v>
        <stp/>
        <stp>BX</stp>
        <stp>.AAPL170616P165</stp>
        <tr r="M166" s="2"/>
      </tp>
      <tp t="s">
        <v>C</v>
        <stp/>
        <stp>AX</stp>
        <stp>.AAPL170616C150</stp>
        <tr r="I163" s="2"/>
      </tp>
      <tp t="s">
        <v>X</v>
        <stp/>
        <stp>BX</stp>
        <stp>.AAPL170616C160</stp>
        <tr r="G165" s="2"/>
      </tp>
      <tp t="s">
        <v>C</v>
        <stp/>
        <stp>AX</stp>
        <stp>.AAPL170616P150</stp>
        <tr r="O163" s="2"/>
      </tp>
      <tp t="s">
        <v>X</v>
        <stp/>
        <stp>BX</stp>
        <stp>.AAPL170616P160</stp>
        <tr r="M165" s="2"/>
      </tp>
      <tp t="s">
        <v>X</v>
        <stp/>
        <stp>AX</stp>
        <stp>.AAPL170616C145</stp>
        <tr r="I162" s="2"/>
      </tp>
      <tp t="s">
        <v>C</v>
        <stp/>
        <stp>AX</stp>
        <stp>.AAPL170616P145</stp>
        <tr r="O162" s="2"/>
      </tp>
      <tp t="s">
        <v>X</v>
        <stp/>
        <stp>AX</stp>
        <stp>.AAPL170616C140</stp>
        <tr r="I161" s="2"/>
      </tp>
      <tp t="s">
        <v>C</v>
        <stp/>
        <stp>AX</stp>
        <stp>.AAPL170616P140</stp>
        <tr r="O161" s="2"/>
      </tp>
      <tp t="s">
        <v>1.15%</v>
        <stp/>
        <stp>PROB_OTM</stp>
        <stp>.TSLA160520C155</stp>
        <tr r="D26" s="1"/>
      </tp>
      <tp t="s">
        <v>96.13%</v>
        <stp/>
        <stp>PROB_OTM</stp>
        <stp>.TSLA160520P155</stp>
        <tr r="Q26" s="1"/>
      </tp>
      <tp t="s">
        <v>0.00%</v>
        <stp/>
        <stp>PROB_OTM</stp>
        <stp>.TSLA160520C150</stp>
        <tr r="D25" s="1"/>
      </tp>
      <tp t="s">
        <v>97.07%</v>
        <stp/>
        <stp>PROB_OTM</stp>
        <stp>.TSLA160520P150</stp>
        <tr r="Q25" s="1"/>
      </tp>
      <tp t="s">
        <v>0.00%</v>
        <stp/>
        <stp>PROB_OTM</stp>
        <stp>.TSLA160520C145</stp>
        <tr r="D24" s="1"/>
      </tp>
      <tp t="s">
        <v>96.98%</v>
        <stp/>
        <stp>PROB_OTM</stp>
        <stp>.TSLA160520P145</stp>
        <tr r="Q24" s="1"/>
      </tp>
      <tp t="s">
        <v>0.96%</v>
        <stp/>
        <stp>PROB_OTM</stp>
        <stp>.TSLA160520C140</stp>
        <tr r="D23" s="1"/>
      </tp>
      <tp t="s">
        <v>96.78%</v>
        <stp/>
        <stp>PROB_OTM</stp>
        <stp>.TSLA160520P140</stp>
        <tr r="Q23" s="1"/>
      </tp>
      <tp t="s">
        <v>0.16%</v>
        <stp/>
        <stp>PROB_OTM</stp>
        <stp>.TSLA160520C175</stp>
        <tr r="D30" s="1"/>
      </tp>
      <tp t="s">
        <v>93.86%</v>
        <stp/>
        <stp>PROB_OTM</stp>
        <stp>.TSLA160520P175</stp>
        <tr r="Q30" s="1"/>
      </tp>
      <tp t="s">
        <v>2.11%</v>
        <stp/>
        <stp>PROB_OTM</stp>
        <stp>.TSLA160520C170</stp>
        <tr r="D29" s="1"/>
      </tp>
      <tp t="s">
        <v>94.71%</v>
        <stp/>
        <stp>PROB_OTM</stp>
        <stp>.TSLA160520P170</stp>
        <tr r="Q29" s="1"/>
      </tp>
      <tp t="s">
        <v>0.49%</v>
        <stp/>
        <stp>PROB_OTM</stp>
        <stp>.TSLA160520C165</stp>
        <tr r="D28" s="1"/>
      </tp>
      <tp t="s">
        <v>95.27%</v>
        <stp/>
        <stp>PROB_OTM</stp>
        <stp>.TSLA160520P165</stp>
        <tr r="Q28" s="1"/>
      </tp>
      <tp t="s">
        <v>0.00%</v>
        <stp/>
        <stp>PROB_OTM</stp>
        <stp>.TSLA160520C160</stp>
        <tr r="D27" s="1"/>
      </tp>
      <tp t="s">
        <v>95.56%</v>
        <stp/>
        <stp>PROB_OTM</stp>
        <stp>.TSLA160520P160</stp>
        <tr r="Q27" s="1"/>
      </tp>
      <tp t="s">
        <v>0.00%</v>
        <stp/>
        <stp>PROB_OTM</stp>
        <stp>.TSLA160520C115</stp>
        <tr r="D18" s="1"/>
      </tp>
      <tp t="s">
        <v>97.87%</v>
        <stp/>
        <stp>PROB_OTM</stp>
        <stp>.TSLA160520P115</stp>
        <tr r="Q18" s="1"/>
      </tp>
      <tp t="s">
        <v>0.66%</v>
        <stp/>
        <stp>PROB_OTM</stp>
        <stp>.TSLA160520C110</stp>
        <tr r="D17" s="1"/>
      </tp>
      <tp t="s">
        <v>98.17%</v>
        <stp/>
        <stp>PROB_OTM</stp>
        <stp>.TSLA160520P110</stp>
        <tr r="Q17" s="1"/>
      </tp>
      <tp t="s">
        <v>0.00%</v>
        <stp/>
        <stp>PROB_OTM</stp>
        <stp>.TSLA160520C105</stp>
        <tr r="D16" s="1"/>
      </tp>
      <tp t="s">
        <v>98.51%</v>
        <stp/>
        <stp>PROB_OTM</stp>
        <stp>.TSLA160520P105</stp>
        <tr r="Q16" s="1"/>
      </tp>
      <tp t="s">
        <v>0.00%</v>
        <stp/>
        <stp>PROB_OTM</stp>
        <stp>.TSLA160520C100</stp>
        <tr r="D15" s="1"/>
      </tp>
      <tp t="s">
        <v>99.17%</v>
        <stp/>
        <stp>PROB_OTM</stp>
        <stp>.TSLA160520P100</stp>
        <tr r="Q15" s="1"/>
      </tp>
      <tp t="s">
        <v>0.00%</v>
        <stp/>
        <stp>PROB_OTM</stp>
        <stp>.TSLA160520C135</stp>
        <tr r="D22" s="1"/>
      </tp>
      <tp t="s">
        <v>97.18%</v>
        <stp/>
        <stp>PROB_OTM</stp>
        <stp>.TSLA160520P135</stp>
        <tr r="Q22" s="1"/>
      </tp>
      <tp t="s">
        <v>0.59%</v>
        <stp/>
        <stp>PROB_OTM</stp>
        <stp>.TSLA160520C130</stp>
        <tr r="D21" s="1"/>
      </tp>
      <tp t="s">
        <v>97.67%</v>
        <stp/>
        <stp>PROB_OTM</stp>
        <stp>.TSLA160520P130</stp>
        <tr r="Q21" s="1"/>
      </tp>
      <tp t="s">
        <v>0.00%</v>
        <stp/>
        <stp>PROB_OTM</stp>
        <stp>.TSLA160520C125</stp>
        <tr r="D20" s="1"/>
      </tp>
      <tp t="s">
        <v>98.06%</v>
        <stp/>
        <stp>PROB_OTM</stp>
        <stp>.TSLA160520P125</stp>
        <tr r="Q20" s="1"/>
      </tp>
      <tp t="s">
        <v>0.00%</v>
        <stp/>
        <stp>PROB_OTM</stp>
        <stp>.TSLA160520C120</stp>
        <tr r="D19" s="1"/>
      </tp>
      <tp t="s">
        <v>99.28%</v>
        <stp/>
        <stp>PROB_OTM</stp>
        <stp>.TSLA160520P120</stp>
        <tr r="Q19" s="1"/>
      </tp>
      <tp t="s">
        <v>6.02%</v>
        <stp/>
        <stp>PROB_OTM</stp>
        <stp>.TSLA160520C195</stp>
        <tr r="D34" s="1"/>
      </tp>
      <tp t="s">
        <v>87.97%</v>
        <stp/>
        <stp>PROB_OTM</stp>
        <stp>.TSLA160520P195</stp>
        <tr r="Q34" s="1"/>
      </tp>
      <tp t="s">
        <v>3.93%</v>
        <stp/>
        <stp>PROB_OTM</stp>
        <stp>.TSLA160520C190</stp>
        <tr r="D33" s="1"/>
      </tp>
      <tp t="s">
        <v>89.81%</v>
        <stp/>
        <stp>PROB_OTM</stp>
        <stp>.TSLA160520P190</stp>
        <tr r="Q33" s="1"/>
      </tp>
      <tp t="s">
        <v>1.46%</v>
        <stp/>
        <stp>PROB_OTM</stp>
        <stp>.TSLA160520C185</stp>
        <tr r="D32" s="1"/>
      </tp>
      <tp t="s">
        <v>91.33%</v>
        <stp/>
        <stp>PROB_OTM</stp>
        <stp>.TSLA160520P185</stp>
        <tr r="Q32" s="1"/>
      </tp>
      <tp t="s">
        <v>0.00%</v>
        <stp/>
        <stp>PROB_OTM</stp>
        <stp>.TSLA160520C180</stp>
        <tr r="D31" s="1"/>
      </tp>
      <tp t="s">
        <v>92.72%</v>
        <stp/>
        <stp>PROB_OTM</stp>
        <stp>.TSLA160520P180</stp>
        <tr r="Q31" s="1"/>
      </tp>
      <tp t="s">
        <v>C</v>
        <stp/>
        <stp>AX</stp>
        <stp>.AAPL160520C180</stp>
        <tr r="I44" s="2"/>
      </tp>
      <tp t="s">
        <v>W</v>
        <stp/>
        <stp>LX</stp>
        <stp>.AAPL160520C150</stp>
        <tr r="D38" s="2"/>
      </tp>
      <tp t="s">
        <v>C</v>
        <stp/>
        <stp>AX</stp>
        <stp>.AAPL160520P180</stp>
        <tr r="O44" s="2"/>
      </tp>
      <tp t="s">
        <v/>
        <stp/>
        <stp>LX</stp>
        <stp>.AAPL160520P150</stp>
        <tr r="Q38" s="2"/>
      </tp>
      <tp t="s">
        <v>C</v>
        <stp/>
        <stp>AX</stp>
        <stp>.AAPL160520C185</stp>
        <tr r="I45" s="2"/>
      </tp>
      <tp t="s">
        <v>W</v>
        <stp/>
        <stp>LX</stp>
        <stp>.AAPL160520C155</stp>
        <tr r="D39" s="2"/>
      </tp>
      <tp t="s">
        <v>C</v>
        <stp/>
        <stp>AX</stp>
        <stp>.AAPL160520P185</stp>
        <tr r="O45" s="2"/>
      </tp>
      <tp t="s">
        <v/>
        <stp/>
        <stp>LX</stp>
        <stp>.AAPL160520P155</stp>
        <tr r="Q39" s="2"/>
      </tp>
      <tp t="s">
        <v>C</v>
        <stp/>
        <stp>AX</stp>
        <stp>.AAPL160520C190</stp>
        <tr r="I46" s="2"/>
      </tp>
      <tp t="s">
        <v>Q</v>
        <stp/>
        <stp>LX</stp>
        <stp>.AAPL160520C140</stp>
        <tr r="D36" s="2"/>
      </tp>
      <tp t="s">
        <v>C</v>
        <stp/>
        <stp>AX</stp>
        <stp>.AAPL160520P190</stp>
        <tr r="O46" s="2"/>
      </tp>
      <tp t="s">
        <v>I</v>
        <stp/>
        <stp>LX</stp>
        <stp>.AAPL160520P140</stp>
        <tr r="Q36" s="2"/>
      </tp>
      <tp t="s">
        <v>C</v>
        <stp/>
        <stp>AX</stp>
        <stp>.AAPL160520C195</stp>
        <tr r="I47" s="2"/>
      </tp>
      <tp t="s">
        <v>Q</v>
        <stp/>
        <stp>LX</stp>
        <stp>.AAPL160520C145</stp>
        <tr r="D37" s="2"/>
      </tp>
      <tp t="s">
        <v>C</v>
        <stp/>
        <stp>AX</stp>
        <stp>.AAPL160520P195</stp>
        <tr r="O47" s="2"/>
      </tp>
      <tp t="s">
        <v>X</v>
        <stp/>
        <stp>LX</stp>
        <stp>.AAPL160520P145</stp>
        <tr r="Q37" s="2"/>
      </tp>
      <tp t="s">
        <v>B</v>
        <stp/>
        <stp>BX</stp>
        <stp>.AAPL160520C190</stp>
        <tr r="G46" s="2"/>
      </tp>
      <tp t="s">
        <v/>
        <stp/>
        <stp>LX</stp>
        <stp>.AAPL160520C170</stp>
        <tr r="D42" s="2"/>
      </tp>
      <tp t="s">
        <v>W</v>
        <stp/>
        <stp>BX</stp>
        <stp>.AAPL160520P190</stp>
        <tr r="M46" s="2"/>
      </tp>
      <tp t="s">
        <v/>
        <stp/>
        <stp>LX</stp>
        <stp>.AAPL160520P170</stp>
        <tr r="Q42" s="2"/>
      </tp>
      <tp t="s">
        <v>B</v>
        <stp/>
        <stp>BX</stp>
        <stp>.AAPL160520C195</stp>
        <tr r="G47" s="2"/>
      </tp>
      <tp t="s">
        <v/>
        <stp/>
        <stp>LX</stp>
        <stp>.AAPL160520C175</stp>
        <tr r="D43" s="2"/>
      </tp>
      <tp t="s">
        <v>W</v>
        <stp/>
        <stp>BX</stp>
        <stp>.AAPL160520P195</stp>
        <tr r="M47" s="2"/>
      </tp>
      <tp t="s">
        <v/>
        <stp/>
        <stp>LX</stp>
        <stp>.AAPL160520P175</stp>
        <tr r="Q43" s="2"/>
      </tp>
      <tp t="s">
        <v>B</v>
        <stp/>
        <stp>BX</stp>
        <stp>.AAPL160520C180</stp>
        <tr r="G44" s="2"/>
      </tp>
      <tp t="s">
        <v/>
        <stp/>
        <stp>LX</stp>
        <stp>.AAPL160520C160</stp>
        <tr r="D40" s="2"/>
      </tp>
      <tp t="s">
        <v>W</v>
        <stp/>
        <stp>BX</stp>
        <stp>.AAPL160520P180</stp>
        <tr r="M44" s="2"/>
      </tp>
      <tp t="s">
        <v>C</v>
        <stp/>
        <stp>LX</stp>
        <stp>.AAPL160520P160</stp>
        <tr r="Q40" s="2"/>
      </tp>
      <tp t="s">
        <v>B</v>
        <stp/>
        <stp>BX</stp>
        <stp>.AAPL160520C185</stp>
        <tr r="G45" s="2"/>
      </tp>
      <tp t="s">
        <v>I</v>
        <stp/>
        <stp>LX</stp>
        <stp>.AAPL160520C165</stp>
        <tr r="D41" s="2"/>
      </tp>
      <tp t="s">
        <v>W</v>
        <stp/>
        <stp>BX</stp>
        <stp>.AAPL160520P185</stp>
        <tr r="M45" s="2"/>
      </tp>
      <tp t="s">
        <v/>
        <stp/>
        <stp>LX</stp>
        <stp>.AAPL160520P165</stp>
        <tr r="Q41" s="2"/>
      </tp>
      <tp t="s">
        <v>A</v>
        <stp/>
        <stp>LX</stp>
        <stp>.AAPL160520C110</stp>
        <tr r="D30" s="2"/>
      </tp>
      <tp t="s">
        <v>C</v>
        <stp/>
        <stp>LX</stp>
        <stp>.AAPL160520P110</stp>
        <tr r="Q30" s="2"/>
      </tp>
      <tp t="s">
        <v>B</v>
        <stp/>
        <stp>LX</stp>
        <stp>.AAPL160520C115</stp>
        <tr r="D31" s="2"/>
      </tp>
      <tp t="s">
        <v>Q</v>
        <stp/>
        <stp>LX</stp>
        <stp>.AAPL160520P115</stp>
        <tr r="Q31" s="2"/>
      </tp>
      <tp t="s">
        <v>A</v>
        <stp/>
        <stp>LX</stp>
        <stp>.AAPL160520C100</stp>
        <tr r="D28" s="2"/>
      </tp>
      <tp t="s">
        <v>B</v>
        <stp/>
        <stp>LX</stp>
        <stp>.AAPL160520P100</stp>
        <tr r="Q28" s="2"/>
      </tp>
      <tp t="s">
        <v>Z</v>
        <stp/>
        <stp>LX</stp>
        <stp>.AAPL160520C105</stp>
        <tr r="D29" s="2"/>
      </tp>
      <tp t="s">
        <v>H</v>
        <stp/>
        <stp>LX</stp>
        <stp>.AAPL160520P105</stp>
        <tr r="Q29" s="2"/>
      </tp>
      <tp t="s">
        <v>I</v>
        <stp/>
        <stp>LX</stp>
        <stp>.AAPL160520C130</stp>
        <tr r="D34" s="2"/>
      </tp>
      <tp t="s">
        <v>I</v>
        <stp/>
        <stp>LX</stp>
        <stp>.AAPL160520P130</stp>
        <tr r="Q34" s="2"/>
      </tp>
      <tp t="s">
        <v>W</v>
        <stp/>
        <stp>LX</stp>
        <stp>.AAPL160520C135</stp>
        <tr r="D35" s="2"/>
      </tp>
      <tp t="s">
        <v>X</v>
        <stp/>
        <stp>LX</stp>
        <stp>.AAPL160520P135</stp>
        <tr r="Q35" s="2"/>
      </tp>
      <tp t="s">
        <v>C</v>
        <stp/>
        <stp>LX</stp>
        <stp>.AAPL160520C120</stp>
        <tr r="D32" s="2"/>
      </tp>
      <tp t="s">
        <v>C</v>
        <stp/>
        <stp>LX</stp>
        <stp>.AAPL160520P120</stp>
        <tr r="Q32" s="2"/>
      </tp>
      <tp t="s">
        <v>X</v>
        <stp/>
        <stp>LX</stp>
        <stp>.AAPL160520C125</stp>
        <tr r="D33" s="2"/>
      </tp>
      <tp t="s">
        <v>H</v>
        <stp/>
        <stp>LX</stp>
        <stp>.AAPL160520P125</stp>
        <tr r="Q33" s="2"/>
      </tp>
      <tp t="s">
        <v>X</v>
        <stp/>
        <stp>AX</stp>
        <stp>.AAPL160520C100</stp>
        <tr r="I28" s="2"/>
      </tp>
      <tp t="s">
        <v>Z</v>
        <stp/>
        <stp>BX</stp>
        <stp>.AAPL160520C130</stp>
        <tr r="G34" s="2"/>
      </tp>
      <tp t="s">
        <v>H</v>
        <stp/>
        <stp>AX</stp>
        <stp>.AAPL160520P100</stp>
        <tr r="O28" s="2"/>
      </tp>
      <tp t="s">
        <v>A</v>
        <stp/>
        <stp>BX</stp>
        <stp>.AAPL160520P130</stp>
        <tr r="M34" s="2"/>
      </tp>
      <tp t="s">
        <v>Z</v>
        <stp/>
        <stp>AX</stp>
        <stp>.AAPL160520C105</stp>
        <tr r="I29" s="2"/>
      </tp>
      <tp t="s">
        <v>X</v>
        <stp/>
        <stp>BX</stp>
        <stp>.AAPL160520C135</stp>
        <tr r="G35" s="2"/>
      </tp>
      <tp t="s">
        <v>Z</v>
        <stp/>
        <stp>AX</stp>
        <stp>.AAPL160520P105</stp>
        <tr r="O29" s="2"/>
      </tp>
      <tp t="s">
        <v>C</v>
        <stp/>
        <stp>BX</stp>
        <stp>.AAPL160520P135</stp>
        <tr r="M35" s="2"/>
      </tp>
      <tp t="s">
        <v>C</v>
        <stp/>
        <stp>AX</stp>
        <stp>.AAPL160520C110</stp>
        <tr r="I30" s="2"/>
      </tp>
      <tp t="s">
        <v>W</v>
        <stp/>
        <stp>BX</stp>
        <stp>.AAPL160520C120</stp>
        <tr r="G32" s="2"/>
      </tp>
      <tp t="s">
        <v>C</v>
        <stp/>
        <stp>AX</stp>
        <stp>.AAPL160520P110</stp>
        <tr r="O30" s="2"/>
      </tp>
      <tp t="s">
        <v>C</v>
        <stp/>
        <stp>BX</stp>
        <stp>.AAPL160520P120</stp>
        <tr r="M32" s="2"/>
      </tp>
      <tp t="s">
        <v>Z</v>
        <stp/>
        <stp>AX</stp>
        <stp>.AAPL160520C115</stp>
        <tr r="I31" s="2"/>
      </tp>
      <tp t="s">
        <v>X</v>
        <stp/>
        <stp>BX</stp>
        <stp>.AAPL160520C125</stp>
        <tr r="G33" s="2"/>
      </tp>
      <tp t="s">
        <v>C</v>
        <stp/>
        <stp>AX</stp>
        <stp>.AAPL160520P115</stp>
        <tr r="O31" s="2"/>
      </tp>
      <tp t="s">
        <v>C</v>
        <stp/>
        <stp>BX</stp>
        <stp>.AAPL160520P125</stp>
        <tr r="M33" s="2"/>
      </tp>
      <tp t="s">
        <v>Z</v>
        <stp/>
        <stp>AX</stp>
        <stp>.AAPL160520C120</stp>
        <tr r="I32" s="2"/>
      </tp>
      <tp t="s">
        <v>C</v>
        <stp/>
        <stp>BX</stp>
        <stp>.AAPL160520C110</stp>
        <tr r="G30" s="2"/>
      </tp>
      <tp t="s">
        <v>C</v>
        <stp/>
        <stp>AX</stp>
        <stp>.AAPL160520P120</stp>
        <tr r="O32" s="2"/>
      </tp>
      <tp t="s">
        <v>C</v>
        <stp/>
        <stp>BX</stp>
        <stp>.AAPL160520P110</stp>
        <tr r="M30" s="2"/>
      </tp>
      <tp t="s">
        <v>Z</v>
        <stp/>
        <stp>AX</stp>
        <stp>.AAPL160520C125</stp>
        <tr r="I33" s="2"/>
      </tp>
      <tp t="s">
        <v>Z</v>
        <stp/>
        <stp>BX</stp>
        <stp>.AAPL160520C115</stp>
        <tr r="G31" s="2"/>
      </tp>
      <tp t="s">
        <v>C</v>
        <stp/>
        <stp>AX</stp>
        <stp>.AAPL160520P125</stp>
        <tr r="O33" s="2"/>
      </tp>
      <tp t="s">
        <v>C</v>
        <stp/>
        <stp>BX</stp>
        <stp>.AAPL160520P115</stp>
        <tr r="M31" s="2"/>
      </tp>
      <tp t="s">
        <v>Z</v>
        <stp/>
        <stp>AX</stp>
        <stp>.AAPL160520C130</stp>
        <tr r="I34" s="2"/>
      </tp>
      <tp t="s">
        <v>C</v>
        <stp/>
        <stp>BX</stp>
        <stp>.AAPL160520C100</stp>
        <tr r="G28" s="2"/>
      </tp>
      <tp t="s">
        <v>A</v>
        <stp/>
        <stp>AX</stp>
        <stp>.AAPL160520P130</stp>
        <tr r="O34" s="2"/>
      </tp>
      <tp t="s">
        <v>Z</v>
        <stp/>
        <stp>BX</stp>
        <stp>.AAPL160520P100</stp>
        <tr r="M28" s="2"/>
      </tp>
      <tp t="s">
        <v>Z</v>
        <stp/>
        <stp>AX</stp>
        <stp>.AAPL160520C135</stp>
        <tr r="I35" s="2"/>
      </tp>
      <tp t="s">
        <v>X</v>
        <stp/>
        <stp>BX</stp>
        <stp>.AAPL160520C105</stp>
        <tr r="G29" s="2"/>
      </tp>
      <tp t="s">
        <v>X</v>
        <stp/>
        <stp>AX</stp>
        <stp>.AAPL160520P135</stp>
        <tr r="O35" s="2"/>
      </tp>
      <tp t="s">
        <v>Z</v>
        <stp/>
        <stp>BX</stp>
        <stp>.AAPL160520P105</stp>
        <tr r="M29" s="2"/>
      </tp>
      <tp t="s">
        <v>W</v>
        <stp/>
        <stp>AX</stp>
        <stp>.AAPL160520C140</stp>
        <tr r="I36" s="2"/>
      </tp>
      <tp t="s">
        <v>B</v>
        <stp/>
        <stp>BX</stp>
        <stp>.AAPL160520C170</stp>
        <tr r="G42" s="2"/>
      </tp>
      <tp t="s">
        <v/>
        <stp/>
        <stp>LX</stp>
        <stp>.AAPL160520C190</stp>
        <tr r="D46" s="2"/>
      </tp>
      <tp t="s">
        <v>X</v>
        <stp/>
        <stp>AX</stp>
        <stp>.AAPL160520P140</stp>
        <tr r="O36" s="2"/>
      </tp>
      <tp t="s">
        <v>W</v>
        <stp/>
        <stp>BX</stp>
        <stp>.AAPL160520P170</stp>
        <tr r="M42" s="2"/>
      </tp>
      <tp t="s">
        <v/>
        <stp/>
        <stp>LX</stp>
        <stp>.AAPL160520P190</stp>
        <tr r="Q46" s="2"/>
      </tp>
      <tp t="s">
        <v>W</v>
        <stp/>
        <stp>AX</stp>
        <stp>.AAPL160520C145</stp>
        <tr r="I37" s="2"/>
      </tp>
      <tp t="s">
        <v>B</v>
        <stp/>
        <stp>BX</stp>
        <stp>.AAPL160520C175</stp>
        <tr r="G43" s="2"/>
      </tp>
      <tp t="s">
        <v/>
        <stp/>
        <stp>LX</stp>
        <stp>.AAPL160520C195</stp>
        <tr r="D47" s="2"/>
      </tp>
      <tp t="s">
        <v>C</v>
        <stp/>
        <stp>AX</stp>
        <stp>.AAPL160520P145</stp>
        <tr r="O37" s="2"/>
      </tp>
      <tp t="s">
        <v>W</v>
        <stp/>
        <stp>BX</stp>
        <stp>.AAPL160520P175</stp>
        <tr r="M43" s="2"/>
      </tp>
      <tp t="s">
        <v/>
        <stp/>
        <stp>LX</stp>
        <stp>.AAPL160520P195</stp>
        <tr r="Q47" s="2"/>
      </tp>
      <tp t="s">
        <v>W</v>
        <stp/>
        <stp>AX</stp>
        <stp>.AAPL160520C150</stp>
        <tr r="I38" s="2"/>
      </tp>
      <tp t="s">
        <v>W</v>
        <stp/>
        <stp>BX</stp>
        <stp>.AAPL160520C160</stp>
        <tr r="G40" s="2"/>
      </tp>
      <tp t="s">
        <v/>
        <stp/>
        <stp>LX</stp>
        <stp>.AAPL160520C180</stp>
        <tr r="D44" s="2"/>
      </tp>
      <tp t="s">
        <v>W</v>
        <stp/>
        <stp>AX</stp>
        <stp>.AAPL160520P150</stp>
        <tr r="O38" s="2"/>
      </tp>
      <tp t="s">
        <v>C</v>
        <stp/>
        <stp>BX</stp>
        <stp>.AAPL160520P160</stp>
        <tr r="M40" s="2"/>
      </tp>
      <tp t="s">
        <v/>
        <stp/>
        <stp>LX</stp>
        <stp>.AAPL160520P180</stp>
        <tr r="Q44" s="2"/>
      </tp>
      <tp t="s">
        <v>W</v>
        <stp/>
        <stp>AX</stp>
        <stp>.AAPL160520C155</stp>
        <tr r="I39" s="2"/>
      </tp>
      <tp t="s">
        <v>B</v>
        <stp/>
        <stp>BX</stp>
        <stp>.AAPL160520C165</stp>
        <tr r="G41" s="2"/>
      </tp>
      <tp t="s">
        <v/>
        <stp/>
        <stp>LX</stp>
        <stp>.AAPL160520C185</stp>
        <tr r="D45" s="2"/>
      </tp>
      <tp t="s">
        <v>W</v>
        <stp/>
        <stp>AX</stp>
        <stp>.AAPL160520P155</stp>
        <tr r="O39" s="2"/>
      </tp>
      <tp t="s">
        <v>W</v>
        <stp/>
        <stp>BX</stp>
        <stp>.AAPL160520P165</stp>
        <tr r="M41" s="2"/>
      </tp>
      <tp t="s">
        <v/>
        <stp/>
        <stp>LX</stp>
        <stp>.AAPL160520P185</stp>
        <tr r="Q45" s="2"/>
      </tp>
      <tp t="s">
        <v>W</v>
        <stp/>
        <stp>AX</stp>
        <stp>.AAPL160520C160</stp>
        <tr r="I40" s="2"/>
      </tp>
      <tp t="s">
        <v>W</v>
        <stp/>
        <stp>BX</stp>
        <stp>.AAPL160520C150</stp>
        <tr r="G38" s="2"/>
      </tp>
      <tp t="s">
        <v>W</v>
        <stp/>
        <stp>AX</stp>
        <stp>.AAPL160520P160</stp>
        <tr r="O40" s="2"/>
      </tp>
      <tp t="s">
        <v>C</v>
        <stp/>
        <stp>BX</stp>
        <stp>.AAPL160520P150</stp>
        <tr r="M38" s="2"/>
      </tp>
      <tp t="s">
        <v>C</v>
        <stp/>
        <stp>AX</stp>
        <stp>.AAPL160520C165</stp>
        <tr r="I41" s="2"/>
      </tp>
      <tp t="s">
        <v>W</v>
        <stp/>
        <stp>BX</stp>
        <stp>.AAPL160520C155</stp>
        <tr r="G39" s="2"/>
      </tp>
      <tp t="s">
        <v>W</v>
        <stp/>
        <stp>AX</stp>
        <stp>.AAPL160520P165</stp>
        <tr r="O41" s="2"/>
      </tp>
      <tp t="s">
        <v>C</v>
        <stp/>
        <stp>BX</stp>
        <stp>.AAPL160520P155</stp>
        <tr r="M39" s="2"/>
      </tp>
      <tp t="s">
        <v>C</v>
        <stp/>
        <stp>AX</stp>
        <stp>.AAPL160520C170</stp>
        <tr r="I42" s="2"/>
      </tp>
      <tp t="s">
        <v>C</v>
        <stp/>
        <stp>BX</stp>
        <stp>.AAPL160520C140</stp>
        <tr r="G36" s="2"/>
      </tp>
      <tp t="s">
        <v>W</v>
        <stp/>
        <stp>AX</stp>
        <stp>.AAPL160520P170</stp>
        <tr r="O42" s="2"/>
      </tp>
      <tp t="s">
        <v>C</v>
        <stp/>
        <stp>BX</stp>
        <stp>.AAPL160520P140</stp>
        <tr r="M36" s="2"/>
      </tp>
      <tp t="s">
        <v>C</v>
        <stp/>
        <stp>AX</stp>
        <stp>.AAPL160520C175</stp>
        <tr r="I43" s="2"/>
      </tp>
      <tp t="s">
        <v>H</v>
        <stp/>
        <stp>BX</stp>
        <stp>.AAPL160520C145</stp>
        <tr r="G37" s="2"/>
      </tp>
      <tp t="s">
        <v>C</v>
        <stp/>
        <stp>AX</stp>
        <stp>.AAPL160520P175</stp>
        <tr r="O43" s="2"/>
      </tp>
      <tp t="s">
        <v>C</v>
        <stp/>
        <stp>BX</stp>
        <stp>.AAPL160520P145</stp>
        <tr r="M37" s="2"/>
      </tp>
      <tp t="s">
        <v>53.77%</v>
        <stp/>
        <stp>PROB_OTM</stp>
        <stp>.TSLA160520C255</stp>
        <tr r="D46" s="1"/>
      </tp>
      <tp t="s">
        <v>45.90%</v>
        <stp/>
        <stp>PROB_OTM</stp>
        <stp>.TSLA160520P255</stp>
        <tr r="Q46" s="1"/>
      </tp>
      <tp t="s">
        <v>48.89%</v>
        <stp/>
        <stp>PROB_OTM</stp>
        <stp>.TSLA160520C250</stp>
        <tr r="D45" s="1"/>
      </tp>
      <tp t="s">
        <v>50.23%</v>
        <stp/>
        <stp>PROB_OTM</stp>
        <stp>.TSLA160520P250</stp>
        <tr r="Q45" s="1"/>
      </tp>
      <tp t="s">
        <v>108.16%</v>
        <stp/>
        <stp>IMPL_VOL</stp>
        <stp>.TSLA160520P410</stp>
        <tr r="P76" s="1"/>
      </tp>
      <tp t="s">
        <v>69.83%</v>
        <stp/>
        <stp>IMPL_VOL</stp>
        <stp>.TSLA160520C410</stp>
        <tr r="C76" s="1"/>
      </tp>
      <tp t="s">
        <v>44.04%</v>
        <stp/>
        <stp>PROB_OTM</stp>
        <stp>.TSLA160520C245</stp>
        <tr r="D44" s="1"/>
      </tp>
      <tp t="s">
        <v>54.60%</v>
        <stp/>
        <stp>PROB_OTM</stp>
        <stp>.TSLA160520P245</stp>
        <tr r="Q44" s="1"/>
      </tp>
      <tp t="s">
        <v>39.18%</v>
        <stp/>
        <stp>PROB_OTM</stp>
        <stp>.TSLA160520C240</stp>
        <tr r="D43" s="1"/>
      </tp>
      <tp t="s">
        <v>58.92%</v>
        <stp/>
        <stp>PROB_OTM</stp>
        <stp>.TSLA160520P240</stp>
        <tr r="Q43" s="1"/>
      </tp>
      <tp t="s">
        <v>102.49%</v>
        <stp/>
        <stp>IMPL_VOL</stp>
        <stp>.TSLA160520P400</stp>
        <tr r="P75" s="1"/>
      </tp>
      <tp t="s">
        <v>61.87%</v>
        <stp/>
        <stp>IMPL_VOL</stp>
        <stp>.TSLA160520C400</stp>
        <tr r="C75" s="1"/>
      </tp>
      <tp t="s">
        <v>71.44%</v>
        <stp/>
        <stp>PROB_OTM</stp>
        <stp>.TSLA160520C275</stp>
        <tr r="D50" s="1"/>
      </tp>
      <tp t="s">
        <v>30.20%</v>
        <stp/>
        <stp>PROB_OTM</stp>
        <stp>.TSLA160520P275</stp>
        <tr r="Q50" s="1"/>
      </tp>
      <tp t="s">
        <v>67.40%</v>
        <stp/>
        <stp>PROB_OTM</stp>
        <stp>.TSLA160520C270</stp>
        <tr r="D49" s="1"/>
      </tp>
      <tp t="s">
        <v>33.77%</v>
        <stp/>
        <stp>PROB_OTM</stp>
        <stp>.TSLA160520P270</stp>
        <tr r="Q49" s="1"/>
      </tp>
      <tp t="s">
        <v>118.83%</v>
        <stp/>
        <stp>IMPL_VOL</stp>
        <stp>.TSLA160520P430</stp>
        <tr r="P78" s="1"/>
      </tp>
      <tp t="s">
        <v>66.88%</v>
        <stp/>
        <stp>IMPL_VOL</stp>
        <stp>.TSLA160520C430</stp>
        <tr r="C78" s="1"/>
      </tp>
      <tp t="s">
        <v>63.07%</v>
        <stp/>
        <stp>PROB_OTM</stp>
        <stp>.TSLA160520C265</stp>
        <tr r="D48" s="1"/>
      </tp>
      <tp t="s">
        <v>37.61%</v>
        <stp/>
        <stp>PROB_OTM</stp>
        <stp>.TSLA160520P265</stp>
        <tr r="Q48" s="1"/>
      </tp>
      <tp t="s">
        <v>58.51%</v>
        <stp/>
        <stp>PROB_OTM</stp>
        <stp>.TSLA160520C260</stp>
        <tr r="D47" s="1"/>
      </tp>
      <tp t="s">
        <v>41.68%</v>
        <stp/>
        <stp>PROB_OTM</stp>
        <stp>.TSLA160520P260</stp>
        <tr r="Q47" s="1"/>
      </tp>
      <tp t="s">
        <v>113.98%</v>
        <stp/>
        <stp>IMPL_VOL</stp>
        <stp>.TSLA160520P420</stp>
        <tr r="P77" s="1"/>
      </tp>
      <tp t="s">
        <v>67.24%</v>
        <stp/>
        <stp>IMPL_VOL</stp>
        <stp>.TSLA160520C420</stp>
        <tr r="C77" s="1"/>
      </tp>
      <tp t="s">
        <v>17.81%</v>
        <stp/>
        <stp>PROB_OTM</stp>
        <stp>.TSLA160520C215</stp>
        <tr r="D38" s="1"/>
      </tp>
      <tp t="s">
        <v>77.88%</v>
        <stp/>
        <stp>PROB_OTM</stp>
        <stp>.TSLA160520P215</stp>
        <tr r="Q38" s="1"/>
      </tp>
      <tp t="s">
        <v>14.49%</v>
        <stp/>
        <stp>PROB_OTM</stp>
        <stp>.TSLA160520C210</stp>
        <tr r="D37" s="1"/>
      </tp>
      <tp t="s">
        <v>80.86%</v>
        <stp/>
        <stp>PROB_OTM</stp>
        <stp>.TSLA160520P210</stp>
        <tr r="Q37" s="1"/>
      </tp>
      <tp t="s">
        <v>129.89%</v>
        <stp/>
        <stp>IMPL_VOL</stp>
        <stp>.TSLA160520P450</stp>
        <tr r="P80" s="1"/>
      </tp>
      <tp t="s">
        <v>83.66%</v>
        <stp/>
        <stp>IMPL_VOL</stp>
        <stp>.TSLA160520C450</stp>
        <tr r="C80" s="1"/>
      </tp>
      <tp t="s">
        <v>11.57%</v>
        <stp/>
        <stp>PROB_OTM</stp>
        <stp>.TSLA160520C205</stp>
        <tr r="D36" s="1"/>
      </tp>
      <tp t="s">
        <v>83.57%</v>
        <stp/>
        <stp>PROB_OTM</stp>
        <stp>.TSLA160520P205</stp>
        <tr r="Q36" s="1"/>
      </tp>
      <tp t="s">
        <v>6.96%</v>
        <stp/>
        <stp>PROB_OTM</stp>
        <stp>.TSLA160520C200</stp>
        <tr r="D35" s="1"/>
      </tp>
      <tp t="s">
        <v>85.83%</v>
        <stp/>
        <stp>PROB_OTM</stp>
        <stp>.TSLA160520P200</stp>
        <tr r="Q35" s="1"/>
      </tp>
      <tp t="s">
        <v>123.58%</v>
        <stp/>
        <stp>IMPL_VOL</stp>
        <stp>.TSLA160520P440</stp>
        <tr r="P79" s="1"/>
      </tp>
      <tp t="s">
        <v>82.38%</v>
        <stp/>
        <stp>IMPL_VOL</stp>
        <stp>.TSLA160520C440</stp>
        <tr r="C79" s="1"/>
      </tp>
      <tp t="s">
        <v>34.43%</v>
        <stp/>
        <stp>PROB_OTM</stp>
        <stp>.TSLA160520C235</stp>
        <tr r="D42" s="1"/>
      </tp>
      <tp t="s">
        <v>63.16%</v>
        <stp/>
        <stp>PROB_OTM</stp>
        <stp>.TSLA160520P235</stp>
        <tr r="Q42" s="1"/>
      </tp>
      <tp t="s">
        <v>29.91%</v>
        <stp/>
        <stp>PROB_OTM</stp>
        <stp>.TSLA160520C230</stp>
        <tr r="D41" s="1"/>
      </tp>
      <tp t="s">
        <v>67.20%</v>
        <stp/>
        <stp>PROB_OTM</stp>
        <stp>.TSLA160520P230</stp>
        <tr r="Q41" s="1"/>
      </tp>
      <tp t="s">
        <v>141.84%</v>
        <stp/>
        <stp>IMPL_VOL</stp>
        <stp>.TSLA160520P470</stp>
        <tr r="P82" s="1"/>
      </tp>
      <tp t="s">
        <v>67.11%</v>
        <stp/>
        <stp>IMPL_VOL</stp>
        <stp>.TSLA160520C470</stp>
        <tr r="C82" s="1"/>
      </tp>
      <tp t="s">
        <v>25.65%</v>
        <stp/>
        <stp>PROB_OTM</stp>
        <stp>.TSLA160520C225</stp>
        <tr r="D40" s="1"/>
      </tp>
      <tp t="s">
        <v>71.04%</v>
        <stp/>
        <stp>PROB_OTM</stp>
        <stp>.TSLA160520P225</stp>
        <tr r="Q40" s="1"/>
      </tp>
      <tp t="s">
        <v>21.46%</v>
        <stp/>
        <stp>PROB_OTM</stp>
        <stp>.TSLA160520C220</stp>
        <tr r="D39" s="1"/>
      </tp>
      <tp t="s">
        <v>74.56%</v>
        <stp/>
        <stp>PROB_OTM</stp>
        <stp>.TSLA160520P220</stp>
        <tr r="Q39" s="1"/>
      </tp>
      <tp t="s">
        <v>135.79%</v>
        <stp/>
        <stp>IMPL_VOL</stp>
        <stp>.TSLA160520P460</stp>
        <tr r="P81" s="1"/>
      </tp>
      <tp t="s">
        <v>65.00%</v>
        <stp/>
        <stp>IMPL_VOL</stp>
        <stp>.TSLA160520C460</stp>
        <tr r="C81" s="1"/>
      </tp>
      <tp t="s">
        <v>146.97%</v>
        <stp/>
        <stp>IMPL_VOL</stp>
        <stp>.TSLA160520P480</stp>
        <tr r="P83" s="1"/>
      </tp>
      <tp t="s">
        <v>69.10%</v>
        <stp/>
        <stp>IMPL_VOL</stp>
        <stp>.TSLA160520C480</stp>
        <tr r="C83" s="1"/>
      </tp>
      <tp t="s">
        <v>84.24%</v>
        <stp/>
        <stp>PROB_OTM</stp>
        <stp>.TSLA160520C295</stp>
        <tr r="D54" s="1"/>
      </tp>
      <tp t="s">
        <v>18.96%</v>
        <stp/>
        <stp>PROB_OTM</stp>
        <stp>.TSLA160520P295</stp>
        <tr r="Q54" s="1"/>
      </tp>
      <tp t="s">
        <v>81.58%</v>
        <stp/>
        <stp>PROB_OTM</stp>
        <stp>.TSLA160520C290</stp>
        <tr r="D53" s="1"/>
      </tp>
      <tp t="s">
        <v>21.26%</v>
        <stp/>
        <stp>PROB_OTM</stp>
        <stp>.TSLA160520P290</stp>
        <tr r="Q53" s="1"/>
      </tp>
      <tp t="s">
        <v>78.53%</v>
        <stp/>
        <stp>PROB_OTM</stp>
        <stp>.TSLA160520C285</stp>
        <tr r="D52" s="1"/>
      </tp>
      <tp t="s">
        <v>23.96%</v>
        <stp/>
        <stp>PROB_OTM</stp>
        <stp>.TSLA160520P285</stp>
        <tr r="Q52" s="1"/>
      </tp>
      <tp t="s">
        <v>75.16%</v>
        <stp/>
        <stp>PROB_OTM</stp>
        <stp>.TSLA160520C280</stp>
        <tr r="D51" s="1"/>
      </tp>
      <tp t="s">
        <v>26.93%</v>
        <stp/>
        <stp>PROB_OTM</stp>
        <stp>.TSLA160520P280</stp>
        <tr r="Q51" s="1"/>
      </tp>
      <tp t="s">
        <v>98.07%</v>
        <stp/>
        <stp>PROB_OTM</stp>
        <stp>.TSLA160520C355</stp>
        <tr r="D66" s="1"/>
      </tp>
      <tp t="s">
        <v>7.51%</v>
        <stp/>
        <stp>PROB_OTM</stp>
        <stp>.TSLA160520P355</stp>
        <tr r="Q66" s="1"/>
      </tp>
      <tp t="s">
        <v>97.52%</v>
        <stp/>
        <stp>PROB_OTM</stp>
        <stp>.TSLA160520C350</stp>
        <tr r="D65" s="1"/>
      </tp>
      <tp t="s">
        <v>7.79%</v>
        <stp/>
        <stp>PROB_OTM</stp>
        <stp>.TSLA160520P350</stp>
        <tr r="Q65" s="1"/>
      </tp>
      <tp t="s">
        <v>97.21%</v>
        <stp/>
        <stp>PROB_OTM</stp>
        <stp>.TSLA160520C345</stp>
        <tr r="D64" s="1"/>
      </tp>
      <tp t="s">
        <v>8.24%</v>
        <stp/>
        <stp>PROB_OTM</stp>
        <stp>.TSLA160520P345</stp>
        <tr r="Q64" s="1"/>
      </tp>
      <tp t="s">
        <v>97.17%</v>
        <stp/>
        <stp>PROB_OTM</stp>
        <stp>.TSLA160520C340</stp>
        <tr r="D63" s="1"/>
      </tp>
      <tp t="s">
        <v>8.87%</v>
        <stp/>
        <stp>PROB_OTM</stp>
        <stp>.TSLA160520P340</stp>
        <tr r="Q63" s="1"/>
      </tp>
      <tp t="s">
        <v>98.32%</v>
        <stp/>
        <stp>PROB_OTM</stp>
        <stp>.TSLA160520C375</stp>
        <tr r="D70" s="1"/>
      </tp>
      <tp t="s">
        <v>6.58%</v>
        <stp/>
        <stp>PROB_OTM</stp>
        <stp>.TSLA160520P375</stp>
        <tr r="Q70" s="1"/>
      </tp>
      <tp t="s">
        <v>98.82%</v>
        <stp/>
        <stp>PROB_OTM</stp>
        <stp>.TSLA160520C370</stp>
        <tr r="D69" s="1"/>
      </tp>
      <tp t="s">
        <v>6.92%</v>
        <stp/>
        <stp>PROB_OTM</stp>
        <stp>.TSLA160520P370</stp>
        <tr r="Q69" s="1"/>
      </tp>
      <tp t="s">
        <v>98.63%</v>
        <stp/>
        <stp>PROB_OTM</stp>
        <stp>.TSLA160520C365</stp>
        <tr r="D68" s="1"/>
      </tp>
      <tp t="s">
        <v>7.10%</v>
        <stp/>
        <stp>PROB_OTM</stp>
        <stp>.TSLA160520P365</stp>
        <tr r="Q68" s="1"/>
      </tp>
      <tp t="s">
        <v>98.37%</v>
        <stp/>
        <stp>PROB_OTM</stp>
        <stp>.TSLA160520C360</stp>
        <tr r="D67" s="1"/>
      </tp>
      <tp t="s">
        <v>7.23%</v>
        <stp/>
        <stp>PROB_OTM</stp>
        <stp>.TSLA160520P360</stp>
        <tr r="Q67" s="1"/>
      </tp>
      <tp t="s">
        <v>91.76%</v>
        <stp/>
        <stp>PROB_OTM</stp>
        <stp>.TSLA160520C315</stp>
        <tr r="D58" s="1"/>
      </tp>
      <tp t="s">
        <v>12.49%</v>
        <stp/>
        <stp>PROB_OTM</stp>
        <stp>.TSLA160520P315</stp>
        <tr r="Q58" s="1"/>
      </tp>
      <tp t="s">
        <v>90.31%</v>
        <stp/>
        <stp>PROB_OTM</stp>
        <stp>.TSLA160520C310</stp>
        <tr r="D57" s="1"/>
      </tp>
      <tp t="s">
        <v>13.82%</v>
        <stp/>
        <stp>PROB_OTM</stp>
        <stp>.TSLA160520P310</stp>
        <tr r="Q57" s="1"/>
      </tp>
      <tp t="s">
        <v>88.55%</v>
        <stp/>
        <stp>PROB_OTM</stp>
        <stp>.TSLA160520C305</stp>
        <tr r="D56" s="1"/>
      </tp>
      <tp t="s">
        <v>15.22%</v>
        <stp/>
        <stp>PROB_OTM</stp>
        <stp>.TSLA160520P305</stp>
        <tr r="Q56" s="1"/>
      </tp>
      <tp t="s">
        <v>86.54%</v>
        <stp/>
        <stp>PROB_OTM</stp>
        <stp>.TSLA160520C300</stp>
        <tr r="D55" s="1"/>
      </tp>
      <tp t="s">
        <v>16.93%</v>
        <stp/>
        <stp>PROB_OTM</stp>
        <stp>.TSLA160520P300</stp>
        <tr r="Q55" s="1"/>
      </tp>
      <tp t="s">
        <v>96.15%</v>
        <stp/>
        <stp>PROB_OTM</stp>
        <stp>.TSLA160520C335</stp>
        <tr r="D62" s="1"/>
      </tp>
      <tp t="s">
        <v>9.28%</v>
        <stp/>
        <stp>PROB_OTM</stp>
        <stp>.TSLA160520P335</stp>
        <tr r="Q62" s="1"/>
      </tp>
      <tp t="s">
        <v>95.04%</v>
        <stp/>
        <stp>PROB_OTM</stp>
        <stp>.TSLA160520C330</stp>
        <tr r="D61" s="1"/>
      </tp>
      <tp t="s">
        <v>9.62%</v>
        <stp/>
        <stp>PROB_OTM</stp>
        <stp>.TSLA160520P330</stp>
        <tr r="Q61" s="1"/>
      </tp>
      <tp t="s">
        <v>94.13%</v>
        <stp/>
        <stp>PROB_OTM</stp>
        <stp>.TSLA160520C325</stp>
        <tr r="D60" s="1"/>
      </tp>
      <tp t="s">
        <v>10.77%</v>
        <stp/>
        <stp>PROB_OTM</stp>
        <stp>.TSLA160520P325</stp>
        <tr r="Q60" s="1"/>
      </tp>
      <tp t="s">
        <v>93.04%</v>
        <stp/>
        <stp>PROB_OTM</stp>
        <stp>.TSLA160520C320</stp>
        <tr r="D59" s="1"/>
      </tp>
      <tp t="s">
        <v>11.62%</v>
        <stp/>
        <stp>PROB_OTM</stp>
        <stp>.TSLA160520P320</stp>
        <tr r="Q59" s="1"/>
      </tp>
      <tp t="s">
        <v>99.09%</v>
        <stp/>
        <stp>PROB_OTM</stp>
        <stp>.TSLA160520C395</stp>
        <tr r="D74" s="1"/>
      </tp>
      <tp t="s">
        <v>6.28%</v>
        <stp/>
        <stp>PROB_OTM</stp>
        <stp>.TSLA160520P395</stp>
        <tr r="Q74" s="1"/>
      </tp>
      <tp t="s">
        <v>98.76%</v>
        <stp/>
        <stp>PROB_OTM</stp>
        <stp>.TSLA160520C390</stp>
        <tr r="D73" s="1"/>
      </tp>
      <tp t="s">
        <v>6.27%</v>
        <stp/>
        <stp>PROB_OTM</stp>
        <stp>.TSLA160520P390</stp>
        <tr r="Q73" s="1"/>
      </tp>
      <tp t="s">
        <v>98.89%</v>
        <stp/>
        <stp>PROB_OTM</stp>
        <stp>.TSLA160520C385</stp>
        <tr r="D72" s="1"/>
      </tp>
      <tp t="s">
        <v>6.37%</v>
        <stp/>
        <stp>PROB_OTM</stp>
        <stp>.TSLA160520P385</stp>
        <tr r="Q72" s="1"/>
      </tp>
      <tp t="s">
        <v>98.92%</v>
        <stp/>
        <stp>PROB_OTM</stp>
        <stp>.TSLA160520C380</stp>
        <tr r="D71" s="1"/>
      </tp>
      <tp t="s">
        <v>6.57%</v>
        <stp/>
        <stp>PROB_OTM</stp>
        <stp>.TSLA160520P380</stp>
        <tr r="Q71" s="1"/>
      </tp>
      <tp t="s">
        <v>98.77%</v>
        <stp/>
        <stp>PROB_OTM</stp>
        <stp>.TSLA160520C450</stp>
        <tr r="D80" s="1"/>
      </tp>
      <tp t="s">
        <v>5.81%</v>
        <stp/>
        <stp>PROB_OTM</stp>
        <stp>.TSLA160520P450</stp>
        <tr r="Q80" s="1"/>
      </tp>
      <tp t="s">
        <v>61.24%</v>
        <stp/>
        <stp>IMPL_VOL</stp>
        <stp>.TSLA160520P210</stp>
        <tr r="P37" s="1"/>
      </tp>
      <tp t="s">
        <v>52.08%</v>
        <stp/>
        <stp>IMPL_VOL</stp>
        <stp>.TSLA160520C210</stp>
        <tr r="C37" s="1"/>
      </tp>
      <tp t="s">
        <v>60.32%</v>
        <stp/>
        <stp>IMPL_VOL</stp>
        <stp>.TSLA160520P215</stp>
        <tr r="P38" s="1"/>
      </tp>
      <tp t="s">
        <v>51.88%</v>
        <stp/>
        <stp>IMPL_VOL</stp>
        <stp>.TSLA160520C215</stp>
        <tr r="C38" s="1"/>
      </tp>
      <tp t="s">
        <v>98.59%</v>
        <stp/>
        <stp>PROB_OTM</stp>
        <stp>.TSLA160520C440</stp>
        <tr r="D79" s="1"/>
      </tp>
      <tp t="s">
        <v>5.78%</v>
        <stp/>
        <stp>PROB_OTM</stp>
        <stp>.TSLA160520P440</stp>
        <tr r="Q79" s="1"/>
      </tp>
      <tp t="s">
        <v>63.50%</v>
        <stp/>
        <stp>IMPL_VOL</stp>
        <stp>.TSLA160520P200</stp>
        <tr r="P35" s="1"/>
      </tp>
      <tp t="s">
        <v>47.95%</v>
        <stp/>
        <stp>IMPL_VOL</stp>
        <stp>.TSLA160520C200</stp>
        <tr r="C35" s="1"/>
      </tp>
      <tp t="s">
        <v>62.17%</v>
        <stp/>
        <stp>IMPL_VOL</stp>
        <stp>.TSLA160520P205</stp>
        <tr r="P36" s="1"/>
      </tp>
      <tp t="s">
        <v>52.27%</v>
        <stp/>
        <stp>IMPL_VOL</stp>
        <stp>.TSLA160520C205</stp>
        <tr r="C36" s="1"/>
      </tp>
      <tp t="s">
        <v>99.84%</v>
        <stp/>
        <stp>PROB_OTM</stp>
        <stp>.TSLA160520C470</stp>
        <tr r="D82" s="1"/>
      </tp>
      <tp t="s">
        <v>5.82%</v>
        <stp/>
        <stp>PROB_OTM</stp>
        <stp>.TSLA160520P470</stp>
        <tr r="Q82" s="1"/>
      </tp>
      <tp t="s">
        <v>58.05%</v>
        <stp/>
        <stp>IMPL_VOL</stp>
        <stp>.TSLA160520P230</stp>
        <tr r="P41" s="1"/>
      </tp>
      <tp t="s">
        <v>51.32%</v>
        <stp/>
        <stp>IMPL_VOL</stp>
        <stp>.TSLA160520C230</stp>
        <tr r="C41" s="1"/>
      </tp>
      <tp t="s">
        <v>57.45%</v>
        <stp/>
        <stp>IMPL_VOL</stp>
        <stp>.TSLA160520P235</stp>
        <tr r="P42" s="1"/>
      </tp>
      <tp t="s">
        <v>51.00%</v>
        <stp/>
        <stp>IMPL_VOL</stp>
        <stp>.TSLA160520C235</stp>
        <tr r="C42" s="1"/>
      </tp>
      <tp t="s">
        <v>99.83%</v>
        <stp/>
        <stp>PROB_OTM</stp>
        <stp>.TSLA160520C460</stp>
        <tr r="D81" s="1"/>
      </tp>
      <tp t="s">
        <v>5.81%</v>
        <stp/>
        <stp>PROB_OTM</stp>
        <stp>.TSLA160520P460</stp>
        <tr r="Q81" s="1"/>
      </tp>
      <tp t="s">
        <v>59.57%</v>
        <stp/>
        <stp>IMPL_VOL</stp>
        <stp>.TSLA160520P220</stp>
        <tr r="P39" s="1"/>
      </tp>
      <tp t="s">
        <v>51.59%</v>
        <stp/>
        <stp>IMPL_VOL</stp>
        <stp>.TSLA160520C220</stp>
        <tr r="C39" s="1"/>
      </tp>
      <tp t="s">
        <v>58.70%</v>
        <stp/>
        <stp>IMPL_VOL</stp>
        <stp>.TSLA160520P225</stp>
        <tr r="P40" s="1"/>
      </tp>
      <tp t="s">
        <v>51.68%</v>
        <stp/>
        <stp>IMPL_VOL</stp>
        <stp>.TSLA160520C225</stp>
        <tr r="C40" s="1"/>
      </tp>
      <tp t="s">
        <v>98.72%</v>
        <stp/>
        <stp>PROB_OTM</stp>
        <stp>.TSLA160520C410</stp>
        <tr r="D76" s="1"/>
      </tp>
      <tp t="s">
        <v>6.15%</v>
        <stp/>
        <stp>PROB_OTM</stp>
        <stp>.TSLA160520P410</stp>
        <tr r="Q76" s="1"/>
      </tp>
      <tp t="s">
        <v>56.35%</v>
        <stp/>
        <stp>IMPL_VOL</stp>
        <stp>.TSLA160520P250</stp>
        <tr r="P45" s="1"/>
      </tp>
      <tp t="s">
        <v>50.12%</v>
        <stp/>
        <stp>IMPL_VOL</stp>
        <stp>.TSLA160520C250</stp>
        <tr r="C45" s="1"/>
      </tp>
      <tp t="s">
        <v>56.21%</v>
        <stp/>
        <stp>IMPL_VOL</stp>
        <stp>.TSLA160520P255</stp>
        <tr r="P46" s="1"/>
      </tp>
      <tp t="s">
        <v>50.06%</v>
        <stp/>
        <stp>IMPL_VOL</stp>
        <stp>.TSLA160520C255</stp>
        <tr r="C46" s="1"/>
      </tp>
      <tp t="s">
        <v>99.10%</v>
        <stp/>
        <stp>PROB_OTM</stp>
        <stp>.TSLA160520C400</stp>
        <tr r="D75" s="1"/>
      </tp>
      <tp t="s">
        <v>6.25%</v>
        <stp/>
        <stp>PROB_OTM</stp>
        <stp>.TSLA160520P400</stp>
        <tr r="Q75" s="1"/>
      </tp>
      <tp t="s">
        <v>57.04%</v>
        <stp/>
        <stp>IMPL_VOL</stp>
        <stp>.TSLA160520P240</stp>
        <tr r="P43" s="1"/>
      </tp>
      <tp t="s">
        <v>50.77%</v>
        <stp/>
        <stp>IMPL_VOL</stp>
        <stp>.TSLA160520C240</stp>
        <tr r="C43" s="1"/>
      </tp>
      <tp t="s">
        <v>56.60%</v>
        <stp/>
        <stp>IMPL_VOL</stp>
        <stp>.TSLA160520P245</stp>
        <tr r="P44" s="1"/>
      </tp>
      <tp t="s">
        <v>50.59%</v>
        <stp/>
        <stp>IMPL_VOL</stp>
        <stp>.TSLA160520C245</stp>
        <tr r="C44" s="1"/>
      </tp>
      <tp t="s">
        <v>99.45%</v>
        <stp/>
        <stp>PROB_OTM</stp>
        <stp>.TSLA160520C430</stp>
        <tr r="D78" s="1"/>
      </tp>
      <tp t="s">
        <v>5.93%</v>
        <stp/>
        <stp>PROB_OTM</stp>
        <stp>.TSLA160520P430</stp>
        <tr r="Q78" s="1"/>
      </tp>
      <tp t="s">
        <v>56.10%</v>
        <stp/>
        <stp>IMPL_VOL</stp>
        <stp>.TSLA160520P270</stp>
        <tr r="P49" s="1"/>
      </tp>
      <tp t="s">
        <v>49.63%</v>
        <stp/>
        <stp>IMPL_VOL</stp>
        <stp>.TSLA160520C270</stp>
        <tr r="C49" s="1"/>
      </tp>
      <tp t="s">
        <v>56.35%</v>
        <stp/>
        <stp>IMPL_VOL</stp>
        <stp>.TSLA160520P275</stp>
        <tr r="P50" s="1"/>
      </tp>
      <tp t="s">
        <v>49.56%</v>
        <stp/>
        <stp>IMPL_VOL</stp>
        <stp>.TSLA160520C275</stp>
        <tr r="C50" s="1"/>
      </tp>
      <tp t="s">
        <v>99.22%</v>
        <stp/>
        <stp>PROB_OTM</stp>
        <stp>.TSLA160520C420</stp>
        <tr r="D77" s="1"/>
      </tp>
      <tp t="s">
        <v>6.09%</v>
        <stp/>
        <stp>PROB_OTM</stp>
        <stp>.TSLA160520P420</stp>
        <tr r="Q77" s="1"/>
      </tp>
      <tp t="s">
        <v>56.11%</v>
        <stp/>
        <stp>IMPL_VOL</stp>
        <stp>.TSLA160520P260</stp>
        <tr r="P47" s="1"/>
      </tp>
      <tp t="s">
        <v>49.88%</v>
        <stp/>
        <stp>IMPL_VOL</stp>
        <stp>.TSLA160520C260</stp>
        <tr r="C47" s="1"/>
      </tp>
      <tp t="s">
        <v>55.98%</v>
        <stp/>
        <stp>IMPL_VOL</stp>
        <stp>.TSLA160520P265</stp>
        <tr r="P48" s="1"/>
      </tp>
      <tp t="s">
        <v>49.75%</v>
        <stp/>
        <stp>IMPL_VOL</stp>
        <stp>.TSLA160520C265</stp>
        <tr r="C48" s="1"/>
      </tp>
      <tp t="s">
        <v>57.59%</v>
        <stp/>
        <stp>IMPL_VOL</stp>
        <stp>.TSLA160520P290</stp>
        <tr r="P53" s="1"/>
      </tp>
      <tp t="s">
        <v>49.50%</v>
        <stp/>
        <stp>IMPL_VOL</stp>
        <stp>.TSLA160520C290</stp>
        <tr r="C53" s="1"/>
      </tp>
      <tp t="s">
        <v>58.42%</v>
        <stp/>
        <stp>IMPL_VOL</stp>
        <stp>.TSLA160520P295</stp>
        <tr r="P54" s="1"/>
      </tp>
      <tp t="s">
        <v>49.62%</v>
        <stp/>
        <stp>IMPL_VOL</stp>
        <stp>.TSLA160520C295</stp>
        <tr r="C54" s="1"/>
      </tp>
      <tp t="s">
        <v>56.71%</v>
        <stp/>
        <stp>IMPL_VOL</stp>
        <stp>.TSLA160520P280</stp>
        <tr r="P51" s="1"/>
      </tp>
      <tp t="s">
        <v>49.50%</v>
        <stp/>
        <stp>IMPL_VOL</stp>
        <stp>.TSLA160520C280</stp>
        <tr r="C51" s="1"/>
      </tp>
      <tp t="s">
        <v>57.16%</v>
        <stp/>
        <stp>IMPL_VOL</stp>
        <stp>.TSLA160520P285</stp>
        <tr r="P52" s="1"/>
      </tp>
      <tp t="s">
        <v>49.52%</v>
        <stp/>
        <stp>IMPL_VOL</stp>
        <stp>.TSLA160520C285</stp>
        <tr r="C52" s="1"/>
      </tp>
      <tp t="s">
        <v>99.85%</v>
        <stp/>
        <stp>PROB_OTM</stp>
        <stp>.TSLA160520C480</stp>
        <tr r="D83" s="1"/>
      </tp>
      <tp t="s">
        <v>5.75%</v>
        <stp/>
        <stp>PROB_OTM</stp>
        <stp>.TSLA160520P480</stp>
        <tr r="Q83" s="1"/>
      </tp>
      <tp t="s">
        <v>61.95%</v>
        <stp/>
        <stp>IMPL_VOL</stp>
        <stp>.TSLA160520P310</stp>
        <tr r="P57" s="1"/>
      </tp>
      <tp t="s">
        <v>50.28%</v>
        <stp/>
        <stp>IMPL_VOL</stp>
        <stp>.TSLA160520C310</stp>
        <tr r="C57" s="1"/>
      </tp>
      <tp t="s">
        <v>63.10%</v>
        <stp/>
        <stp>IMPL_VOL</stp>
        <stp>.TSLA160520P315</stp>
        <tr r="P58" s="1"/>
      </tp>
      <tp t="s">
        <v>50.63%</v>
        <stp/>
        <stp>IMPL_VOL</stp>
        <stp>.TSLA160520C315</stp>
        <tr r="C58" s="1"/>
      </tp>
      <tp t="s">
        <v>59.29%</v>
        <stp/>
        <stp>IMPL_VOL</stp>
        <stp>.TSLA160520P300</stp>
        <tr r="P55" s="1"/>
      </tp>
      <tp t="s">
        <v>49.86%</v>
        <stp/>
        <stp>IMPL_VOL</stp>
        <stp>.TSLA160520C300</stp>
        <tr r="C55" s="1"/>
      </tp>
      <tp t="s">
        <v>60.47%</v>
        <stp/>
        <stp>IMPL_VOL</stp>
        <stp>.TSLA160520P305</stp>
        <tr r="P56" s="1"/>
      </tp>
      <tp t="s">
        <v>50.07%</v>
        <stp/>
        <stp>IMPL_VOL</stp>
        <stp>.TSLA160520C305</stp>
        <tr r="C56" s="1"/>
      </tp>
      <tp t="s">
        <v>67.50%</v>
        <stp/>
        <stp>IMPL_VOL</stp>
        <stp>.TSLA160520P330</stp>
        <tr r="P61" s="1"/>
      </tp>
      <tp t="s">
        <v>51.51%</v>
        <stp/>
        <stp>IMPL_VOL</stp>
        <stp>.TSLA160520C330</stp>
        <tr r="C61" s="1"/>
      </tp>
      <tp t="s">
        <v>70.47%</v>
        <stp/>
        <stp>IMPL_VOL</stp>
        <stp>.TSLA160520P335</stp>
        <tr r="P62" s="1"/>
      </tp>
      <tp t="s">
        <v>50.55%</v>
        <stp/>
        <stp>IMPL_VOL</stp>
        <stp>.TSLA160520C335</stp>
        <tr r="C62" s="1"/>
      </tp>
      <tp t="s">
        <v>65.28%</v>
        <stp/>
        <stp>IMPL_VOL</stp>
        <stp>.TSLA160520P320</stp>
        <tr r="P59" s="1"/>
      </tp>
      <tp t="s">
        <v>50.89%</v>
        <stp/>
        <stp>IMPL_VOL</stp>
        <stp>.TSLA160520C320</stp>
        <tr r="C59" s="1"/>
      </tp>
      <tp t="s">
        <v>67.11%</v>
        <stp/>
        <stp>IMPL_VOL</stp>
        <stp>.TSLA160520P325</stp>
        <tr r="P60" s="1"/>
      </tp>
      <tp t="s">
        <v>51.16%</v>
        <stp/>
        <stp>IMPL_VOL</stp>
        <stp>.TSLA160520C325</stp>
        <tr r="C60" s="1"/>
      </tp>
      <tp t="s">
        <v>76.27%</v>
        <stp/>
        <stp>IMPL_VOL</stp>
        <stp>.TSLA160520P350</stp>
        <tr r="P65" s="1"/>
      </tp>
      <tp t="s">
        <v>52.63%</v>
        <stp/>
        <stp>IMPL_VOL</stp>
        <stp>.TSLA160520C350</stp>
        <tr r="C65" s="1"/>
      </tp>
      <tp t="s">
        <v>78.73%</v>
        <stp/>
        <stp>IMPL_VOL</stp>
        <stp>.TSLA160520P355</stp>
        <tr r="P66" s="1"/>
      </tp>
      <tp t="s">
        <v>52.04%</v>
        <stp/>
        <stp>IMPL_VOL</stp>
        <stp>.TSLA160520C355</stp>
        <tr r="C66" s="1"/>
      </tp>
      <tp t="s">
        <v>73.01%</v>
        <stp/>
        <stp>IMPL_VOL</stp>
        <stp>.TSLA160520P340</stp>
        <tr r="P63" s="1"/>
      </tp>
      <tp t="s">
        <v>49.19%</v>
        <stp/>
        <stp>IMPL_VOL</stp>
        <stp>.TSLA160520C340</stp>
        <tr r="C63" s="1"/>
      </tp>
      <tp t="s">
        <v>74.38%</v>
        <stp/>
        <stp>IMPL_VOL</stp>
        <stp>.TSLA160520P345</stp>
        <tr r="P64" s="1"/>
      </tp>
      <tp t="s">
        <v>51.59%</v>
        <stp/>
        <stp>IMPL_VOL</stp>
        <stp>.TSLA160520C345</stp>
        <tr r="C64" s="1"/>
      </tp>
      <tp t="s">
        <v>86.49%</v>
        <stp/>
        <stp>IMPL_VOL</stp>
        <stp>.TSLA160520P370</stp>
        <tr r="P69" s="1"/>
      </tp>
      <tp t="s">
        <v>53.35%</v>
        <stp/>
        <stp>IMPL_VOL</stp>
        <stp>.TSLA160520C370</stp>
        <tr r="C69" s="1"/>
      </tp>
      <tp t="s">
        <v>88.03%</v>
        <stp/>
        <stp>IMPL_VOL</stp>
        <stp>.TSLA160520P375</stp>
        <tr r="P70" s="1"/>
      </tp>
      <tp t="s">
        <v>59.24%</v>
        <stp/>
        <stp>IMPL_VOL</stp>
        <stp>.TSLA160520C375</stp>
        <tr r="C70" s="1"/>
      </tp>
      <tp t="s">
        <v>81.02%</v>
        <stp/>
        <stp>IMPL_VOL</stp>
        <stp>.TSLA160520P360</stp>
        <tr r="P67" s="1"/>
      </tp>
      <tp t="s">
        <v>52.41%</v>
        <stp/>
        <stp>IMPL_VOL</stp>
        <stp>.TSLA160520C360</stp>
        <tr r="C67" s="1"/>
      </tp>
      <tp t="s">
        <v>83.91%</v>
        <stp/>
        <stp>IMPL_VOL</stp>
        <stp>.TSLA160520P365</stp>
        <tr r="P68" s="1"/>
      </tp>
      <tp t="s">
        <v>52.74%</v>
        <stp/>
        <stp>IMPL_VOL</stp>
        <stp>.TSLA160520C365</stp>
        <tr r="C68" s="1"/>
      </tp>
      <tp t="s">
        <v>96.10%</v>
        <stp/>
        <stp>IMPL_VOL</stp>
        <stp>.TSLA160520P390</stp>
        <tr r="P73" s="1"/>
      </tp>
      <tp t="s">
        <v>61.71%</v>
        <stp/>
        <stp>IMPL_VOL</stp>
        <stp>.TSLA160520C390</stp>
        <tr r="C73" s="1"/>
      </tp>
      <tp t="s">
        <v>99.45%</v>
        <stp/>
        <stp>IMPL_VOL</stp>
        <stp>.TSLA160520P395</stp>
        <tr r="P74" s="1"/>
      </tp>
      <tp t="s">
        <v>60.26%</v>
        <stp/>
        <stp>IMPL_VOL</stp>
        <stp>.TSLA160520C395</stp>
        <tr r="C74" s="1"/>
      </tp>
      <tp t="s">
        <v>91.37%</v>
        <stp/>
        <stp>IMPL_VOL</stp>
        <stp>.TSLA160520P380</stp>
        <tr r="P71" s="1"/>
      </tp>
      <tp t="s">
        <v>56.37%</v>
        <stp/>
        <stp>IMPL_VOL</stp>
        <stp>.TSLA160520C380</stp>
        <tr r="C71" s="1"/>
      </tp>
      <tp t="s">
        <v>93.51%</v>
        <stp/>
        <stp>IMPL_VOL</stp>
        <stp>.TSLA160520P385</stp>
        <tr r="P72" s="1"/>
      </tp>
      <tp t="s">
        <v>58.60%</v>
        <stp/>
        <stp>IMPL_VOL</stp>
        <stp>.TSLA160520C385</stp>
        <tr r="C72" s="1"/>
      </tp>
      <tp t="s">
        <v>W</v>
        <stp/>
        <stp>AX</stp>
        <stp>.AAPL161021C180</stp>
        <tr r="I115" s="2"/>
      </tp>
      <tp t="s">
        <v>B</v>
        <stp/>
        <stp>LX</stp>
        <stp>.AAPL161021C150</stp>
        <tr r="D109" s="2"/>
      </tp>
      <tp t="s">
        <v>M</v>
        <stp/>
        <stp>AX</stp>
        <stp>.AAPL161021P180</stp>
        <tr r="O115" s="2"/>
      </tp>
      <tp t="s">
        <v>X</v>
        <stp/>
        <stp>LX</stp>
        <stp>.AAPL161021P150</stp>
        <tr r="Q109" s="2"/>
      </tp>
      <tp t="s">
        <v>W</v>
        <stp/>
        <stp>AX</stp>
        <stp>.AAPL161021C185</stp>
        <tr r="I116" s="2"/>
      </tp>
      <tp t="s">
        <v>C</v>
        <stp/>
        <stp>LX</stp>
        <stp>.AAPL161021C155</stp>
        <tr r="D110" s="2"/>
      </tp>
      <tp t="s">
        <v>T</v>
        <stp/>
        <stp>AX</stp>
        <stp>.AAPL161021P185</stp>
        <tr r="O116" s="2"/>
      </tp>
      <tp t="s">
        <v>I</v>
        <stp/>
        <stp>LX</stp>
        <stp>.AAPL161021P155</stp>
        <tr r="Q110" s="2"/>
      </tp>
      <tp t="s">
        <v>C</v>
        <stp/>
        <stp>AX</stp>
        <stp>.AAPL161021C190</stp>
        <tr r="I117" s="2"/>
      </tp>
      <tp t="s">
        <v>M</v>
        <stp/>
        <stp>LX</stp>
        <stp>.AAPL161021C140</stp>
        <tr r="D107" s="2"/>
      </tp>
      <tp t="s">
        <v>M</v>
        <stp/>
        <stp>AX</stp>
        <stp>.AAPL161021P190</stp>
        <tr r="O117" s="2"/>
      </tp>
      <tp t="s">
        <v>A</v>
        <stp/>
        <stp>LX</stp>
        <stp>.AAPL161021P140</stp>
        <tr r="Q107" s="2"/>
      </tp>
      <tp t="s">
        <v>C</v>
        <stp/>
        <stp>AX</stp>
        <stp>.AAPL161021C195</stp>
        <tr r="I118" s="2"/>
      </tp>
      <tp t="s">
        <v>M</v>
        <stp/>
        <stp>LX</stp>
        <stp>.AAPL161021C145</stp>
        <tr r="D108" s="2"/>
      </tp>
      <tp t="s">
        <v>M</v>
        <stp/>
        <stp>AX</stp>
        <stp>.AAPL161021P195</stp>
        <tr r="O118" s="2"/>
      </tp>
      <tp t="s">
        <v>X</v>
        <stp/>
        <stp>LX</stp>
        <stp>.AAPL161021P145</stp>
        <tr r="Q108" s="2"/>
      </tp>
      <tp t="s">
        <v>Z</v>
        <stp/>
        <stp>BX</stp>
        <stp>.AAPL161021C190</stp>
        <tr r="G117" s="2"/>
      </tp>
      <tp t="s">
        <v>C</v>
        <stp/>
        <stp>LX</stp>
        <stp>.AAPL161021C170</stp>
        <tr r="D113" s="2"/>
      </tp>
      <tp t="s">
        <v>M</v>
        <stp/>
        <stp>BX</stp>
        <stp>.AAPL161021P190</stp>
        <tr r="M117" s="2"/>
      </tp>
      <tp t="s">
        <v/>
        <stp/>
        <stp>LX</stp>
        <stp>.AAPL161021P170</stp>
        <tr r="Q113" s="2"/>
      </tp>
      <tp t="s">
        <v>B</v>
        <stp/>
        <stp>BX</stp>
        <stp>.AAPL161021C195</stp>
        <tr r="G118" s="2"/>
      </tp>
      <tp t="s">
        <v>E</v>
        <stp/>
        <stp>LX</stp>
        <stp>.AAPL161021C175</stp>
        <tr r="D114" s="2"/>
      </tp>
      <tp t="s">
        <v>M</v>
        <stp/>
        <stp>BX</stp>
        <stp>.AAPL161021P195</stp>
        <tr r="M118" s="2"/>
      </tp>
      <tp t="s">
        <v>M</v>
        <stp/>
        <stp>LX</stp>
        <stp>.AAPL161021P175</stp>
        <tr r="Q114" s="2"/>
      </tp>
      <tp t="s">
        <v>C</v>
        <stp/>
        <stp>BX</stp>
        <stp>.AAPL161021C180</stp>
        <tr r="G115" s="2"/>
      </tp>
      <tp t="s">
        <v>C</v>
        <stp/>
        <stp>LX</stp>
        <stp>.AAPL161021C160</stp>
        <tr r="D111" s="2"/>
      </tp>
      <tp t="s">
        <v>M</v>
        <stp/>
        <stp>BX</stp>
        <stp>.AAPL161021P180</stp>
        <tr r="M115" s="2"/>
      </tp>
      <tp t="s">
        <v>I</v>
        <stp/>
        <stp>LX</stp>
        <stp>.AAPL161021P160</stp>
        <tr r="Q111" s="2"/>
      </tp>
      <tp t="s">
        <v>W</v>
        <stp/>
        <stp>BX</stp>
        <stp>.AAPL161021C185</stp>
        <tr r="G116" s="2"/>
      </tp>
      <tp t="s">
        <v>M</v>
        <stp/>
        <stp>LX</stp>
        <stp>.AAPL161021C165</stp>
        <tr r="D112" s="2"/>
      </tp>
      <tp t="s">
        <v>M</v>
        <stp/>
        <stp>BX</stp>
        <stp>.AAPL161021P185</stp>
        <tr r="M116" s="2"/>
      </tp>
      <tp t="s">
        <v>X</v>
        <stp/>
        <stp>LX</stp>
        <stp>.AAPL161021P165</stp>
        <tr r="Q112" s="2"/>
      </tp>
      <tp t="s">
        <v>B</v>
        <stp/>
        <stp>LX</stp>
        <stp>.AAPL161021C110</stp>
        <tr r="D101" s="2"/>
      </tp>
      <tp t="s">
        <v>A</v>
        <stp/>
        <stp>LX</stp>
        <stp>.AAPL161021P110</stp>
        <tr r="Q101" s="2"/>
      </tp>
      <tp t="s">
        <v>X</v>
        <stp/>
        <stp>LX</stp>
        <stp>.AAPL161021C115</stp>
        <tr r="D102" s="2"/>
      </tp>
      <tp t="s">
        <v>Q</v>
        <stp/>
        <stp>LX</stp>
        <stp>.AAPL161021P115</stp>
        <tr r="Q102" s="2"/>
      </tp>
      <tp t="s">
        <v>X</v>
        <stp/>
        <stp>LX</stp>
        <stp>.AAPL161021C100</stp>
        <tr r="D99" s="2"/>
      </tp>
      <tp t="s">
        <v>Z</v>
        <stp/>
        <stp>LX</stp>
        <stp>.AAPL161021P100</stp>
        <tr r="Q99" s="2"/>
      </tp>
      <tp t="s">
        <v>B</v>
        <stp/>
        <stp>LX</stp>
        <stp>.AAPL161021C105</stp>
        <tr r="D100" s="2"/>
      </tp>
      <tp t="s">
        <v>Z</v>
        <stp/>
        <stp>LX</stp>
        <stp>.AAPL161021P105</stp>
        <tr r="Q100" s="2"/>
      </tp>
      <tp t="s">
        <v>X</v>
        <stp/>
        <stp>LX</stp>
        <stp>.AAPL161021C130</stp>
        <tr r="D105" s="2"/>
      </tp>
      <tp t="s">
        <v>I</v>
        <stp/>
        <stp>LX</stp>
        <stp>.AAPL161021P130</stp>
        <tr r="Q105" s="2"/>
      </tp>
      <tp t="s">
        <v>Q</v>
        <stp/>
        <stp>LX</stp>
        <stp>.AAPL161021C135</stp>
        <tr r="D106" s="2"/>
      </tp>
      <tp t="s">
        <v>X</v>
        <stp/>
        <stp>LX</stp>
        <stp>.AAPL161021P135</stp>
        <tr r="Q106" s="2"/>
      </tp>
      <tp t="s">
        <v>Z</v>
        <stp/>
        <stp>LX</stp>
        <stp>.AAPL161021C120</stp>
        <tr r="D103" s="2"/>
      </tp>
      <tp t="s">
        <v>C</v>
        <stp/>
        <stp>LX</stp>
        <stp>.AAPL161021P120</stp>
        <tr r="Q103" s="2"/>
      </tp>
      <tp t="s">
        <v>M</v>
        <stp/>
        <stp>LX</stp>
        <stp>.AAPL161021C125</stp>
        <tr r="D104" s="2"/>
      </tp>
      <tp t="s">
        <v>X</v>
        <stp/>
        <stp>LX</stp>
        <stp>.AAPL161021P125</stp>
        <tr r="Q104" s="2"/>
      </tp>
      <tp t="s">
        <v>X</v>
        <stp/>
        <stp>AX</stp>
        <stp>.AAPL161021C100</stp>
        <tr r="I99" s="2"/>
      </tp>
      <tp t="s">
        <v>C</v>
        <stp/>
        <stp>BX</stp>
        <stp>.AAPL161021C130</stp>
        <tr r="G105" s="2"/>
      </tp>
      <tp t="s">
        <v>C</v>
        <stp/>
        <stp>AX</stp>
        <stp>.AAPL161021P100</stp>
        <tr r="O99" s="2"/>
      </tp>
      <tp t="s">
        <v>C</v>
        <stp/>
        <stp>BX</stp>
        <stp>.AAPL161021P130</stp>
        <tr r="M105" s="2"/>
      </tp>
      <tp t="s">
        <v>C</v>
        <stp/>
        <stp>AX</stp>
        <stp>.AAPL161021C105</stp>
        <tr r="I100" s="2"/>
      </tp>
      <tp t="s">
        <v>E</v>
        <stp/>
        <stp>BX</stp>
        <stp>.AAPL161021C135</stp>
        <tr r="G106" s="2"/>
      </tp>
      <tp t="s">
        <v>C</v>
        <stp/>
        <stp>AX</stp>
        <stp>.AAPL161021P105</stp>
        <tr r="O100" s="2"/>
      </tp>
      <tp t="s">
        <v>C</v>
        <stp/>
        <stp>BX</stp>
        <stp>.AAPL161021P135</stp>
        <tr r="M106" s="2"/>
      </tp>
      <tp t="s">
        <v>C</v>
        <stp/>
        <stp>AX</stp>
        <stp>.AAPL161021C110</stp>
        <tr r="I101" s="2"/>
      </tp>
      <tp t="s">
        <v>C</v>
        <stp/>
        <stp>BX</stp>
        <stp>.AAPL161021C120</stp>
        <tr r="G103" s="2"/>
      </tp>
      <tp t="s">
        <v>C</v>
        <stp/>
        <stp>AX</stp>
        <stp>.AAPL161021P110</stp>
        <tr r="O101" s="2"/>
      </tp>
      <tp t="s">
        <v>X</v>
        <stp/>
        <stp>BX</stp>
        <stp>.AAPL161021P120</stp>
        <tr r="M103" s="2"/>
      </tp>
      <tp t="s">
        <v>Z</v>
        <stp/>
        <stp>AX</stp>
        <stp>.AAPL161021C115</stp>
        <tr r="I102" s="2"/>
      </tp>
      <tp t="s">
        <v>C</v>
        <stp/>
        <stp>BX</stp>
        <stp>.AAPL161021C125</stp>
        <tr r="G104" s="2"/>
      </tp>
      <tp t="s">
        <v>C</v>
        <stp/>
        <stp>AX</stp>
        <stp>.AAPL161021P115</stp>
        <tr r="O102" s="2"/>
      </tp>
      <tp t="s">
        <v>C</v>
        <stp/>
        <stp>BX</stp>
        <stp>.AAPL161021P125</stp>
        <tr r="M104" s="2"/>
      </tp>
      <tp t="s">
        <v>C</v>
        <stp/>
        <stp>AX</stp>
        <stp>.AAPL161021C120</stp>
        <tr r="I103" s="2"/>
      </tp>
      <tp t="s">
        <v>C</v>
        <stp/>
        <stp>BX</stp>
        <stp>.AAPL161021C110</stp>
        <tr r="G101" s="2"/>
      </tp>
      <tp t="s">
        <v>X</v>
        <stp/>
        <stp>AX</stp>
        <stp>.AAPL161021P120</stp>
        <tr r="O103" s="2"/>
      </tp>
      <tp t="s">
        <v>C</v>
        <stp/>
        <stp>BX</stp>
        <stp>.AAPL161021P110</stp>
        <tr r="M101" s="2"/>
      </tp>
      <tp t="s">
        <v>Z</v>
        <stp/>
        <stp>AX</stp>
        <stp>.AAPL161021C125</stp>
        <tr r="I104" s="2"/>
      </tp>
      <tp t="s">
        <v>C</v>
        <stp/>
        <stp>BX</stp>
        <stp>.AAPL161021C115</stp>
        <tr r="G102" s="2"/>
      </tp>
      <tp t="s">
        <v>C</v>
        <stp/>
        <stp>AX</stp>
        <stp>.AAPL161021P125</stp>
        <tr r="O104" s="2"/>
      </tp>
      <tp t="s">
        <v>C</v>
        <stp/>
        <stp>BX</stp>
        <stp>.AAPL161021P115</stp>
        <tr r="M102" s="2"/>
      </tp>
      <tp t="s">
        <v>Z</v>
        <stp/>
        <stp>AX</stp>
        <stp>.AAPL161021C130</stp>
        <tr r="I105" s="2"/>
      </tp>
      <tp t="s">
        <v>X</v>
        <stp/>
        <stp>BX</stp>
        <stp>.AAPL161021C100</stp>
        <tr r="G99" s="2"/>
      </tp>
      <tp t="s">
        <v>X</v>
        <stp/>
        <stp>AX</stp>
        <stp>.AAPL161021P130</stp>
        <tr r="O105" s="2"/>
      </tp>
      <tp t="s">
        <v>Z</v>
        <stp/>
        <stp>BX</stp>
        <stp>.AAPL161021P100</stp>
        <tr r="M99" s="2"/>
      </tp>
      <tp t="s">
        <v>Z</v>
        <stp/>
        <stp>AX</stp>
        <stp>.AAPL161021C135</stp>
        <tr r="I106" s="2"/>
      </tp>
      <tp t="s">
        <v>X</v>
        <stp/>
        <stp>BX</stp>
        <stp>.AAPL161021C105</stp>
        <tr r="G100" s="2"/>
      </tp>
      <tp t="s">
        <v>C</v>
        <stp/>
        <stp>AX</stp>
        <stp>.AAPL161021P135</stp>
        <tr r="O106" s="2"/>
      </tp>
      <tp t="s">
        <v>C</v>
        <stp/>
        <stp>BX</stp>
        <stp>.AAPL161021P105</stp>
        <tr r="M100" s="2"/>
      </tp>
      <tp t="s">
        <v>Q</v>
        <stp/>
        <stp>AX</stp>
        <stp>.AAPL161021C140</stp>
        <tr r="I107" s="2"/>
      </tp>
      <tp t="s">
        <v>W</v>
        <stp/>
        <stp>BX</stp>
        <stp>.AAPL161021C170</stp>
        <tr r="G113" s="2"/>
      </tp>
      <tp t="s">
        <v>N</v>
        <stp/>
        <stp>LX</stp>
        <stp>.AAPL161021C190</stp>
        <tr r="D117" s="2"/>
      </tp>
      <tp t="s">
        <v>M</v>
        <stp/>
        <stp>AX</stp>
        <stp>.AAPL161021P140</stp>
        <tr r="O107" s="2"/>
      </tp>
      <tp t="s">
        <v>M</v>
        <stp/>
        <stp>BX</stp>
        <stp>.AAPL161021P170</stp>
        <tr r="M113" s="2"/>
      </tp>
      <tp t="s">
        <v>W</v>
        <stp/>
        <stp>LX</stp>
        <stp>.AAPL161021P190</stp>
        <tr r="Q117" s="2"/>
      </tp>
      <tp t="s">
        <v>Z</v>
        <stp/>
        <stp>AX</stp>
        <stp>.AAPL161021C145</stp>
        <tr r="I108" s="2"/>
      </tp>
      <tp t="s">
        <v>W</v>
        <stp/>
        <stp>BX</stp>
        <stp>.AAPL161021C175</stp>
        <tr r="G114" s="2"/>
      </tp>
      <tp t="s">
        <v/>
        <stp/>
        <stp>LX</stp>
        <stp>.AAPL161021C195</stp>
        <tr r="D118" s="2"/>
      </tp>
      <tp t="s">
        <v>M</v>
        <stp/>
        <stp>AX</stp>
        <stp>.AAPL161021P145</stp>
        <tr r="O108" s="2"/>
      </tp>
      <tp t="s">
        <v>M</v>
        <stp/>
        <stp>BX</stp>
        <stp>.AAPL161021P175</stp>
        <tr r="M114" s="2"/>
      </tp>
      <tp t="s">
        <v>Z</v>
        <stp/>
        <stp>LX</stp>
        <stp>.AAPL161021P195</stp>
        <tr r="Q118" s="2"/>
      </tp>
      <tp t="s">
        <v>W</v>
        <stp/>
        <stp>AX</stp>
        <stp>.AAPL161021C150</stp>
        <tr r="I109" s="2"/>
      </tp>
      <tp t="s">
        <v>X</v>
        <stp/>
        <stp>BX</stp>
        <stp>.AAPL161021C160</stp>
        <tr r="G111" s="2"/>
      </tp>
      <tp t="s">
        <v/>
        <stp/>
        <stp>LX</stp>
        <stp>.AAPL161021C180</stp>
        <tr r="D115" s="2"/>
      </tp>
      <tp t="s">
        <v>C</v>
        <stp/>
        <stp>AX</stp>
        <stp>.AAPL161021P150</stp>
        <tr r="O109" s="2"/>
      </tp>
      <tp t="s">
        <v>X</v>
        <stp/>
        <stp>BX</stp>
        <stp>.AAPL161021P160</stp>
        <tr r="M111" s="2"/>
      </tp>
      <tp t="s">
        <v/>
        <stp/>
        <stp>LX</stp>
        <stp>.AAPL161021P180</stp>
        <tr r="Q115" s="2"/>
      </tp>
      <tp t="s">
        <v>W</v>
        <stp/>
        <stp>AX</stp>
        <stp>.AAPL161021C155</stp>
        <tr r="I110" s="2"/>
      </tp>
      <tp t="s">
        <v>X</v>
        <stp/>
        <stp>BX</stp>
        <stp>.AAPL161021C165</stp>
        <tr r="G112" s="2"/>
      </tp>
      <tp t="s">
        <v/>
        <stp/>
        <stp>LX</stp>
        <stp>.AAPL161021C185</stp>
        <tr r="D116" s="2"/>
      </tp>
      <tp t="s">
        <v>C</v>
        <stp/>
        <stp>AX</stp>
        <stp>.AAPL161021P155</stp>
        <tr r="O110" s="2"/>
      </tp>
      <tp t="s">
        <v>C</v>
        <stp/>
        <stp>BX</stp>
        <stp>.AAPL161021P165</stp>
        <tr r="M112" s="2"/>
      </tp>
      <tp t="s">
        <v/>
        <stp/>
        <stp>LX</stp>
        <stp>.AAPL161021P185</stp>
        <tr r="Q116" s="2"/>
      </tp>
      <tp t="s">
        <v>X</v>
        <stp/>
        <stp>AX</stp>
        <stp>.AAPL161021C160</stp>
        <tr r="I111" s="2"/>
      </tp>
      <tp t="s">
        <v>X</v>
        <stp/>
        <stp>BX</stp>
        <stp>.AAPL161021C150</stp>
        <tr r="G109" s="2"/>
      </tp>
      <tp t="s">
        <v>C</v>
        <stp/>
        <stp>AX</stp>
        <stp>.AAPL161021P160</stp>
        <tr r="O111" s="2"/>
      </tp>
      <tp t="s">
        <v>X</v>
        <stp/>
        <stp>BX</stp>
        <stp>.AAPL161021P150</stp>
        <tr r="M109" s="2"/>
      </tp>
      <tp t="s">
        <v>C</v>
        <stp/>
        <stp>AX</stp>
        <stp>.AAPL161021C165</stp>
        <tr r="I112" s="2"/>
      </tp>
      <tp t="s">
        <v>C</v>
        <stp/>
        <stp>BX</stp>
        <stp>.AAPL161021C155</stp>
        <tr r="G110" s="2"/>
      </tp>
      <tp t="s">
        <v>C</v>
        <stp/>
        <stp>AX</stp>
        <stp>.AAPL161021P165</stp>
        <tr r="O112" s="2"/>
      </tp>
      <tp t="s">
        <v>X</v>
        <stp/>
        <stp>BX</stp>
        <stp>.AAPL161021P155</stp>
        <tr r="M110" s="2"/>
      </tp>
      <tp t="s">
        <v>X</v>
        <stp/>
        <stp>AX</stp>
        <stp>.AAPL161021C170</stp>
        <tr r="I113" s="2"/>
      </tp>
      <tp t="s">
        <v>X</v>
        <stp/>
        <stp>BX</stp>
        <stp>.AAPL161021C140</stp>
        <tr r="G107" s="2"/>
      </tp>
      <tp t="s">
        <v>M</v>
        <stp/>
        <stp>AX</stp>
        <stp>.AAPL161021P170</stp>
        <tr r="O113" s="2"/>
      </tp>
      <tp t="s">
        <v>M</v>
        <stp/>
        <stp>BX</stp>
        <stp>.AAPL161021P140</stp>
        <tr r="M107" s="2"/>
      </tp>
      <tp t="s">
        <v>C</v>
        <stp/>
        <stp>AX</stp>
        <stp>.AAPL161021C175</stp>
        <tr r="I114" s="2"/>
      </tp>
      <tp t="s">
        <v>C</v>
        <stp/>
        <stp>BX</stp>
        <stp>.AAPL161021C145</stp>
        <tr r="G108" s="2"/>
      </tp>
      <tp t="s">
        <v>M</v>
        <stp/>
        <stp>AX</stp>
        <stp>.AAPL161021P175</stp>
        <tr r="O114" s="2"/>
      </tp>
      <tp t="s">
        <v>X</v>
        <stp/>
        <stp>BX</stp>
        <stp>.AAPL161021P145</stp>
        <tr r="M108" s="2"/>
      </tp>
      <tp t="s">
        <v>114.32%</v>
        <stp/>
        <stp>IMPL_VOL</stp>
        <stp>.TSLA160520P110</stp>
        <tr r="P17" s="1"/>
      </tp>
      <tp t="s">
        <v>98.55%</v>
        <stp/>
        <stp>IMPL_VOL</stp>
        <stp>.TSLA160520C110</stp>
        <tr r="C17" s="1"/>
      </tp>
      <tp t="s">
        <v>111.51%</v>
        <stp/>
        <stp>IMPL_VOL</stp>
        <stp>.TSLA160520P115</stp>
        <tr r="P18" s="1"/>
      </tp>
      <tp t="s">
        <v>--</v>
        <stp/>
        <stp>IMPL_VOL</stp>
        <stp>.TSLA160520C115</stp>
        <tr r="C18" s="1"/>
      </tp>
      <tp t="s">
        <v>112.44%</v>
        <stp/>
        <stp>IMPL_VOL</stp>
        <stp>.TSLA160520P100</stp>
        <tr r="P15" s="1"/>
      </tp>
      <tp t="s">
        <v>0.00%</v>
        <stp/>
        <stp>IMPL_VOL</stp>
        <stp>.TSLA160520C100</stp>
        <tr r="C15" s="1"/>
      </tp>
      <tp t="s">
        <v>116.26%</v>
        <stp/>
        <stp>IMPL_VOL</stp>
        <stp>.TSLA160520P105</stp>
        <tr r="P16" s="1"/>
      </tp>
      <tp t="s">
        <v>0.00%</v>
        <stp/>
        <stp>IMPL_VOL</stp>
        <stp>.TSLA160520C105</stp>
        <tr r="C16" s="1"/>
      </tp>
      <tp t="s">
        <v>96.98%</v>
        <stp/>
        <stp>IMPL_VOL</stp>
        <stp>.TSLA160520P130</stp>
        <tr r="P21" s="1"/>
      </tp>
      <tp t="s">
        <v>78.66%</v>
        <stp/>
        <stp>IMPL_VOL</stp>
        <stp>.TSLA160520C130</stp>
        <tr r="C21" s="1"/>
      </tp>
      <tp t="s">
        <v>95.29%</v>
        <stp/>
        <stp>IMPL_VOL</stp>
        <stp>.TSLA160520P135</stp>
        <tr r="P22" s="1"/>
      </tp>
      <tp t="s">
        <v>0.00%</v>
        <stp/>
        <stp>IMPL_VOL</stp>
        <stp>.TSLA160520C135</stp>
        <tr r="C22" s="1"/>
      </tp>
      <tp t="s">
        <v>89.89%</v>
        <stp/>
        <stp>IMPL_VOL</stp>
        <stp>.TSLA160520P120</stp>
        <tr r="P19" s="1"/>
      </tp>
      <tp t="s">
        <v>0.00%</v>
        <stp/>
        <stp>IMPL_VOL</stp>
        <stp>.TSLA160520C120</stp>
        <tr r="C19" s="1"/>
      </tp>
      <tp t="s">
        <v>98.95%</v>
        <stp/>
        <stp>IMPL_VOL</stp>
        <stp>.TSLA160520P125</stp>
        <tr r="P20" s="1"/>
      </tp>
      <tp t="s">
        <v>--</v>
        <stp/>
        <stp>IMPL_VOL</stp>
        <stp>.TSLA160520C125</stp>
        <tr r="C20" s="1"/>
      </tp>
      <tp t="s">
        <v>81.00%</v>
        <stp/>
        <stp>IMPL_VOL</stp>
        <stp>.TSLA160520P150</stp>
        <tr r="P25" s="1"/>
      </tp>
      <tp t="s">
        <v>0.00%</v>
        <stp/>
        <stp>IMPL_VOL</stp>
        <stp>.TSLA160520C150</stp>
        <tr r="C25" s="1"/>
      </tp>
      <tp t="s">
        <v>81.02%</v>
        <stp/>
        <stp>IMPL_VOL</stp>
        <stp>.TSLA160520P155</stp>
        <tr r="P26" s="1"/>
      </tp>
      <tp t="s">
        <v>64.60%</v>
        <stp/>
        <stp>IMPL_VOL</stp>
        <stp>.TSLA160520C155</stp>
        <tr r="C26" s="1"/>
      </tp>
      <tp t="s">
        <v>92.63%</v>
        <stp/>
        <stp>IMPL_VOL</stp>
        <stp>.TSLA160520P140</stp>
        <tr r="P23" s="1"/>
      </tp>
      <tp t="s">
        <v>75.21%</v>
        <stp/>
        <stp>IMPL_VOL</stp>
        <stp>.TSLA160520C140</stp>
        <tr r="C23" s="1"/>
      </tp>
      <tp t="s">
        <v>86.41%</v>
        <stp/>
        <stp>IMPL_VOL</stp>
        <stp>.TSLA160520P145</stp>
        <tr r="P24" s="1"/>
      </tp>
      <tp t="s">
        <v>0.00%</v>
        <stp/>
        <stp>IMPL_VOL</stp>
        <stp>.TSLA160520C145</stp>
        <tr r="C24" s="1"/>
      </tp>
      <tp t="s">
        <v>72.12%</v>
        <stp/>
        <stp>IMPL_VOL</stp>
        <stp>.TSLA160520P170</stp>
        <tr r="P29" s="1"/>
      </tp>
      <tp t="s">
        <v>58.82%</v>
        <stp/>
        <stp>IMPL_VOL</stp>
        <stp>.TSLA160520C170</stp>
        <tr r="C29" s="1"/>
      </tp>
      <tp t="s">
        <v>70.07%</v>
        <stp/>
        <stp>IMPL_VOL</stp>
        <stp>.TSLA160520P175</stp>
        <tr r="P30" s="1"/>
      </tp>
      <tp t="s">
        <v>38.47%</v>
        <stp/>
        <stp>IMPL_VOL</stp>
        <stp>.TSLA160520C175</stp>
        <tr r="C30" s="1"/>
      </tp>
      <tp t="s">
        <v>78.65%</v>
        <stp/>
        <stp>IMPL_VOL</stp>
        <stp>.TSLA160520P160</stp>
        <tr r="P27" s="1"/>
      </tp>
      <tp t="s">
        <v>0.00%</v>
        <stp/>
        <stp>IMPL_VOL</stp>
        <stp>.TSLA160520C160</stp>
        <tr r="C27" s="1"/>
      </tp>
      <tp t="s">
        <v>74.90%</v>
        <stp/>
        <stp>IMPL_VOL</stp>
        <stp>.TSLA160520P165</stp>
        <tr r="P28" s="1"/>
      </tp>
      <tp t="s">
        <v>50.35%</v>
        <stp/>
        <stp>IMPL_VOL</stp>
        <stp>.TSLA160520C165</stp>
        <tr r="C28" s="1"/>
      </tp>
      <tp t="s">
        <v>65.74%</v>
        <stp/>
        <stp>IMPL_VOL</stp>
        <stp>.TSLA160520P190</stp>
        <tr r="P33" s="1"/>
      </tp>
      <tp t="s">
        <v>49.25%</v>
        <stp/>
        <stp>IMPL_VOL</stp>
        <stp>.TSLA160520C190</stp>
        <tr r="C33" s="1"/>
      </tp>
      <tp t="s">
        <v>64.56%</v>
        <stp/>
        <stp>IMPL_VOL</stp>
        <stp>.TSLA160520P195</stp>
        <tr r="P34" s="1"/>
      </tp>
      <tp t="s">
        <v>50.45%</v>
        <stp/>
        <stp>IMPL_VOL</stp>
        <stp>.TSLA160520C195</stp>
        <tr r="C34" s="1"/>
      </tp>
      <tp t="s">
        <v>68.52%</v>
        <stp/>
        <stp>IMPL_VOL</stp>
        <stp>.TSLA160520P180</stp>
        <tr r="P31" s="1"/>
      </tp>
      <tp t="s">
        <v>0.00%</v>
        <stp/>
        <stp>IMPL_VOL</stp>
        <stp>.TSLA160520C180</stp>
        <tr r="C31" s="1"/>
      </tp>
      <tp t="s">
        <v>67.23%</v>
        <stp/>
        <stp>IMPL_VOL</stp>
        <stp>.TSLA160520P185</stp>
        <tr r="P32" s="1"/>
      </tp>
      <tp t="s">
        <v>43.87%</v>
        <stp/>
        <stp>IMPL_VOL</stp>
        <stp>.TSLA160520C185</stp>
        <tr r="C32" s="1"/>
      </tp>
      <tp>
        <v>0.11</v>
        <stp/>
        <stp>LAST</stp>
        <stp>.AAPL161021P50</stp>
        <tr r="P86" s="2"/>
      </tp>
      <tp>
        <v>0.13</v>
        <stp/>
        <stp>LAST</stp>
        <stp>.AAPL161021P55</stp>
        <tr r="P87" s="2"/>
      </tp>
      <tp>
        <v>0.2</v>
        <stp/>
        <stp>LAST</stp>
        <stp>.AAPL161021P60</stp>
        <tr r="P88" s="2"/>
      </tp>
      <tp>
        <v>0.27</v>
        <stp/>
        <stp>LAST</stp>
        <stp>.AAPL161021P65</stp>
        <tr r="P89" s="2"/>
      </tp>
      <tp>
        <v>0.4</v>
        <stp/>
        <stp>LAST</stp>
        <stp>.AAPL161021P70</stp>
        <tr r="P90" s="2"/>
      </tp>
      <tp>
        <v>0.6</v>
        <stp/>
        <stp>LAST</stp>
        <stp>.AAPL161021P75</stp>
        <tr r="P91" s="2"/>
      </tp>
      <tp>
        <v>0.85</v>
        <stp/>
        <stp>LAST</stp>
        <stp>.AAPL161021P80</stp>
        <tr r="P92" s="2"/>
      </tp>
      <tp>
        <v>1.23</v>
        <stp/>
        <stp>LAST</stp>
        <stp>.AAPL161021P85</stp>
        <tr r="P93" s="2"/>
      </tp>
      <tp>
        <v>1.78</v>
        <stp/>
        <stp>LAST</stp>
        <stp>.AAPL161021P90</stp>
        <tr r="P95" s="2"/>
      </tp>
      <tp>
        <v>2.6</v>
        <stp/>
        <stp>LAST</stp>
        <stp>.AAPL161021P95</stp>
        <tr r="P97" s="2"/>
      </tp>
      <tp>
        <v>0.01</v>
        <stp/>
        <stp>LAST</stp>
        <stp>.AAPL160520P50</stp>
        <tr r="P15" s="2"/>
      </tp>
      <tp>
        <v>0.11</v>
        <stp/>
        <stp>LAST</stp>
        <stp>.AAPL160715P70</stp>
        <tr r="P58" s="2"/>
      </tp>
      <tp>
        <v>1.02</v>
        <stp/>
        <stp>LAST</stp>
        <stp>.AAPL170616P60</stp>
        <tr r="P142" s="2"/>
      </tp>
      <tp>
        <v>0.01</v>
        <stp/>
        <stp>LAST</stp>
        <stp>.AAPL160520P55</stp>
        <tr r="P16" s="2"/>
      </tp>
      <tp>
        <v>0.16</v>
        <stp/>
        <stp>LAST</stp>
        <stp>.AAPL160715P75</stp>
        <tr r="P59" s="2"/>
      </tp>
      <tp>
        <v>1.26</v>
        <stp/>
        <stp>LAST</stp>
        <stp>.AAPL170616P65</stp>
        <tr r="P143" s="2"/>
      </tp>
      <tp>
        <v>0.09</v>
        <stp/>
        <stp>LAST</stp>
        <stp>.AAPL160715P60</stp>
        <tr r="P56" s="2"/>
      </tp>
      <tp>
        <v>1.85</v>
        <stp/>
        <stp>LAST</stp>
        <stp>.AAPL170616P70</stp>
        <tr r="P144" s="2"/>
      </tp>
      <tp>
        <v>7.0000000000000007E-2</v>
        <stp/>
        <stp>LAST</stp>
        <stp>.AAPL160715P65</stp>
        <tr r="P57" s="2"/>
      </tp>
      <tp>
        <v>2.52</v>
        <stp/>
        <stp>LAST</stp>
        <stp>.AAPL170616P75</stp>
        <tr r="P145" s="2"/>
      </tp>
      <tp>
        <v>0.03</v>
        <stp/>
        <stp>LAST</stp>
        <stp>.AAPL160520P70</stp>
        <tr r="P19" s="2"/>
      </tp>
      <tp>
        <v>0.03</v>
        <stp/>
        <stp>LAST</stp>
        <stp>.AAPL160715P50</stp>
        <tr r="P54" s="2"/>
      </tp>
      <tp>
        <v>0.03</v>
        <stp/>
        <stp>LAST</stp>
        <stp>.AAPL160520P75</stp>
        <tr r="P20" s="2"/>
      </tp>
      <tp>
        <v>0.06</v>
        <stp/>
        <stp>LAST</stp>
        <stp>.AAPL160715P55</stp>
        <tr r="P55" s="2"/>
      </tp>
      <tp>
        <v>0.01</v>
        <stp/>
        <stp>LAST</stp>
        <stp>.AAPL160520P60</stp>
        <tr r="P17" s="2"/>
      </tp>
      <tp>
        <v>0.6</v>
        <stp/>
        <stp>LAST</stp>
        <stp>.AAPL170616P50</stp>
        <tr r="P140" s="2"/>
      </tp>
      <tp>
        <v>0.01</v>
        <stp/>
        <stp>LAST</stp>
        <stp>.AAPL160520P65</stp>
        <tr r="P18" s="2"/>
      </tp>
      <tp>
        <v>0.65</v>
        <stp/>
        <stp>LAST</stp>
        <stp>.AAPL170616P55</stp>
        <tr r="P141" s="2"/>
      </tp>
      <tp>
        <v>0.19</v>
        <stp/>
        <stp>LAST</stp>
        <stp>.AAPL160520P90</stp>
        <tr r="P24" s="2"/>
      </tp>
      <tp>
        <v>0.36</v>
        <stp/>
        <stp>LAST</stp>
        <stp>.AAPL160520P95</stp>
        <tr r="P26" s="2"/>
      </tp>
      <tp>
        <v>0.05</v>
        <stp/>
        <stp>LAST</stp>
        <stp>.AAPL160520P80</stp>
        <tr r="P21" s="2"/>
      </tp>
      <tp>
        <v>0.11</v>
        <stp/>
        <stp>LAST</stp>
        <stp>.AAPL160520P85</stp>
        <tr r="P22" s="2"/>
      </tp>
      <tp>
        <v>0.59</v>
        <stp/>
        <stp>LAST</stp>
        <stp>.AAPL160715P90</stp>
        <tr r="P63" s="2"/>
      </tp>
      <tp>
        <v>3.3</v>
        <stp/>
        <stp>LAST</stp>
        <stp>.AAPL170616P80</stp>
        <tr r="P146" s="2"/>
      </tp>
      <tp>
        <v>1.03</v>
        <stp/>
        <stp>LAST</stp>
        <stp>.AAPL160715P95</stp>
        <tr r="P65" s="2"/>
      </tp>
      <tp>
        <v>3.87</v>
        <stp/>
        <stp>LAST</stp>
        <stp>.AAPL170616P85</stp>
        <tr r="P147" s="2"/>
      </tp>
      <tp>
        <v>0.24</v>
        <stp/>
        <stp>LAST</stp>
        <stp>.AAPL160715P80</stp>
        <tr r="P60" s="2"/>
      </tp>
      <tp>
        <v>5.05</v>
        <stp/>
        <stp>LAST</stp>
        <stp>.AAPL170616P90</stp>
        <tr r="P149" s="2"/>
      </tp>
      <tp>
        <v>0.36</v>
        <stp/>
        <stp>LAST</stp>
        <stp>.AAPL160715P85</stp>
        <tr r="P61" s="2"/>
      </tp>
      <tp>
        <v>6.76</v>
        <stp/>
        <stp>LAST</stp>
        <stp>.AAPL170616P95</stp>
        <tr r="P151" s="2"/>
      </tp>
      <tp t="s">
        <v>X</v>
        <stp/>
        <stp>AX</stp>
        <stp>.TSLA160520P480</stp>
        <tr r="O83" s="1"/>
      </tp>
      <tp t="s">
        <v>Q</v>
        <stp/>
        <stp>AX</stp>
        <stp>.TSLA160520C480</stp>
        <tr r="I83" s="1"/>
      </tp>
      <tp t="s">
        <v>A</v>
        <stp/>
        <stp>BX</stp>
        <stp>.TSLA160520P480</stp>
        <tr r="M83" s="1"/>
      </tp>
      <tp t="s">
        <v>W</v>
        <stp/>
        <stp>BX</stp>
        <stp>.TSLA160520C480</stp>
        <tr r="G83" s="1"/>
      </tp>
      <tp t="s">
        <v>M</v>
        <stp/>
        <stp>AX</stp>
        <stp>.TSLA160520P450</stp>
        <tr r="O80" s="1"/>
      </tp>
      <tp t="s">
        <v>H</v>
        <stp/>
        <stp>BX</stp>
        <stp>.TSLA160520P460</stp>
        <tr r="M81" s="1"/>
      </tp>
      <tp t="s">
        <v>C</v>
        <stp/>
        <stp>AX</stp>
        <stp>.TSLA160520C450</stp>
        <tr r="I80" s="1"/>
      </tp>
      <tp t="s">
        <v>Z</v>
        <stp/>
        <stp>BX</stp>
        <stp>.TSLA160520C460</stp>
        <tr r="G81" s="1"/>
      </tp>
      <tp t="s">
        <v>H</v>
        <stp/>
        <stp>AX</stp>
        <stp>.TSLA160520P440</stp>
        <tr r="O79" s="1"/>
      </tp>
      <tp t="s">
        <v>I</v>
        <stp/>
        <stp>BX</stp>
        <stp>.TSLA160520P470</stp>
        <tr r="M82" s="1"/>
      </tp>
      <tp t="s">
        <v>M</v>
        <stp/>
        <stp>AX</stp>
        <stp>.TSLA160520C440</stp>
        <tr r="I79" s="1"/>
      </tp>
      <tp t="s">
        <v>W</v>
        <stp/>
        <stp>BX</stp>
        <stp>.TSLA160520C470</stp>
        <tr r="G82" s="1"/>
      </tp>
      <tp t="s">
        <v>I</v>
        <stp/>
        <stp>AX</stp>
        <stp>.TSLA160520P470</stp>
        <tr r="O82" s="1"/>
      </tp>
      <tp t="s">
        <v>T</v>
        <stp/>
        <stp>BX</stp>
        <stp>.TSLA160520P440</stp>
        <tr r="M79" s="1"/>
      </tp>
      <tp t="s">
        <v>Q</v>
        <stp/>
        <stp>AX</stp>
        <stp>.TSLA160520C470</stp>
        <tr r="I82" s="1"/>
      </tp>
      <tp t="s">
        <v>Q</v>
        <stp/>
        <stp>BX</stp>
        <stp>.TSLA160520C440</stp>
        <tr r="G79" s="1"/>
      </tp>
      <tp t="s">
        <v>I</v>
        <stp/>
        <stp>AX</stp>
        <stp>.TSLA160520P460</stp>
        <tr r="O81" s="1"/>
      </tp>
      <tp t="s">
        <v>A</v>
        <stp/>
        <stp>BX</stp>
        <stp>.TSLA160520P450</stp>
        <tr r="M80" s="1"/>
      </tp>
      <tp t="s">
        <v>Z</v>
        <stp/>
        <stp>AX</stp>
        <stp>.TSLA160520C460</stp>
        <tr r="I81" s="1"/>
      </tp>
      <tp t="s">
        <v>W</v>
        <stp/>
        <stp>BX</stp>
        <stp>.TSLA160520C450</stp>
        <tr r="G80" s="1"/>
      </tp>
      <tp t="s">
        <v>H</v>
        <stp/>
        <stp>AX</stp>
        <stp>.TSLA160520P410</stp>
        <tr r="O76" s="1"/>
      </tp>
      <tp t="s">
        <v>I</v>
        <stp/>
        <stp>BX</stp>
        <stp>.TSLA160520P420</stp>
        <tr r="M77" s="1"/>
      </tp>
      <tp t="s">
        <v>C</v>
        <stp/>
        <stp>AX</stp>
        <stp>.TSLA160520C410</stp>
        <tr r="I76" s="1"/>
      </tp>
      <tp t="s">
        <v>J</v>
        <stp/>
        <stp>BX</stp>
        <stp>.TSLA160520C420</stp>
        <tr r="G77" s="1"/>
      </tp>
      <tp t="s">
        <v>H</v>
        <stp/>
        <stp>AX</stp>
        <stp>.TSLA160520P400</stp>
        <tr r="O75" s="1"/>
      </tp>
      <tp t="s">
        <v>H</v>
        <stp/>
        <stp>BX</stp>
        <stp>.TSLA160520P430</stp>
        <tr r="M78" s="1"/>
      </tp>
      <tp t="s">
        <v>A</v>
        <stp/>
        <stp>AX</stp>
        <stp>.TSLA160520C400</stp>
        <tr r="I75" s="1"/>
      </tp>
      <tp t="s">
        <v>W</v>
        <stp/>
        <stp>BX</stp>
        <stp>.TSLA160520C430</stp>
        <tr r="G78" s="1"/>
      </tp>
      <tp t="s">
        <v>I</v>
        <stp/>
        <stp>AX</stp>
        <stp>.TSLA160520P430</stp>
        <tr r="O78" s="1"/>
      </tp>
      <tp t="s">
        <v>H</v>
        <stp/>
        <stp>BX</stp>
        <stp>.TSLA160520P400</stp>
        <tr r="M75" s="1"/>
      </tp>
      <tp t="s">
        <v>H</v>
        <stp/>
        <stp>AX</stp>
        <stp>.TSLA160520C430</stp>
        <tr r="I78" s="1"/>
      </tp>
      <tp t="s">
        <v>Z</v>
        <stp/>
        <stp>BX</stp>
        <stp>.TSLA160520C400</stp>
        <tr r="G75" s="1"/>
      </tp>
      <tp t="s">
        <v>H</v>
        <stp/>
        <stp>AX</stp>
        <stp>.TSLA160520P420</stp>
        <tr r="O77" s="1"/>
      </tp>
      <tp t="s">
        <v>A</v>
        <stp/>
        <stp>BX</stp>
        <stp>.TSLA160520P410</stp>
        <tr r="M76" s="1"/>
      </tp>
      <tp t="s">
        <v>C</v>
        <stp/>
        <stp>AX</stp>
        <stp>.TSLA160520C420</stp>
        <tr r="I77" s="1"/>
      </tp>
      <tp t="s">
        <v>J</v>
        <stp/>
        <stp>BX</stp>
        <stp>.TSLA160520C410</stp>
        <tr r="G76" s="1"/>
      </tp>
      <tp t="s">
        <v>N</v>
        <stp/>
        <stp>AX</stp>
        <stp>.TSLA160520P290</stp>
        <tr r="O53" s="1"/>
      </tp>
      <tp t="s">
        <v>X</v>
        <stp/>
        <stp>AX</stp>
        <stp>.TSLA160520C290</stp>
        <tr r="I53" s="1"/>
      </tp>
      <tp t="s">
        <v>N</v>
        <stp/>
        <stp>AX</stp>
        <stp>.TSLA160520P295</stp>
        <tr r="O54" s="1"/>
      </tp>
      <tp t="s">
        <v>X</v>
        <stp/>
        <stp>AX</stp>
        <stp>.TSLA160520C295</stp>
        <tr r="I54" s="1"/>
      </tp>
      <tp t="s">
        <v>T</v>
        <stp/>
        <stp>AX</stp>
        <stp>.TSLA160520P280</stp>
        <tr r="O51" s="1"/>
      </tp>
      <tp t="s">
        <v>C</v>
        <stp/>
        <stp>AX</stp>
        <stp>.TSLA160520C280</stp>
        <tr r="I51" s="1"/>
      </tp>
      <tp t="s">
        <v>T</v>
        <stp/>
        <stp>AX</stp>
        <stp>.TSLA160520P285</stp>
        <tr r="O52" s="1"/>
      </tp>
      <tp t="s">
        <v>C</v>
        <stp/>
        <stp>AX</stp>
        <stp>.TSLA160520C285</stp>
        <tr r="I52" s="1"/>
      </tp>
      <tp t="s">
        <v>C</v>
        <stp/>
        <stp>BX</stp>
        <stp>.TSLA160520P280</stp>
        <tr r="M51" s="1"/>
      </tp>
      <tp t="s">
        <v>C</v>
        <stp/>
        <stp>BX</stp>
        <stp>.TSLA160520C280</stp>
        <tr r="G51" s="1"/>
      </tp>
      <tp t="s">
        <v>X</v>
        <stp/>
        <stp>BX</stp>
        <stp>.TSLA160520P285</stp>
        <tr r="M52" s="1"/>
      </tp>
      <tp t="s">
        <v>C</v>
        <stp/>
        <stp>BX</stp>
        <stp>.TSLA160520C285</stp>
        <tr r="G52" s="1"/>
      </tp>
      <tp t="s">
        <v>C</v>
        <stp/>
        <stp>BX</stp>
        <stp>.TSLA160520P290</stp>
        <tr r="M53" s="1"/>
      </tp>
      <tp t="s">
        <v>X</v>
        <stp/>
        <stp>BX</stp>
        <stp>.TSLA160520C290</stp>
        <tr r="G53" s="1"/>
      </tp>
      <tp t="s">
        <v>C</v>
        <stp/>
        <stp>BX</stp>
        <stp>.TSLA160520P295</stp>
        <tr r="M54" s="1"/>
      </tp>
      <tp t="s">
        <v>X</v>
        <stp/>
        <stp>BX</stp>
        <stp>.TSLA160520C295</stp>
        <tr r="G54" s="1"/>
      </tp>
      <tp t="s">
        <v>X</v>
        <stp/>
        <stp>AX</stp>
        <stp>.TSLA160520P250</stp>
        <tr r="O45" s="1"/>
      </tp>
      <tp t="s">
        <v>N</v>
        <stp/>
        <stp>BX</stp>
        <stp>.TSLA160520P260</stp>
        <tr r="M47" s="1"/>
      </tp>
      <tp t="s">
        <v>C</v>
        <stp/>
        <stp>AX</stp>
        <stp>.TSLA160520C250</stp>
        <tr r="I45" s="1"/>
      </tp>
      <tp t="s">
        <v>Z</v>
        <stp/>
        <stp>BX</stp>
        <stp>.TSLA160520C260</stp>
        <tr r="G47" s="1"/>
      </tp>
      <tp t="s">
        <v>X</v>
        <stp/>
        <stp>AX</stp>
        <stp>.TSLA160520P255</stp>
        <tr r="O46" s="1"/>
      </tp>
      <tp t="s">
        <v>X</v>
        <stp/>
        <stp>BX</stp>
        <stp>.TSLA160520P265</stp>
        <tr r="M48" s="1"/>
      </tp>
      <tp t="s">
        <v>B</v>
        <stp/>
        <stp>AX</stp>
        <stp>.TSLA160520C255</stp>
        <tr r="I46" s="1"/>
      </tp>
      <tp t="s">
        <v>C</v>
        <stp/>
        <stp>BX</stp>
        <stp>.TSLA160520C265</stp>
        <tr r="G48" s="1"/>
      </tp>
      <tp t="s">
        <v>C</v>
        <stp/>
        <stp>AX</stp>
        <stp>.TSLA160520P240</stp>
        <tr r="O43" s="1"/>
      </tp>
      <tp t="s">
        <v>E</v>
        <stp/>
        <stp>BX</stp>
        <stp>.TSLA160520P270</stp>
        <tr r="M49" s="1"/>
      </tp>
      <tp t="s">
        <v>C</v>
        <stp/>
        <stp>AX</stp>
        <stp>.TSLA160520C240</stp>
        <tr r="I43" s="1"/>
      </tp>
      <tp t="s">
        <v>Z</v>
        <stp/>
        <stp>BX</stp>
        <stp>.TSLA160520C270</stp>
        <tr r="G49" s="1"/>
      </tp>
      <tp t="s">
        <v>X</v>
        <stp/>
        <stp>AX</stp>
        <stp>.TSLA160520P245</stp>
        <tr r="O44" s="1"/>
      </tp>
      <tp t="s">
        <v>C</v>
        <stp/>
        <stp>BX</stp>
        <stp>.TSLA160520P275</stp>
        <tr r="M50" s="1"/>
      </tp>
      <tp t="s">
        <v>C</v>
        <stp/>
        <stp>AX</stp>
        <stp>.TSLA160520C245</stp>
        <tr r="I44" s="1"/>
      </tp>
      <tp t="s">
        <v>C</v>
        <stp/>
        <stp>BX</stp>
        <stp>.TSLA160520C275</stp>
        <tr r="G50" s="1"/>
      </tp>
      <tp t="s">
        <v>N</v>
        <stp/>
        <stp>AX</stp>
        <stp>.TSLA160520P270</stp>
        <tr r="O49" s="1"/>
      </tp>
      <tp t="s">
        <v>C</v>
        <stp/>
        <stp>BX</stp>
        <stp>.TSLA160520P240</stp>
        <tr r="M43" s="1"/>
      </tp>
      <tp t="s">
        <v>C</v>
        <stp/>
        <stp>AX</stp>
        <stp>.TSLA160520C270</stp>
        <tr r="I49" s="1"/>
      </tp>
      <tp t="s">
        <v>C</v>
        <stp/>
        <stp>BX</stp>
        <stp>.TSLA160520C240</stp>
        <tr r="G43" s="1"/>
      </tp>
      <tp t="s">
        <v>N</v>
        <stp/>
        <stp>AX</stp>
        <stp>.TSLA160520P275</stp>
        <tr r="O50" s="1"/>
      </tp>
      <tp t="s">
        <v>C</v>
        <stp/>
        <stp>BX</stp>
        <stp>.TSLA160520P245</stp>
        <tr r="M44" s="1"/>
      </tp>
      <tp t="s">
        <v>C</v>
        <stp/>
        <stp>AX</stp>
        <stp>.TSLA160520C275</stp>
        <tr r="I50" s="1"/>
      </tp>
      <tp t="s">
        <v>C</v>
        <stp/>
        <stp>BX</stp>
        <stp>.TSLA160520C245</stp>
        <tr r="G44" s="1"/>
      </tp>
      <tp t="s">
        <v>X</v>
        <stp/>
        <stp>AX</stp>
        <stp>.TSLA160520P260</stp>
        <tr r="O47" s="1"/>
      </tp>
      <tp t="s">
        <v>T</v>
        <stp/>
        <stp>BX</stp>
        <stp>.TSLA160520P250</stp>
        <tr r="M45" s="1"/>
      </tp>
      <tp t="s">
        <v>C</v>
        <stp/>
        <stp>AX</stp>
        <stp>.TSLA160520C260</stp>
        <tr r="I47" s="1"/>
      </tp>
      <tp t="s">
        <v>B</v>
        <stp/>
        <stp>BX</stp>
        <stp>.TSLA160520C250</stp>
        <tr r="G45" s="1"/>
      </tp>
      <tp t="s">
        <v>X</v>
        <stp/>
        <stp>AX</stp>
        <stp>.TSLA160520P265</stp>
        <tr r="O48" s="1"/>
      </tp>
      <tp t="s">
        <v>C</v>
        <stp/>
        <stp>BX</stp>
        <stp>.TSLA160520P255</stp>
        <tr r="M46" s="1"/>
      </tp>
      <tp t="s">
        <v>C</v>
        <stp/>
        <stp>AX</stp>
        <stp>.TSLA160520C265</stp>
        <tr r="I48" s="1"/>
      </tp>
      <tp t="s">
        <v>Z</v>
        <stp/>
        <stp>BX</stp>
        <stp>.TSLA160520C255</stp>
        <tr r="G46" s="1"/>
      </tp>
      <tp t="s">
        <v>C</v>
        <stp/>
        <stp>AX</stp>
        <stp>.TSLA160520P210</stp>
        <tr r="O37" s="1"/>
      </tp>
      <tp t="s">
        <v>C</v>
        <stp/>
        <stp>BX</stp>
        <stp>.TSLA160520P220</stp>
        <tr r="M39" s="1"/>
      </tp>
      <tp t="s">
        <v>C</v>
        <stp/>
        <stp>AX</stp>
        <stp>.TSLA160520C210</stp>
        <tr r="I37" s="1"/>
      </tp>
      <tp t="s">
        <v>C</v>
        <stp/>
        <stp>BX</stp>
        <stp>.TSLA160520C220</stp>
        <tr r="G39" s="1"/>
      </tp>
      <tp t="s">
        <v>X</v>
        <stp/>
        <stp>AX</stp>
        <stp>.TSLA160520P215</stp>
        <tr r="O38" s="1"/>
      </tp>
      <tp t="s">
        <v>C</v>
        <stp/>
        <stp>BX</stp>
        <stp>.TSLA160520P225</stp>
        <tr r="M40" s="1"/>
      </tp>
      <tp t="s">
        <v>C</v>
        <stp/>
        <stp>AX</stp>
        <stp>.TSLA160520C215</stp>
        <tr r="I38" s="1"/>
      </tp>
      <tp t="s">
        <v>N</v>
        <stp/>
        <stp>BX</stp>
        <stp>.TSLA160520C225</stp>
        <tr r="G40" s="1"/>
      </tp>
      <tp t="s">
        <v>C</v>
        <stp/>
        <stp>AX</stp>
        <stp>.TSLA160520P200</stp>
        <tr r="O35" s="1"/>
      </tp>
      <tp t="s">
        <v>C</v>
        <stp/>
        <stp>BX</stp>
        <stp>.TSLA160520P230</stp>
        <tr r="M41" s="1"/>
      </tp>
      <tp t="s">
        <v>I</v>
        <stp/>
        <stp>AX</stp>
        <stp>.TSLA160520C200</stp>
        <tr r="I35" s="1"/>
      </tp>
      <tp t="s">
        <v>C</v>
        <stp/>
        <stp>BX</stp>
        <stp>.TSLA160520C230</stp>
        <tr r="G41" s="1"/>
      </tp>
      <tp t="s">
        <v>X</v>
        <stp/>
        <stp>AX</stp>
        <stp>.TSLA160520P205</stp>
        <tr r="O36" s="1"/>
      </tp>
      <tp t="s">
        <v>X</v>
        <stp/>
        <stp>BX</stp>
        <stp>.TSLA160520P235</stp>
        <tr r="M42" s="1"/>
      </tp>
      <tp t="s">
        <v>C</v>
        <stp/>
        <stp>AX</stp>
        <stp>.TSLA160520C205</stp>
        <tr r="I36" s="1"/>
      </tp>
      <tp t="s">
        <v>C</v>
        <stp/>
        <stp>BX</stp>
        <stp>.TSLA160520C235</stp>
        <tr r="G42" s="1"/>
      </tp>
      <tp t="s">
        <v>X</v>
        <stp/>
        <stp>AX</stp>
        <stp>.TSLA160520P230</stp>
        <tr r="O41" s="1"/>
      </tp>
      <tp t="s">
        <v>C</v>
        <stp/>
        <stp>BX</stp>
        <stp>.TSLA160520P200</stp>
        <tr r="M35" s="1"/>
      </tp>
      <tp t="s">
        <v>C</v>
        <stp/>
        <stp>AX</stp>
        <stp>.TSLA160520C230</stp>
        <tr r="I41" s="1"/>
      </tp>
      <tp t="s">
        <v>H</v>
        <stp/>
        <stp>BX</stp>
        <stp>.TSLA160520C200</stp>
        <tr r="G35" s="1"/>
      </tp>
      <tp t="s">
        <v>X</v>
        <stp/>
        <stp>AX</stp>
        <stp>.TSLA160520P235</stp>
        <tr r="O42" s="1"/>
      </tp>
      <tp t="s">
        <v>C</v>
        <stp/>
        <stp>BX</stp>
        <stp>.TSLA160520P205</stp>
        <tr r="M36" s="1"/>
      </tp>
      <tp t="s">
        <v>C</v>
        <stp/>
        <stp>AX</stp>
        <stp>.TSLA160520C235</stp>
        <tr r="I42" s="1"/>
      </tp>
      <tp t="s">
        <v>T</v>
        <stp/>
        <stp>BX</stp>
        <stp>.TSLA160520C205</stp>
        <tr r="G36" s="1"/>
      </tp>
      <tp t="s">
        <v>C</v>
        <stp/>
        <stp>AX</stp>
        <stp>.TSLA160520P220</stp>
        <tr r="O39" s="1"/>
      </tp>
      <tp t="s">
        <v>C</v>
        <stp/>
        <stp>BX</stp>
        <stp>.TSLA160520P210</stp>
        <tr r="M37" s="1"/>
      </tp>
      <tp t="s">
        <v>C</v>
        <stp/>
        <stp>AX</stp>
        <stp>.TSLA160520C220</stp>
        <tr r="I39" s="1"/>
      </tp>
      <tp t="s">
        <v>C</v>
        <stp/>
        <stp>BX</stp>
        <stp>.TSLA160520C210</stp>
        <tr r="G37" s="1"/>
      </tp>
      <tp t="s">
        <v>X</v>
        <stp/>
        <stp>AX</stp>
        <stp>.TSLA160520P225</stp>
        <tr r="O40" s="1"/>
      </tp>
      <tp t="s">
        <v>C</v>
        <stp/>
        <stp>BX</stp>
        <stp>.TSLA160520P215</stp>
        <tr r="M38" s="1"/>
      </tp>
      <tp t="s">
        <v>C</v>
        <stp/>
        <stp>AX</stp>
        <stp>.TSLA160520C225</stp>
        <tr r="I40" s="1"/>
      </tp>
      <tp t="s">
        <v>C</v>
        <stp/>
        <stp>BX</stp>
        <stp>.TSLA160520C215</stp>
        <tr r="G38" s="1"/>
      </tp>
      <tp t="s">
        <v>X</v>
        <stp/>
        <stp>AX</stp>
        <stp>.TSLA160520P390</stp>
        <tr r="O73" s="1"/>
      </tp>
      <tp t="s">
        <v>C</v>
        <stp/>
        <stp>AX</stp>
        <stp>.TSLA160520C390</stp>
        <tr r="I73" s="1"/>
      </tp>
      <tp t="s">
        <v>X</v>
        <stp/>
        <stp>AX</stp>
        <stp>.TSLA160520P395</stp>
        <tr r="O74" s="1"/>
      </tp>
      <tp t="s">
        <v>C</v>
        <stp/>
        <stp>AX</stp>
        <stp>.TSLA160520C395</stp>
        <tr r="I74" s="1"/>
      </tp>
      <tp t="s">
        <v>M</v>
        <stp/>
        <stp>AX</stp>
        <stp>.TSLA160520P380</stp>
        <tr r="O71" s="1"/>
      </tp>
      <tp t="s">
        <v>C</v>
        <stp/>
        <stp>AX</stp>
        <stp>.TSLA160520C380</stp>
        <tr r="I71" s="1"/>
      </tp>
      <tp t="s">
        <v>H</v>
        <stp/>
        <stp>AX</stp>
        <stp>.TSLA160520P385</stp>
        <tr r="O72" s="1"/>
      </tp>
      <tp t="s">
        <v>C</v>
        <stp/>
        <stp>AX</stp>
        <stp>.TSLA160520C385</stp>
        <tr r="I72" s="1"/>
      </tp>
      <tp t="s">
        <v>H</v>
        <stp/>
        <stp>BX</stp>
        <stp>.TSLA160520P380</stp>
        <tr r="M71" s="1"/>
      </tp>
      <tp t="s">
        <v>A</v>
        <stp/>
        <stp>BX</stp>
        <stp>.TSLA160520C380</stp>
        <tr r="G71" s="1"/>
      </tp>
      <tp t="s">
        <v>I</v>
        <stp/>
        <stp>BX</stp>
        <stp>.TSLA160520P385</stp>
        <tr r="M72" s="1"/>
      </tp>
      <tp t="s">
        <v>A</v>
        <stp/>
        <stp>BX</stp>
        <stp>.TSLA160520C385</stp>
        <tr r="G72" s="1"/>
      </tp>
      <tp t="s">
        <v>I</v>
        <stp/>
        <stp>BX</stp>
        <stp>.TSLA160520P390</stp>
        <tr r="M73" s="1"/>
      </tp>
      <tp t="s">
        <v>J</v>
        <stp/>
        <stp>BX</stp>
        <stp>.TSLA160520C390</stp>
        <tr r="G73" s="1"/>
      </tp>
      <tp t="s">
        <v>X</v>
        <stp/>
        <stp>BX</stp>
        <stp>.TSLA160520P395</stp>
        <tr r="M74" s="1"/>
      </tp>
      <tp t="s">
        <v>J</v>
        <stp/>
        <stp>BX</stp>
        <stp>.TSLA160520C395</stp>
        <tr r="G74" s="1"/>
      </tp>
      <tp t="s">
        <v>I</v>
        <stp/>
        <stp>AX</stp>
        <stp>.TSLA160520P350</stp>
        <tr r="O65" s="1"/>
      </tp>
      <tp t="s">
        <v>X</v>
        <stp/>
        <stp>BX</stp>
        <stp>.TSLA160520P360</stp>
        <tr r="M67" s="1"/>
      </tp>
      <tp t="s">
        <v>C</v>
        <stp/>
        <stp>AX</stp>
        <stp>.TSLA160520C350</stp>
        <tr r="I65" s="1"/>
      </tp>
      <tp t="s">
        <v>A</v>
        <stp/>
        <stp>BX</stp>
        <stp>.TSLA160520C360</stp>
        <tr r="G67" s="1"/>
      </tp>
      <tp t="s">
        <v>H</v>
        <stp/>
        <stp>AX</stp>
        <stp>.TSLA160520P355</stp>
        <tr r="O66" s="1"/>
      </tp>
      <tp t="s">
        <v>H</v>
        <stp/>
        <stp>BX</stp>
        <stp>.TSLA160520P365</stp>
        <tr r="M68" s="1"/>
      </tp>
      <tp t="s">
        <v>C</v>
        <stp/>
        <stp>AX</stp>
        <stp>.TSLA160520C355</stp>
        <tr r="I66" s="1"/>
      </tp>
      <tp t="s">
        <v>A</v>
        <stp/>
        <stp>BX</stp>
        <stp>.TSLA160520C365</stp>
        <tr r="G68" s="1"/>
      </tp>
      <tp t="s">
        <v>H</v>
        <stp/>
        <stp>AX</stp>
        <stp>.TSLA160520P340</stp>
        <tr r="O63" s="1"/>
      </tp>
      <tp t="s">
        <v>H</v>
        <stp/>
        <stp>BX</stp>
        <stp>.TSLA160520P370</stp>
        <tr r="M69" s="1"/>
      </tp>
      <tp t="s">
        <v>C</v>
        <stp/>
        <stp>AX</stp>
        <stp>.TSLA160520C340</stp>
        <tr r="I63" s="1"/>
      </tp>
      <tp t="s">
        <v>X</v>
        <stp/>
        <stp>BX</stp>
        <stp>.TSLA160520C370</stp>
        <tr r="G69" s="1"/>
      </tp>
      <tp t="s">
        <v>M</v>
        <stp/>
        <stp>AX</stp>
        <stp>.TSLA160520P345</stp>
        <tr r="O64" s="1"/>
      </tp>
      <tp t="s">
        <v>T</v>
        <stp/>
        <stp>BX</stp>
        <stp>.TSLA160520P375</stp>
        <tr r="M70" s="1"/>
      </tp>
      <tp t="s">
        <v>C</v>
        <stp/>
        <stp>AX</stp>
        <stp>.TSLA160520C345</stp>
        <tr r="I64" s="1"/>
      </tp>
      <tp t="s">
        <v>X</v>
        <stp/>
        <stp>BX</stp>
        <stp>.TSLA160520C375</stp>
        <tr r="G70" s="1"/>
      </tp>
      <tp t="s">
        <v>H</v>
        <stp/>
        <stp>AX</stp>
        <stp>.TSLA160520P370</stp>
        <tr r="O69" s="1"/>
      </tp>
      <tp t="s">
        <v>M</v>
        <stp/>
        <stp>BX</stp>
        <stp>.TSLA160520P340</stp>
        <tr r="M63" s="1"/>
      </tp>
      <tp t="s">
        <v>A</v>
        <stp/>
        <stp>AX</stp>
        <stp>.TSLA160520C370</stp>
        <tr r="I69" s="1"/>
      </tp>
      <tp t="s">
        <v>A</v>
        <stp/>
        <stp>BX</stp>
        <stp>.TSLA160520C340</stp>
        <tr r="G63" s="1"/>
      </tp>
      <tp t="s">
        <v>H</v>
        <stp/>
        <stp>AX</stp>
        <stp>.TSLA160520P375</stp>
        <tr r="O70" s="1"/>
      </tp>
      <tp t="s">
        <v>E</v>
        <stp/>
        <stp>BX</stp>
        <stp>.TSLA160520P345</stp>
        <tr r="M64" s="1"/>
      </tp>
      <tp t="s">
        <v>C</v>
        <stp/>
        <stp>AX</stp>
        <stp>.TSLA160520C375</stp>
        <tr r="I70" s="1"/>
      </tp>
      <tp t="s">
        <v>X</v>
        <stp/>
        <stp>BX</stp>
        <stp>.TSLA160520C345</stp>
        <tr r="G64" s="1"/>
      </tp>
      <tp t="s">
        <v>H</v>
        <stp/>
        <stp>AX</stp>
        <stp>.TSLA160520P360</stp>
        <tr r="O67" s="1"/>
      </tp>
      <tp t="s">
        <v>I</v>
        <stp/>
        <stp>BX</stp>
        <stp>.TSLA160520P350</stp>
        <tr r="M65" s="1"/>
      </tp>
      <tp t="s">
        <v>C</v>
        <stp/>
        <stp>AX</stp>
        <stp>.TSLA160520C360</stp>
        <tr r="I67" s="1"/>
      </tp>
      <tp t="s">
        <v>X</v>
        <stp/>
        <stp>BX</stp>
        <stp>.TSLA160520C350</stp>
        <tr r="G65" s="1"/>
      </tp>
      <tp t="s">
        <v>H</v>
        <stp/>
        <stp>AX</stp>
        <stp>.TSLA160520P365</stp>
        <tr r="O68" s="1"/>
      </tp>
      <tp t="s">
        <v>H</v>
        <stp/>
        <stp>BX</stp>
        <stp>.TSLA160520P355</stp>
        <tr r="M66" s="1"/>
      </tp>
      <tp t="s">
        <v>N</v>
        <stp/>
        <stp>AX</stp>
        <stp>.TSLA160520C365</stp>
        <tr r="I68" s="1"/>
      </tp>
      <tp t="s">
        <v>A</v>
        <stp/>
        <stp>BX</stp>
        <stp>.TSLA160520C355</stp>
        <tr r="G66" s="1"/>
      </tp>
      <tp t="s">
        <v>N</v>
        <stp/>
        <stp>AX</stp>
        <stp>.TSLA160520P310</stp>
        <tr r="O57" s="1"/>
      </tp>
      <tp t="s">
        <v>C</v>
        <stp/>
        <stp>BX</stp>
        <stp>.TSLA160520P320</stp>
        <tr r="M59" s="1"/>
      </tp>
      <tp t="s">
        <v>Z</v>
        <stp/>
        <stp>AX</stp>
        <stp>.TSLA160520C310</stp>
        <tr r="I57" s="1"/>
      </tp>
      <tp t="s">
        <v>E</v>
        <stp/>
        <stp>BX</stp>
        <stp>.TSLA160520C320</stp>
        <tr r="G59" s="1"/>
      </tp>
      <tp t="s">
        <v>C</v>
        <stp/>
        <stp>AX</stp>
        <stp>.TSLA160520P315</stp>
        <tr r="O58" s="1"/>
      </tp>
      <tp t="s">
        <v>H</v>
        <stp/>
        <stp>BX</stp>
        <stp>.TSLA160520P325</stp>
        <tr r="M60" s="1"/>
      </tp>
      <tp t="s">
        <v>Z</v>
        <stp/>
        <stp>AX</stp>
        <stp>.TSLA160520C315</stp>
        <tr r="I58" s="1"/>
      </tp>
      <tp t="s">
        <v>E</v>
        <stp/>
        <stp>BX</stp>
        <stp>.TSLA160520C325</stp>
        <tr r="G60" s="1"/>
      </tp>
      <tp t="s">
        <v>N</v>
        <stp/>
        <stp>AX</stp>
        <stp>.TSLA160520P300</stp>
        <tr r="O55" s="1"/>
      </tp>
      <tp t="s">
        <v>I</v>
        <stp/>
        <stp>BX</stp>
        <stp>.TSLA160520P330</stp>
        <tr r="M61" s="1"/>
      </tp>
      <tp t="s">
        <v>X</v>
        <stp/>
        <stp>AX</stp>
        <stp>.TSLA160520C300</stp>
        <tr r="I55" s="1"/>
      </tp>
      <tp t="s">
        <v>C</v>
        <stp/>
        <stp>BX</stp>
        <stp>.TSLA160520C330</stp>
        <tr r="G61" s="1"/>
      </tp>
      <tp t="s">
        <v>I</v>
        <stp/>
        <stp>AX</stp>
        <stp>.TSLA160520P305</stp>
        <tr r="O56" s="1"/>
      </tp>
      <tp t="s">
        <v>M</v>
        <stp/>
        <stp>BX</stp>
        <stp>.TSLA160520P335</stp>
        <tr r="M62" s="1"/>
      </tp>
      <tp t="s">
        <v>C</v>
        <stp/>
        <stp>AX</stp>
        <stp>.TSLA160520C305</stp>
        <tr r="I56" s="1"/>
      </tp>
      <tp t="s">
        <v>X</v>
        <stp/>
        <stp>BX</stp>
        <stp>.TSLA160520C335</stp>
        <tr r="G62" s="1"/>
      </tp>
      <tp t="s">
        <v>M</v>
        <stp/>
        <stp>AX</stp>
        <stp>.TSLA160520P330</stp>
        <tr r="O61" s="1"/>
      </tp>
      <tp t="s">
        <v>C</v>
        <stp/>
        <stp>BX</stp>
        <stp>.TSLA160520P300</stp>
        <tr r="M55" s="1"/>
      </tp>
      <tp t="s">
        <v>N</v>
        <stp/>
        <stp>AX</stp>
        <stp>.TSLA160520C330</stp>
        <tr r="I61" s="1"/>
      </tp>
      <tp t="s">
        <v>E</v>
        <stp/>
        <stp>BX</stp>
        <stp>.TSLA160520C300</stp>
        <tr r="G55" s="1"/>
      </tp>
      <tp t="s">
        <v>I</v>
        <stp/>
        <stp>AX</stp>
        <stp>.TSLA160520P335</stp>
        <tr r="O62" s="1"/>
      </tp>
      <tp t="s">
        <v>X</v>
        <stp/>
        <stp>BX</stp>
        <stp>.TSLA160520P305</stp>
        <tr r="M56" s="1"/>
      </tp>
      <tp t="s">
        <v>C</v>
        <stp/>
        <stp>AX</stp>
        <stp>.TSLA160520C335</stp>
        <tr r="I62" s="1"/>
      </tp>
      <tp t="s">
        <v>Z</v>
        <stp/>
        <stp>BX</stp>
        <stp>.TSLA160520C305</stp>
        <tr r="G56" s="1"/>
      </tp>
      <tp t="s">
        <v>C</v>
        <stp/>
        <stp>AX</stp>
        <stp>.TSLA160520P320</stp>
        <tr r="O59" s="1"/>
      </tp>
      <tp t="s">
        <v>C</v>
        <stp/>
        <stp>BX</stp>
        <stp>.TSLA160520P310</stp>
        <tr r="M57" s="1"/>
      </tp>
      <tp t="s">
        <v>T</v>
        <stp/>
        <stp>AX</stp>
        <stp>.TSLA160520C320</stp>
        <tr r="I59" s="1"/>
      </tp>
      <tp t="s">
        <v>Z</v>
        <stp/>
        <stp>BX</stp>
        <stp>.TSLA160520C310</stp>
        <tr r="G57" s="1"/>
      </tp>
      <tp t="s">
        <v>H</v>
        <stp/>
        <stp>AX</stp>
        <stp>.TSLA160520P325</stp>
        <tr r="O60" s="1"/>
      </tp>
      <tp t="s">
        <v>C</v>
        <stp/>
        <stp>BX</stp>
        <stp>.TSLA160520P315</stp>
        <tr r="M58" s="1"/>
      </tp>
      <tp t="s">
        <v>Q</v>
        <stp/>
        <stp>AX</stp>
        <stp>.TSLA160520C325</stp>
        <tr r="I60" s="1"/>
      </tp>
      <tp t="s">
        <v>Q</v>
        <stp/>
        <stp>BX</stp>
        <stp>.TSLA160520C315</stp>
        <tr r="G58" s="1"/>
      </tp>
      <tp t="s">
        <v>A</v>
        <stp/>
        <stp>AX</stp>
        <stp>.TSLA160520P190</stp>
        <tr r="O33" s="1"/>
      </tp>
      <tp t="s">
        <v>M</v>
        <stp/>
        <stp>AX</stp>
        <stp>.TSLA160520C190</stp>
        <tr r="I33" s="1"/>
      </tp>
      <tp t="s">
        <v>T</v>
        <stp/>
        <stp>AX</stp>
        <stp>.TSLA160520P195</stp>
        <tr r="O34" s="1"/>
      </tp>
      <tp t="s">
        <v>X</v>
        <stp/>
        <stp>AX</stp>
        <stp>.TSLA160520C195</stp>
        <tr r="I34" s="1"/>
      </tp>
      <tp t="s">
        <v>X</v>
        <stp/>
        <stp>AX</stp>
        <stp>.TSLA160520P180</stp>
        <tr r="O31" s="1"/>
      </tp>
      <tp t="s">
        <v>H</v>
        <stp/>
        <stp>AX</stp>
        <stp>.TSLA160520C180</stp>
        <tr r="I31" s="1"/>
      </tp>
      <tp t="s">
        <v>X</v>
        <stp/>
        <stp>AX</stp>
        <stp>.TSLA160520P185</stp>
        <tr r="O32" s="1"/>
      </tp>
      <tp t="s">
        <v>Z</v>
        <stp/>
        <stp>AX</stp>
        <stp>.TSLA160520C185</stp>
        <tr r="I32" s="1"/>
      </tp>
      <tp t="s">
        <v>C</v>
        <stp/>
        <stp>BX</stp>
        <stp>.TSLA160520P180</stp>
        <tr r="M31" s="1"/>
      </tp>
      <tp t="s">
        <v>H</v>
        <stp/>
        <stp>BX</stp>
        <stp>.TSLA160520C180</stp>
        <tr r="G31" s="1"/>
      </tp>
      <tp t="s">
        <v>C</v>
        <stp/>
        <stp>BX</stp>
        <stp>.TSLA160520P185</stp>
        <tr r="M32" s="1"/>
      </tp>
      <tp t="s">
        <v>H</v>
        <stp/>
        <stp>BX</stp>
        <stp>.TSLA160520C185</stp>
        <tr r="G32" s="1"/>
      </tp>
      <tp t="s">
        <v>C</v>
        <stp/>
        <stp>BX</stp>
        <stp>.TSLA160520P190</stp>
        <tr r="M33" s="1"/>
      </tp>
      <tp t="s">
        <v>X</v>
        <stp/>
        <stp>BX</stp>
        <stp>.TSLA160520C190</stp>
        <tr r="G33" s="1"/>
      </tp>
      <tp t="s">
        <v>N</v>
        <stp/>
        <stp>BX</stp>
        <stp>.TSLA160520P195</stp>
        <tr r="M34" s="1"/>
      </tp>
      <tp t="s">
        <v>X</v>
        <stp/>
        <stp>BX</stp>
        <stp>.TSLA160520C195</stp>
        <tr r="G34" s="1"/>
      </tp>
      <tp t="s">
        <v>C</v>
        <stp/>
        <stp>AX</stp>
        <stp>.TSLA160520P150</stp>
        <tr r="O25" s="1"/>
      </tp>
      <tp t="s">
        <v>Z</v>
        <stp/>
        <stp>BX</stp>
        <stp>.TSLA160520P160</stp>
        <tr r="M27" s="1"/>
      </tp>
      <tp t="s">
        <v>X</v>
        <stp/>
        <stp>AX</stp>
        <stp>.TSLA160520C150</stp>
        <tr r="I25" s="1"/>
      </tp>
      <tp t="s">
        <v>I</v>
        <stp/>
        <stp>BX</stp>
        <stp>.TSLA160520C160</stp>
        <tr r="G27" s="1"/>
      </tp>
      <tp t="s">
        <v>X</v>
        <stp/>
        <stp>AX</stp>
        <stp>.TSLA160520P155</stp>
        <tr r="O26" s="1"/>
      </tp>
      <tp t="s">
        <v>Z</v>
        <stp/>
        <stp>BX</stp>
        <stp>.TSLA160520P165</stp>
        <tr r="M28" s="1"/>
      </tp>
      <tp t="s">
        <v>H</v>
        <stp/>
        <stp>AX</stp>
        <stp>.TSLA160520C155</stp>
        <tr r="I26" s="1"/>
      </tp>
      <tp t="s">
        <v>A</v>
        <stp/>
        <stp>BX</stp>
        <stp>.TSLA160520C165</stp>
        <tr r="G28" s="1"/>
      </tp>
      <tp t="s">
        <v>X</v>
        <stp/>
        <stp>AX</stp>
        <stp>.TSLA160520P140</stp>
        <tr r="O23" s="1"/>
      </tp>
      <tp t="s">
        <v>Z</v>
        <stp/>
        <stp>BX</stp>
        <stp>.TSLA160520P170</stp>
        <tr r="M29" s="1"/>
      </tp>
      <tp t="s">
        <v>I</v>
        <stp/>
        <stp>AX</stp>
        <stp>.TSLA160520C140</stp>
        <tr r="I23" s="1"/>
      </tp>
      <tp t="s">
        <v>M</v>
        <stp/>
        <stp>BX</stp>
        <stp>.TSLA160520C170</stp>
        <tr r="G29" s="1"/>
      </tp>
      <tp t="s">
        <v>X</v>
        <stp/>
        <stp>AX</stp>
        <stp>.TSLA160520P145</stp>
        <tr r="O24" s="1"/>
      </tp>
      <tp t="s">
        <v>Q</v>
        <stp/>
        <stp>BX</stp>
        <stp>.TSLA160520P175</stp>
        <tr r="M30" s="1"/>
      </tp>
      <tp t="s">
        <v>X</v>
        <stp/>
        <stp>AX</stp>
        <stp>.TSLA160520C145</stp>
        <tr r="I24" s="1"/>
      </tp>
      <tp t="s">
        <v>M</v>
        <stp/>
        <stp>BX</stp>
        <stp>.TSLA160520C175</stp>
        <tr r="G30" s="1"/>
      </tp>
      <tp t="s">
        <v>C</v>
        <stp/>
        <stp>AX</stp>
        <stp>.TSLA160520P170</stp>
        <tr r="O29" s="1"/>
      </tp>
      <tp t="s">
        <v>N</v>
        <stp/>
        <stp>BX</stp>
        <stp>.TSLA160520P140</stp>
        <tr r="M23" s="1"/>
      </tp>
      <tp t="s">
        <v>I</v>
        <stp/>
        <stp>AX</stp>
        <stp>.TSLA160520C170</stp>
        <tr r="I29" s="1"/>
      </tp>
      <tp t="s">
        <v>X</v>
        <stp/>
        <stp>BX</stp>
        <stp>.TSLA160520C140</stp>
        <tr r="G23" s="1"/>
      </tp>
      <tp t="s">
        <v>X</v>
        <stp/>
        <stp>AX</stp>
        <stp>.TSLA160520P175</stp>
        <tr r="O30" s="1"/>
      </tp>
      <tp t="s">
        <v>C</v>
        <stp/>
        <stp>BX</stp>
        <stp>.TSLA160520P145</stp>
        <tr r="M24" s="1"/>
      </tp>
      <tp t="s">
        <v>M</v>
        <stp/>
        <stp>AX</stp>
        <stp>.TSLA160520C175</stp>
        <tr r="I30" s="1"/>
      </tp>
      <tp t="s">
        <v>X</v>
        <stp/>
        <stp>BX</stp>
        <stp>.TSLA160520C145</stp>
        <tr r="G24" s="1"/>
      </tp>
      <tp t="s">
        <v>C</v>
        <stp/>
        <stp>AX</stp>
        <stp>.TSLA160520P160</stp>
        <tr r="O27" s="1"/>
      </tp>
      <tp t="s">
        <v>C</v>
        <stp/>
        <stp>BX</stp>
        <stp>.TSLA160520P150</stp>
        <tr r="M25" s="1"/>
      </tp>
      <tp t="s">
        <v>I</v>
        <stp/>
        <stp>AX</stp>
        <stp>.TSLA160520C160</stp>
        <tr r="I27" s="1"/>
      </tp>
      <tp t="s">
        <v>I</v>
        <stp/>
        <stp>BX</stp>
        <stp>.TSLA160520C150</stp>
        <tr r="G25" s="1"/>
      </tp>
      <tp t="s">
        <v>C</v>
        <stp/>
        <stp>AX</stp>
        <stp>.TSLA160520P165</stp>
        <tr r="O28" s="1"/>
      </tp>
      <tp t="s">
        <v>C</v>
        <stp/>
        <stp>BX</stp>
        <stp>.TSLA160520P155</stp>
        <tr r="M26" s="1"/>
      </tp>
      <tp t="s">
        <v>I</v>
        <stp/>
        <stp>AX</stp>
        <stp>.TSLA160520C165</stp>
        <tr r="I28" s="1"/>
      </tp>
      <tp t="s">
        <v>I</v>
        <stp/>
        <stp>BX</stp>
        <stp>.TSLA160520C155</stp>
        <tr r="G26" s="1"/>
      </tp>
      <tp t="s">
        <v>A</v>
        <stp/>
        <stp>AX</stp>
        <stp>.TSLA160520P110</stp>
        <tr r="O17" s="1"/>
      </tp>
      <tp t="s">
        <v>C</v>
        <stp/>
        <stp>BX</stp>
        <stp>.TSLA160520P120</stp>
        <tr r="M19" s="1"/>
      </tp>
      <tp t="s">
        <v>X</v>
        <stp/>
        <stp>AX</stp>
        <stp>.TSLA160520C110</stp>
        <tr r="I17" s="1"/>
      </tp>
      <tp t="s">
        <v>X</v>
        <stp/>
        <stp>BX</stp>
        <stp>.TSLA160520C120</stp>
        <tr r="G19" s="1"/>
      </tp>
      <tp t="s">
        <v>A</v>
        <stp/>
        <stp>AX</stp>
        <stp>.TSLA160520P115</stp>
        <tr r="O18" s="1"/>
      </tp>
      <tp t="s">
        <v>W</v>
        <stp/>
        <stp>BX</stp>
        <stp>.TSLA160520P125</stp>
        <tr r="M20" s="1"/>
      </tp>
      <tp t="s">
        <v>X</v>
        <stp/>
        <stp>AX</stp>
        <stp>.TSLA160520C115</stp>
        <tr r="I18" s="1"/>
      </tp>
      <tp t="s">
        <v>I</v>
        <stp/>
        <stp>BX</stp>
        <stp>.TSLA160520C125</stp>
        <tr r="G20" s="1"/>
      </tp>
      <tp t="s">
        <v>Z</v>
        <stp/>
        <stp>AX</stp>
        <stp>.TSLA160520P100</stp>
        <tr r="O15" s="1"/>
      </tp>
      <tp t="s">
        <v>Z</v>
        <stp/>
        <stp>BX</stp>
        <stp>.TSLA160520P130</stp>
        <tr r="M21" s="1"/>
      </tp>
      <tp t="s">
        <v>X</v>
        <stp/>
        <stp>AX</stp>
        <stp>.TSLA160520C100</stp>
        <tr r="I15" s="1"/>
      </tp>
      <tp t="s">
        <v>M</v>
        <stp/>
        <stp>BX</stp>
        <stp>.TSLA160520C130</stp>
        <tr r="G21" s="1"/>
      </tp>
      <tp t="s">
        <v>T</v>
        <stp/>
        <stp>AX</stp>
        <stp>.TSLA160520P105</stp>
        <tr r="O16" s="1"/>
      </tp>
      <tp t="s">
        <v>W</v>
        <stp/>
        <stp>BX</stp>
        <stp>.TSLA160520P135</stp>
        <tr r="M22" s="1"/>
      </tp>
      <tp t="s">
        <v>X</v>
        <stp/>
        <stp>AX</stp>
        <stp>.TSLA160520C105</stp>
        <tr r="I16" s="1"/>
      </tp>
      <tp t="s">
        <v>X</v>
        <stp/>
        <stp>BX</stp>
        <stp>.TSLA160520C135</stp>
        <tr r="G22" s="1"/>
      </tp>
      <tp t="s">
        <v>X</v>
        <stp/>
        <stp>AX</stp>
        <stp>.TSLA160520P130</stp>
        <tr r="O21" s="1"/>
      </tp>
      <tp t="s">
        <v>Z</v>
        <stp/>
        <stp>BX</stp>
        <stp>.TSLA160520P100</stp>
        <tr r="M15" s="1"/>
      </tp>
      <tp t="s">
        <v>M</v>
        <stp/>
        <stp>AX</stp>
        <stp>.TSLA160520C130</stp>
        <tr r="I21" s="1"/>
      </tp>
      <tp t="s">
        <v>H</v>
        <stp/>
        <stp>BX</stp>
        <stp>.TSLA160520C100</stp>
        <tr r="G15" s="1"/>
      </tp>
      <tp t="s">
        <v>X</v>
        <stp/>
        <stp>AX</stp>
        <stp>.TSLA160520P135</stp>
        <tr r="O22" s="1"/>
      </tp>
      <tp t="s">
        <v>W</v>
        <stp/>
        <stp>BX</stp>
        <stp>.TSLA160520P105</stp>
        <tr r="M16" s="1"/>
      </tp>
      <tp t="s">
        <v>M</v>
        <stp/>
        <stp>AX</stp>
        <stp>.TSLA160520C135</stp>
        <tr r="I22" s="1"/>
      </tp>
      <tp t="s">
        <v>H</v>
        <stp/>
        <stp>BX</stp>
        <stp>.TSLA160520C105</stp>
        <tr r="G16" s="1"/>
      </tp>
      <tp t="s">
        <v>Q</v>
        <stp/>
        <stp>AX</stp>
        <stp>.TSLA160520P120</stp>
        <tr r="O19" s="1"/>
      </tp>
      <tp t="s">
        <v>Q</v>
        <stp/>
        <stp>BX</stp>
        <stp>.TSLA160520P110</stp>
        <tr r="M17" s="1"/>
      </tp>
      <tp t="s">
        <v>X</v>
        <stp/>
        <stp>AX</stp>
        <stp>.TSLA160520C120</stp>
        <tr r="I19" s="1"/>
      </tp>
      <tp t="s">
        <v>I</v>
        <stp/>
        <stp>BX</stp>
        <stp>.TSLA160520C110</stp>
        <tr r="G17" s="1"/>
      </tp>
      <tp t="s">
        <v>A</v>
        <stp/>
        <stp>AX</stp>
        <stp>.TSLA160520P125</stp>
        <tr r="O20" s="1"/>
      </tp>
      <tp t="s">
        <v>W</v>
        <stp/>
        <stp>BX</stp>
        <stp>.TSLA160520P115</stp>
        <tr r="M18" s="1"/>
      </tp>
      <tp t="s">
        <v>X</v>
        <stp/>
        <stp>AX</stp>
        <stp>.TSLA160520C125</stp>
        <tr r="I20" s="1"/>
      </tp>
      <tp t="s">
        <v>I</v>
        <stp/>
        <stp>BX</stp>
        <stp>.TSLA160520C115</stp>
        <tr r="G18" s="1"/>
      </tp>
      <tp>
        <v>92.5</v>
        <stp/>
        <stp>STRIKE</stp>
        <stp>.AAPL170616C92.5</stp>
        <tr r="K150" s="2"/>
      </tp>
      <tp>
        <v>92.5</v>
        <stp/>
        <stp>STRIKE</stp>
        <stp>.AAPL160715C92.5</stp>
        <tr r="K64" s="2"/>
      </tp>
      <tp t="s">
        <v>2016-07-16</v>
        <stp/>
        <stp>EXPIRATION_DAY</stp>
        <stp>.AAPL160715C92.5</stp>
        <tr r="J64" s="2"/>
      </tp>
      <tp t="s">
        <v>2017-06-17</v>
        <stp/>
        <stp>EXPIRATION_DAY</stp>
        <stp>.AAPL170616C92.5</stp>
        <tr r="J150" s="2"/>
      </tp>
      <tp t="s">
        <v>2016-05-21</v>
        <stp/>
        <stp>EXPIRATION_DAY</stp>
        <stp>.AAPL160520C92.5</stp>
        <tr r="J25" s="2"/>
      </tp>
      <tp t="s">
        <v>2016-10-22</v>
        <stp/>
        <stp>EXPIRATION_DAY</stp>
        <stp>.AAPL161021C92.5</stp>
        <tr r="J96" s="2"/>
      </tp>
      <tp>
        <v>92.5</v>
        <stp/>
        <stp>STRIKE</stp>
        <stp>.AAPL161021C92.5</stp>
        <tr r="K96" s="2"/>
      </tp>
      <tp>
        <v>92.5</v>
        <stp/>
        <stp>STRIKE</stp>
        <stp>.AAPL160520C92.5</stp>
        <tr r="K25" s="2"/>
      </tp>
      <tp t="s">
        <v>2017-01-21</v>
        <stp/>
        <stp>EXPIRATION_DAY</stp>
        <stp>.AAPL7170120C135</stp>
        <tr r="J136" s="2"/>
      </tp>
      <tp t="s">
        <v>2017-01-21</v>
        <stp/>
        <stp>EXPIRATION_DAY</stp>
        <stp>.AAPL7170120C130</stp>
        <tr r="J135" s="2"/>
      </tp>
      <tp t="s">
        <v>2017-01-21</v>
        <stp/>
        <stp>EXPIRATION_DAY</stp>
        <stp>.AAPL7170120C125</stp>
        <tr r="J134" s="2"/>
      </tp>
      <tp t="s">
        <v>2017-01-21</v>
        <stp/>
        <stp>EXPIRATION_DAY</stp>
        <stp>.AAPL7170120C120</stp>
        <tr r="J133" s="2"/>
      </tp>
      <tp t="s">
        <v>2017-01-21</v>
        <stp/>
        <stp>EXPIRATION_DAY</stp>
        <stp>.AAPL7170120C115</stp>
        <tr r="J132" s="2"/>
      </tp>
      <tp t="s">
        <v>2017-01-21</v>
        <stp/>
        <stp>EXPIRATION_DAY</stp>
        <stp>.AAPL7170120C110</stp>
        <tr r="J131" s="2"/>
      </tp>
      <tp t="s">
        <v>2017-01-21</v>
        <stp/>
        <stp>EXPIRATION_DAY</stp>
        <stp>.AAPL7170120C105</stp>
        <tr r="J130" s="2"/>
      </tp>
      <tp t="s">
        <v>2017-01-21</v>
        <stp/>
        <stp>EXPIRATION_DAY</stp>
        <stp>.AAPL7170120C100</stp>
        <tr r="J129" s="2"/>
      </tp>
      <tp t="s">
        <v>2016-07-16</v>
        <stp/>
        <stp>EXPIRATION_DAY</stp>
        <stp>.AAPL160715C97.5</stp>
        <tr r="J66" s="2"/>
      </tp>
      <tp t="s">
        <v>2016-07-16</v>
        <stp/>
        <stp>EXPIRATION_DAY</stp>
        <stp>.AAPL160715C87.5</stp>
        <tr r="J62" s="2"/>
      </tp>
      <tp t="s">
        <v>2017-06-17</v>
        <stp/>
        <stp>EXPIRATION_DAY</stp>
        <stp>.AAPL170616C87.5</stp>
        <tr r="J148" s="2"/>
      </tp>
      <tp t="s">
        <v>2017-06-17</v>
        <stp/>
        <stp>EXPIRATION_DAY</stp>
        <stp>.AAPL170616C97.5</stp>
        <tr r="J152" s="2"/>
      </tp>
      <tp t="s">
        <v>2017-06-17</v>
        <stp/>
        <stp>EXPIRATION_DAY</stp>
        <stp>.AAPL170616C47.5</stp>
        <tr r="J139" s="2"/>
      </tp>
      <tp>
        <v>97.5</v>
        <stp/>
        <stp>STRIKE</stp>
        <stp>.AAPL170616C97.5</stp>
        <tr r="K152" s="2"/>
      </tp>
      <tp>
        <v>87.5</v>
        <stp/>
        <stp>STRIKE</stp>
        <stp>.AAPL170616C87.5</stp>
        <tr r="K148" s="2"/>
      </tp>
      <tp>
        <v>47.5</v>
        <stp/>
        <stp>STRIKE</stp>
        <stp>.AAPL170616C47.5</stp>
        <tr r="K139" s="2"/>
      </tp>
      <tp>
        <v>87.5</v>
        <stp/>
        <stp>STRIKE</stp>
        <stp>.AAPL160715C87.5</stp>
        <tr r="K62" s="2"/>
      </tp>
      <tp>
        <v>97.5</v>
        <stp/>
        <stp>STRIKE</stp>
        <stp>.AAPL160715C97.5</stp>
        <tr r="K66" s="2"/>
      </tp>
      <tp>
        <v>105</v>
        <stp/>
        <stp>STRIKE</stp>
        <stp>.AAPL7170120C105</stp>
        <tr r="K130" s="2"/>
      </tp>
      <tp>
        <v>100</v>
        <stp/>
        <stp>STRIKE</stp>
        <stp>.AAPL7170120C100</stp>
        <tr r="K129" s="2"/>
      </tp>
      <tp>
        <v>115</v>
        <stp/>
        <stp>STRIKE</stp>
        <stp>.AAPL7170120C115</stp>
        <tr r="K132" s="2"/>
      </tp>
      <tp>
        <v>110</v>
        <stp/>
        <stp>STRIKE</stp>
        <stp>.AAPL7170120C110</stp>
        <tr r="K131" s="2"/>
      </tp>
      <tp>
        <v>125</v>
        <stp/>
        <stp>STRIKE</stp>
        <stp>.AAPL7170120C125</stp>
        <tr r="K134" s="2"/>
      </tp>
      <tp>
        <v>120</v>
        <stp/>
        <stp>STRIKE</stp>
        <stp>.AAPL7170120C120</stp>
        <tr r="K133" s="2"/>
      </tp>
      <tp>
        <v>135</v>
        <stp/>
        <stp>STRIKE</stp>
        <stp>.AAPL7170120C135</stp>
        <tr r="K136" s="2"/>
      </tp>
      <tp>
        <v>130</v>
        <stp/>
        <stp>STRIKE</stp>
        <stp>.AAPL7170120C130</stp>
        <tr r="K135" s="2"/>
      </tp>
      <tp>
        <v>97.5</v>
        <stp/>
        <stp>STRIKE</stp>
        <stp>.AAPL161021C97.5</stp>
        <tr r="K98" s="2"/>
      </tp>
      <tp>
        <v>87.5</v>
        <stp/>
        <stp>STRIKE</stp>
        <stp>.AAPL161021C87.5</stp>
        <tr r="K94" s="2"/>
      </tp>
      <tp>
        <v>87.5</v>
        <stp/>
        <stp>STRIKE</stp>
        <stp>.AAPL160520C87.5</stp>
        <tr r="K23" s="2"/>
      </tp>
      <tp>
        <v>97.5</v>
        <stp/>
        <stp>STRIKE</stp>
        <stp>.AAPL160520C97.5</stp>
        <tr r="K27" s="2"/>
      </tp>
      <tp t="s">
        <v>2016-05-21</v>
        <stp/>
        <stp>EXPIRATION_DAY</stp>
        <stp>.AAPL160520C97.5</stp>
        <tr r="J27" s="2"/>
      </tp>
      <tp t="s">
        <v>2016-05-21</v>
        <stp/>
        <stp>EXPIRATION_DAY</stp>
        <stp>.AAPL160520C87.5</stp>
        <tr r="J23" s="2"/>
      </tp>
      <tp t="s">
        <v>2016-10-22</v>
        <stp/>
        <stp>EXPIRATION_DAY</stp>
        <stp>.AAPL161021C87.5</stp>
        <tr r="J94" s="2"/>
      </tp>
      <tp t="s">
        <v>2016-10-22</v>
        <stp/>
        <stp>EXPIRATION_DAY</stp>
        <stp>.AAPL161021C97.5</stp>
        <tr r="J98" s="2"/>
      </tp>
      <tp>
        <v>-0.23</v>
        <stp/>
        <stp>NET_CHANGE</stp>
        <stp>.AAPL170616P105</stp>
        <tr r="R154" s="2"/>
      </tp>
      <tp>
        <v>1.1299999999999999</v>
        <stp/>
        <stp>NET_CHANGE</stp>
        <stp>.AAPL170616C105</stp>
        <tr r="E154" s="2"/>
      </tp>
      <tp>
        <v>-0.74</v>
        <stp/>
        <stp>NET_CHANGE</stp>
        <stp>.AAPL170616P100</stp>
        <tr r="R153" s="2"/>
      </tp>
      <tp>
        <v>0.8</v>
        <stp/>
        <stp>NET_CHANGE</stp>
        <stp>.AAPL170616C100</stp>
        <tr r="E153" s="2"/>
      </tp>
      <tp>
        <v>-0.7</v>
        <stp/>
        <stp>NET_CHANGE</stp>
        <stp>.AAPL170616P115</stp>
        <tr r="R156" s="2"/>
      </tp>
      <tp>
        <v>0.67</v>
        <stp/>
        <stp>NET_CHANGE</stp>
        <stp>.AAPL170616C115</stp>
        <tr r="E156" s="2"/>
      </tp>
      <tp>
        <v>-0.9</v>
        <stp/>
        <stp>NET_CHANGE</stp>
        <stp>.AAPL170616P110</stp>
        <tr r="R155" s="2"/>
      </tp>
      <tp>
        <v>0.93</v>
        <stp/>
        <stp>NET_CHANGE</stp>
        <stp>.AAPL170616C110</stp>
        <tr r="E155" s="2"/>
      </tp>
      <tp>
        <v>0</v>
        <stp/>
        <stp>NET_CHANGE</stp>
        <stp>.AAPL160520P210</stp>
        <tr r="R49" s="2"/>
      </tp>
      <tp>
        <v>0</v>
        <stp/>
        <stp>NET_CHANGE</stp>
        <stp>.AAPL160520C210</stp>
        <tr r="E49" s="2"/>
      </tp>
      <tp>
        <v>-1.44</v>
        <stp/>
        <stp>NET_CHANGE</stp>
        <stp>.AAPL170616P125</stp>
        <tr r="R158" s="2"/>
      </tp>
      <tp>
        <v>0.7</v>
        <stp/>
        <stp>NET_CHANGE</stp>
        <stp>.AAPL170616C125</stp>
        <tr r="E158" s="2"/>
      </tp>
      <tp>
        <v>0</v>
        <stp/>
        <stp>NET_CHANGE</stp>
        <stp>.AAPL170616P120</stp>
        <tr r="R157" s="2"/>
      </tp>
      <tp>
        <v>1.3</v>
        <stp/>
        <stp>NET_CHANGE</stp>
        <stp>.AAPL170616C120</stp>
        <tr r="E157" s="2"/>
      </tp>
      <tp>
        <v>0</v>
        <stp/>
        <stp>NET_CHANGE</stp>
        <stp>.AAPL160520P200</stp>
        <tr r="R48" s="2"/>
      </tp>
      <tp>
        <v>0</v>
        <stp/>
        <stp>NET_CHANGE</stp>
        <stp>.AAPL160520C200</stp>
        <tr r="E48" s="2"/>
      </tp>
      <tp>
        <v>0</v>
        <stp/>
        <stp>NET_CHANGE</stp>
        <stp>.AAPL170616P135</stp>
        <tr r="R160" s="2"/>
      </tp>
      <tp>
        <v>0.4</v>
        <stp/>
        <stp>NET_CHANGE</stp>
        <stp>.AAPL170616C135</stp>
        <tr r="E160" s="2"/>
      </tp>
      <tp>
        <v>-1.8</v>
        <stp/>
        <stp>NET_CHANGE</stp>
        <stp>.AAPL170616P130</stp>
        <tr r="R159" s="2"/>
      </tp>
      <tp>
        <v>0.4</v>
        <stp/>
        <stp>NET_CHANGE</stp>
        <stp>.AAPL170616C130</stp>
        <tr r="E159" s="2"/>
      </tp>
      <tp>
        <v>0</v>
        <stp/>
        <stp>NET_CHANGE</stp>
        <stp>.AAPL170616P145</stp>
        <tr r="R162" s="2"/>
      </tp>
      <tp>
        <v>0</v>
        <stp/>
        <stp>NET_CHANGE</stp>
        <stp>.AAPL170616C145</stp>
        <tr r="E162" s="2"/>
      </tp>
      <tp>
        <v>0</v>
        <stp/>
        <stp>NET_CHANGE</stp>
        <stp>.AAPL170616P140</stp>
        <tr r="R161" s="2"/>
      </tp>
      <tp>
        <v>0.49</v>
        <stp/>
        <stp>NET_CHANGE</stp>
        <stp>.AAPL170616C140</stp>
        <tr r="E161" s="2"/>
      </tp>
      <tp>
        <v>0</v>
        <stp/>
        <stp>NET_CHANGE</stp>
        <stp>.AAPL170616P155</stp>
        <tr r="R164" s="2"/>
      </tp>
      <tp>
        <v>0</v>
        <stp/>
        <stp>NET_CHANGE</stp>
        <stp>.AAPL170616C155</stp>
        <tr r="E164" s="2"/>
      </tp>
      <tp>
        <v>0</v>
        <stp/>
        <stp>NET_CHANGE</stp>
        <stp>.AAPL170616P150</stp>
        <tr r="R163" s="2"/>
      </tp>
      <tp>
        <v>0.23</v>
        <stp/>
        <stp>NET_CHANGE</stp>
        <stp>.AAPL170616C150</stp>
        <tr r="E163" s="2"/>
      </tp>
      <tp>
        <v>0</v>
        <stp/>
        <stp>NET_CHANGE</stp>
        <stp>.AAPL170616P165</stp>
        <tr r="R166" s="2"/>
      </tp>
      <tp>
        <v>0</v>
        <stp/>
        <stp>NET_CHANGE</stp>
        <stp>.AAPL170616C165</stp>
        <tr r="E166" s="2"/>
      </tp>
      <tp>
        <v>0</v>
        <stp/>
        <stp>NET_CHANGE</stp>
        <stp>.AAPL170616P160</stp>
        <tr r="R165" s="2"/>
      </tp>
      <tp>
        <v>0</v>
        <stp/>
        <stp>NET_CHANGE</stp>
        <stp>.AAPL170616C160</stp>
        <tr r="E165" s="2"/>
      </tp>
      <tp>
        <v>-0.56000000000000005</v>
        <stp/>
        <stp>NET_CHANGE</stp>
        <stp>.AAPL160715P105</stp>
        <tr r="R68" s="2"/>
      </tp>
      <tp>
        <v>1.1000000000000001</v>
        <stp/>
        <stp>NET_CHANGE</stp>
        <stp>.AAPL160715C105</stp>
        <tr r="E68" s="2"/>
      </tp>
      <tp>
        <v>-0.35</v>
        <stp/>
        <stp>NET_CHANGE</stp>
        <stp>.AAPL160715P100</stp>
        <tr r="R67" s="2"/>
      </tp>
      <tp>
        <v>1.4</v>
        <stp/>
        <stp>NET_CHANGE</stp>
        <stp>.AAPL160715C100</stp>
        <tr r="E67" s="2"/>
      </tp>
      <tp>
        <v>-1.23</v>
        <stp/>
        <stp>NET_CHANGE</stp>
        <stp>.AAPL160715P115</stp>
        <tr r="R70" s="2"/>
      </tp>
      <tp>
        <v>0.65</v>
        <stp/>
        <stp>NET_CHANGE</stp>
        <stp>.AAPL160715C115</stp>
        <tr r="E70" s="2"/>
      </tp>
      <tp>
        <v>-0.94</v>
        <stp/>
        <stp>NET_CHANGE</stp>
        <stp>.AAPL160715P110</stp>
        <tr r="R69" s="2"/>
      </tp>
      <tp>
        <v>0.89</v>
        <stp/>
        <stp>NET_CHANGE</stp>
        <stp>.AAPL160715C110</stp>
        <tr r="E69" s="2"/>
      </tp>
      <tp>
        <v>-1.38</v>
        <stp/>
        <stp>NET_CHANGE</stp>
        <stp>.AAPL160715P125</stp>
        <tr r="R72" s="2"/>
      </tp>
      <tp>
        <v>0.25</v>
        <stp/>
        <stp>NET_CHANGE</stp>
        <stp>.AAPL160715C125</stp>
        <tr r="E72" s="2"/>
      </tp>
      <tp>
        <v>-0.99</v>
        <stp/>
        <stp>NET_CHANGE</stp>
        <stp>.AAPL160715P120</stp>
        <tr r="R71" s="2"/>
      </tp>
      <tp>
        <v>0.44</v>
        <stp/>
        <stp>NET_CHANGE</stp>
        <stp>.AAPL160715C120</stp>
        <tr r="E71" s="2"/>
      </tp>
      <tp>
        <v>-1.67</v>
        <stp/>
        <stp>NET_CHANGE</stp>
        <stp>.AAPL160715P135</stp>
        <tr r="R74" s="2"/>
      </tp>
      <tp>
        <v>0.06</v>
        <stp/>
        <stp>NET_CHANGE</stp>
        <stp>.AAPL160715C135</stp>
        <tr r="E74" s="2"/>
      </tp>
      <tp>
        <v>-1.54</v>
        <stp/>
        <stp>NET_CHANGE</stp>
        <stp>.AAPL160715P130</stp>
        <tr r="R73" s="2"/>
      </tp>
      <tp>
        <v>0.15</v>
        <stp/>
        <stp>NET_CHANGE</stp>
        <stp>.AAPL160715C130</stp>
        <tr r="E73" s="2"/>
      </tp>
      <tp>
        <v>0</v>
        <stp/>
        <stp>NET_CHANGE</stp>
        <stp>.AAPL160715P145</stp>
        <tr r="R76" s="2"/>
      </tp>
      <tp>
        <v>0.03</v>
        <stp/>
        <stp>NET_CHANGE</stp>
        <stp>.AAPL160715C145</stp>
        <tr r="E76" s="2"/>
      </tp>
      <tp>
        <v>-1.33</v>
        <stp/>
        <stp>NET_CHANGE</stp>
        <stp>.AAPL160715P140</stp>
        <tr r="R75" s="2"/>
      </tp>
      <tp>
        <v>0.05</v>
        <stp/>
        <stp>NET_CHANGE</stp>
        <stp>.AAPL160715C140</stp>
        <tr r="E75" s="2"/>
      </tp>
      <tp>
        <v>0</v>
        <stp/>
        <stp>NET_CHANGE</stp>
        <stp>.AAPL160715P155</stp>
        <tr r="R78" s="2"/>
      </tp>
      <tp>
        <v>0.01</v>
        <stp/>
        <stp>NET_CHANGE</stp>
        <stp>.AAPL160715C155</stp>
        <tr r="E78" s="2"/>
      </tp>
      <tp>
        <v>0</v>
        <stp/>
        <stp>NET_CHANGE</stp>
        <stp>.AAPL160715P150</stp>
        <tr r="R77" s="2"/>
      </tp>
      <tp>
        <v>0.03</v>
        <stp/>
        <stp>NET_CHANGE</stp>
        <stp>.AAPL160715C150</stp>
        <tr r="E77" s="2"/>
      </tp>
      <tp>
        <v>0</v>
        <stp/>
        <stp>NET_CHANGE</stp>
        <stp>.AAPL160715P165</stp>
        <tr r="R80" s="2"/>
      </tp>
      <tp>
        <v>0</v>
        <stp/>
        <stp>NET_CHANGE</stp>
        <stp>.AAPL160715C165</stp>
        <tr r="E80" s="2"/>
      </tp>
      <tp>
        <v>0</v>
        <stp/>
        <stp>NET_CHANGE</stp>
        <stp>.AAPL160715P160</stp>
        <tr r="R79" s="2"/>
      </tp>
      <tp>
        <v>0</v>
        <stp/>
        <stp>NET_CHANGE</stp>
        <stp>.AAPL160715C160</stp>
        <tr r="E79" s="2"/>
      </tp>
      <tp>
        <v>0</v>
        <stp/>
        <stp>NET_CHANGE</stp>
        <stp>.AAPL160715P175</stp>
        <tr r="R82" s="2"/>
      </tp>
      <tp>
        <v>0</v>
        <stp/>
        <stp>NET_CHANGE</stp>
        <stp>.AAPL160715C175</stp>
        <tr r="E82" s="2"/>
      </tp>
      <tp>
        <v>0</v>
        <stp/>
        <stp>NET_CHANGE</stp>
        <stp>.AAPL160715P170</stp>
        <tr r="R81" s="2"/>
      </tp>
      <tp>
        <v>0</v>
        <stp/>
        <stp>NET_CHANGE</stp>
        <stp>.AAPL160715C170</stp>
        <tr r="E81" s="2"/>
      </tp>
      <tp>
        <v>0</v>
        <stp/>
        <stp>NET_CHANGE</stp>
        <stp>.AAPL160715P180</stp>
        <tr r="R83" s="2"/>
      </tp>
      <tp>
        <v>0</v>
        <stp/>
        <stp>NET_CHANGE</stp>
        <stp>.AAPL160715C180</stp>
        <tr r="E83" s="2"/>
      </tp>
      <tp>
        <v>44.47</v>
        <stp/>
        <stp>LAST</stp>
        <stp>.AAPL160520C50</stp>
        <tr r="C15" s="2"/>
      </tp>
      <tp>
        <v>42</v>
        <stp/>
        <stp>LAST</stp>
        <stp>.AAPL160715C70</stp>
        <tr r="C58" s="2"/>
      </tp>
      <tp>
        <v>52</v>
        <stp/>
        <stp>LAST</stp>
        <stp>.AAPL170616C60</stp>
        <tr r="C142" s="2"/>
      </tp>
      <tp>
        <v>0</v>
        <stp/>
        <stp>LAST</stp>
        <stp>.AAPL160520C55</stp>
        <tr r="C16" s="2"/>
      </tp>
      <tp>
        <v>36</v>
        <stp/>
        <stp>LAST</stp>
        <stp>.AAPL160715C75</stp>
        <tr r="C59" s="2"/>
      </tp>
      <tp>
        <v>41.25</v>
        <stp/>
        <stp>LAST</stp>
        <stp>.AAPL170616C65</stp>
        <tr r="C143" s="2"/>
      </tp>
      <tp>
        <v>49.91</v>
        <stp/>
        <stp>LAST</stp>
        <stp>.AAPL160715C60</stp>
        <tr r="C56" s="2"/>
      </tp>
      <tp>
        <v>42.65</v>
        <stp/>
        <stp>LAST</stp>
        <stp>.AAPL170616C70</stp>
        <tr r="C144" s="2"/>
      </tp>
      <tp>
        <v>40.5</v>
        <stp/>
        <stp>LAST</stp>
        <stp>.AAPL160715C65</stp>
        <tr r="C57" s="2"/>
      </tp>
      <tp>
        <v>37.700000000000003</v>
        <stp/>
        <stp>LAST</stp>
        <stp>.AAPL170616C75</stp>
        <tr r="C145" s="2"/>
      </tp>
      <tp>
        <v>39.450000000000003</v>
        <stp/>
        <stp>LAST</stp>
        <stp>.AAPL160520C70</stp>
        <tr r="C19" s="2"/>
      </tp>
      <tp>
        <v>46.64</v>
        <stp/>
        <stp>LAST</stp>
        <stp>.AAPL160715C50</stp>
        <tr r="C54" s="2"/>
      </tp>
      <tp>
        <v>22.57</v>
        <stp/>
        <stp>LAST</stp>
        <stp>.AAPL160520C75</stp>
        <tr r="C20" s="2"/>
      </tp>
      <tp>
        <v>48</v>
        <stp/>
        <stp>LAST</stp>
        <stp>.AAPL160715C55</stp>
        <tr r="C55" s="2"/>
      </tp>
      <tp>
        <v>40.61</v>
        <stp/>
        <stp>LAST</stp>
        <stp>.AAPL160520C60</stp>
        <tr r="C17" s="2"/>
      </tp>
      <tp>
        <v>59.25</v>
        <stp/>
        <stp>LAST</stp>
        <stp>.AAPL170616C50</stp>
        <tr r="C140" s="2"/>
      </tp>
      <tp>
        <v>37.200000000000003</v>
        <stp/>
        <stp>LAST</stp>
        <stp>.AAPL160520C65</stp>
        <tr r="C18" s="2"/>
      </tp>
      <tp>
        <v>46.4</v>
        <stp/>
        <stp>LAST</stp>
        <stp>.AAPL170616C55</stp>
        <tr r="C141" s="2"/>
      </tp>
      <tp>
        <v>22.35</v>
        <stp/>
        <stp>LAST</stp>
        <stp>.AAPL160520C90</stp>
        <tr r="C24" s="2"/>
      </tp>
      <tp>
        <v>17.55</v>
        <stp/>
        <stp>LAST</stp>
        <stp>.AAPL160520C95</stp>
        <tr r="C26" s="2"/>
      </tp>
      <tp>
        <v>32.25</v>
        <stp/>
        <stp>LAST</stp>
        <stp>.AAPL160520C80</stp>
        <tr r="C21" s="2"/>
      </tp>
      <tp>
        <v>24.87</v>
        <stp/>
        <stp>LAST</stp>
        <stp>.AAPL160520C85</stp>
        <tr r="C22" s="2"/>
      </tp>
      <tp>
        <v>22.15</v>
        <stp/>
        <stp>LAST</stp>
        <stp>.AAPL160715C90</stp>
        <tr r="C63" s="2"/>
      </tp>
      <tp>
        <v>33.61</v>
        <stp/>
        <stp>LAST</stp>
        <stp>.AAPL170616C80</stp>
        <tr r="C146" s="2"/>
      </tp>
      <tp>
        <v>18</v>
        <stp/>
        <stp>LAST</stp>
        <stp>.AAPL160715C95</stp>
        <tr r="C65" s="2"/>
      </tp>
      <tp>
        <v>28.01</v>
        <stp/>
        <stp>LAST</stp>
        <stp>.AAPL170616C85</stp>
        <tr r="C147" s="2"/>
      </tp>
      <tp>
        <v>32.25</v>
        <stp/>
        <stp>LAST</stp>
        <stp>.AAPL160715C80</stp>
        <tr r="C60" s="2"/>
      </tp>
      <tp>
        <v>25.25</v>
        <stp/>
        <stp>LAST</stp>
        <stp>.AAPL170616C90</stp>
        <tr r="C149" s="2"/>
      </tp>
      <tp>
        <v>27</v>
        <stp/>
        <stp>LAST</stp>
        <stp>.AAPL160715C85</stp>
        <tr r="C61" s="2"/>
      </tp>
      <tp>
        <v>22.25</v>
        <stp/>
        <stp>LAST</stp>
        <stp>.AAPL170616C95</stp>
        <tr r="C151" s="2"/>
      </tp>
      <tp>
        <v>-2.5</v>
        <stp/>
        <stp>NET_CHANGE</stp>
        <stp>.AAPL160520P130</stp>
        <tr r="R34" s="2"/>
      </tp>
      <tp>
        <v>0.04</v>
        <stp/>
        <stp>NET_CHANGE</stp>
        <stp>.AAPL160520C130</stp>
        <tr r="E34" s="2"/>
      </tp>
      <tp>
        <v>-2.6</v>
        <stp/>
        <stp>NET_CHANGE</stp>
        <stp>.AAPL160520P135</stp>
        <tr r="R35" s="2"/>
      </tp>
      <tp>
        <v>0.01</v>
        <stp/>
        <stp>NET_CHANGE</stp>
        <stp>.AAPL160520C135</stp>
        <tr r="E35" s="2"/>
      </tp>
      <tp>
        <v>-1.5</v>
        <stp/>
        <stp>NET_CHANGE</stp>
        <stp>.AAPL160520P120</stp>
        <tr r="R32" s="2"/>
      </tp>
      <tp>
        <v>0.3</v>
        <stp/>
        <stp>NET_CHANGE</stp>
        <stp>.AAPL160520C120</stp>
        <tr r="E32" s="2"/>
      </tp>
      <tp>
        <v>-1.82</v>
        <stp/>
        <stp>NET_CHANGE</stp>
        <stp>.AAPL160520P125</stp>
        <tr r="R33" s="2"/>
      </tp>
      <tp>
        <v>0.15</v>
        <stp/>
        <stp>NET_CHANGE</stp>
        <stp>.AAPL160520C125</stp>
        <tr r="E33" s="2"/>
      </tp>
      <tp>
        <v>-0.73</v>
        <stp/>
        <stp>NET_CHANGE</stp>
        <stp>.AAPL160520P110</stp>
        <tr r="R30" s="2"/>
      </tp>
      <tp>
        <v>0.93</v>
        <stp/>
        <stp>NET_CHANGE</stp>
        <stp>.AAPL160520C110</stp>
        <tr r="E30" s="2"/>
      </tp>
      <tp>
        <v>-1.3</v>
        <stp/>
        <stp>NET_CHANGE</stp>
        <stp>.AAPL160520P115</stp>
        <tr r="R31" s="2"/>
      </tp>
      <tp>
        <v>0.61</v>
        <stp/>
        <stp>NET_CHANGE</stp>
        <stp>.AAPL160520C115</stp>
        <tr r="E31" s="2"/>
      </tp>
      <tp>
        <v>-0.21</v>
        <stp/>
        <stp>NET_CHANGE</stp>
        <stp>.AAPL160520P100</stp>
        <tr r="R28" s="2"/>
      </tp>
      <tp>
        <v>1.56</v>
        <stp/>
        <stp>NET_CHANGE</stp>
        <stp>.AAPL160520C100</stp>
        <tr r="E28" s="2"/>
      </tp>
      <tp>
        <v>-0.43</v>
        <stp/>
        <stp>NET_CHANGE</stp>
        <stp>.AAPL160520P105</stp>
        <tr r="R29" s="2"/>
      </tp>
      <tp>
        <v>1.35</v>
        <stp/>
        <stp>NET_CHANGE</stp>
        <stp>.AAPL160520C105</stp>
        <tr r="E29" s="2"/>
      </tp>
      <tp>
        <v>0</v>
        <stp/>
        <stp>NET_CHANGE</stp>
        <stp>.AAPL160520P170</stp>
        <tr r="R42" s="2"/>
      </tp>
      <tp>
        <v>0</v>
        <stp/>
        <stp>NET_CHANGE</stp>
        <stp>.AAPL160520C170</stp>
        <tr r="E42" s="2"/>
      </tp>
      <tp>
        <v>0</v>
        <stp/>
        <stp>NET_CHANGE</stp>
        <stp>.AAPL160520P175</stp>
        <tr r="R43" s="2"/>
      </tp>
      <tp>
        <v>0</v>
        <stp/>
        <stp>NET_CHANGE</stp>
        <stp>.AAPL160520C175</stp>
        <tr r="E43" s="2"/>
      </tp>
      <tp>
        <v>0</v>
        <stp/>
        <stp>NET_CHANGE</stp>
        <stp>.AAPL160520P160</stp>
        <tr r="R40" s="2"/>
      </tp>
      <tp>
        <v>0</v>
        <stp/>
        <stp>NET_CHANGE</stp>
        <stp>.AAPL160520C160</stp>
        <tr r="E40" s="2"/>
      </tp>
      <tp>
        <v>0</v>
        <stp/>
        <stp>NET_CHANGE</stp>
        <stp>.AAPL160520P165</stp>
        <tr r="R41" s="2"/>
      </tp>
      <tp>
        <v>0</v>
        <stp/>
        <stp>NET_CHANGE</stp>
        <stp>.AAPL160520C165</stp>
        <tr r="E41" s="2"/>
      </tp>
      <tp>
        <v>0</v>
        <stp/>
        <stp>NET_CHANGE</stp>
        <stp>.AAPL160520P150</stp>
        <tr r="R38" s="2"/>
      </tp>
      <tp>
        <v>0</v>
        <stp/>
        <stp>NET_CHANGE</stp>
        <stp>.AAPL160520C150</stp>
        <tr r="E38" s="2"/>
      </tp>
      <tp>
        <v>0</v>
        <stp/>
        <stp>NET_CHANGE</stp>
        <stp>.AAPL160520P155</stp>
        <tr r="R39" s="2"/>
      </tp>
      <tp>
        <v>0</v>
        <stp/>
        <stp>NET_CHANGE</stp>
        <stp>.AAPL160520C155</stp>
        <tr r="E39" s="2"/>
      </tp>
      <tp>
        <v>0</v>
        <stp/>
        <stp>NET_CHANGE</stp>
        <stp>.AAPL160520P140</stp>
        <tr r="R36" s="2"/>
      </tp>
      <tp>
        <v>-0.01</v>
        <stp/>
        <stp>NET_CHANGE</stp>
        <stp>.AAPL160520C140</stp>
        <tr r="E36" s="2"/>
      </tp>
      <tp>
        <v>0</v>
        <stp/>
        <stp>NET_CHANGE</stp>
        <stp>.AAPL160520P145</stp>
        <tr r="R37" s="2"/>
      </tp>
      <tp>
        <v>0</v>
        <stp/>
        <stp>NET_CHANGE</stp>
        <stp>.AAPL160520C145</stp>
        <tr r="E37" s="2"/>
      </tp>
      <tp>
        <v>0</v>
        <stp/>
        <stp>NET_CHANGE</stp>
        <stp>.AAPL160520P190</stp>
        <tr r="R46" s="2"/>
      </tp>
      <tp>
        <v>0</v>
        <stp/>
        <stp>NET_CHANGE</stp>
        <stp>.AAPL160520C190</stp>
        <tr r="E46" s="2"/>
      </tp>
      <tp>
        <v>0</v>
        <stp/>
        <stp>NET_CHANGE</stp>
        <stp>.AAPL160520P195</stp>
        <tr r="R47" s="2"/>
      </tp>
      <tp>
        <v>0</v>
        <stp/>
        <stp>NET_CHANGE</stp>
        <stp>.AAPL160520C195</stp>
        <tr r="E47" s="2"/>
      </tp>
      <tp>
        <v>0</v>
        <stp/>
        <stp>NET_CHANGE</stp>
        <stp>.AAPL160520P180</stp>
        <tr r="R44" s="2"/>
      </tp>
      <tp>
        <v>0</v>
        <stp/>
        <stp>NET_CHANGE</stp>
        <stp>.AAPL160520C180</stp>
        <tr r="E44" s="2"/>
      </tp>
      <tp>
        <v>0</v>
        <stp/>
        <stp>NET_CHANGE</stp>
        <stp>.AAPL160520P185</stp>
        <tr r="R45" s="2"/>
      </tp>
      <tp>
        <v>0</v>
        <stp/>
        <stp>NET_CHANGE</stp>
        <stp>.AAPL160520C185</stp>
        <tr r="E45" s="2"/>
      </tp>
      <tp>
        <v>57</v>
        <stp/>
        <stp>LAST</stp>
        <stp>.AAPL161021C50</stp>
        <tr r="C86" s="2"/>
      </tp>
      <tp>
        <v>47.3</v>
        <stp/>
        <stp>LAST</stp>
        <stp>.AAPL161021C55</stp>
        <tr r="C87" s="2"/>
      </tp>
      <tp>
        <v>51.8</v>
        <stp/>
        <stp>LAST</stp>
        <stp>.AAPL161021C60</stp>
        <tr r="C88" s="2"/>
      </tp>
      <tp>
        <v>40.549999999999997</v>
        <stp/>
        <stp>LAST</stp>
        <stp>.AAPL161021C65</stp>
        <tr r="C89" s="2"/>
      </tp>
      <tp>
        <v>40.35</v>
        <stp/>
        <stp>LAST</stp>
        <stp>.AAPL161021C70</stp>
        <tr r="C90" s="2"/>
      </tp>
      <tp>
        <v>37.33</v>
        <stp/>
        <stp>LAST</stp>
        <stp>.AAPL161021C75</stp>
        <tr r="C91" s="2"/>
      </tp>
      <tp>
        <v>32.6</v>
        <stp/>
        <stp>LAST</stp>
        <stp>.AAPL161021C80</stp>
        <tr r="C92" s="2"/>
      </tp>
      <tp>
        <v>28</v>
        <stp/>
        <stp>LAST</stp>
        <stp>.AAPL161021C85</stp>
        <tr r="C93" s="2"/>
      </tp>
      <tp>
        <v>23.5</v>
        <stp/>
        <stp>LAST</stp>
        <stp>.AAPL161021C90</stp>
        <tr r="C95" s="2"/>
      </tp>
      <tp>
        <v>19.2</v>
        <stp/>
        <stp>LAST</stp>
        <stp>.AAPL161021C95</stp>
        <tr r="C97" s="2"/>
      </tp>
      <tp>
        <v>-1.74</v>
        <stp/>
        <stp>NET_CHANGE</stp>
        <stp>.AAPL161021P130</stp>
        <tr r="R105" s="2"/>
      </tp>
      <tp>
        <v>0.26</v>
        <stp/>
        <stp>NET_CHANGE</stp>
        <stp>.AAPL161021C130</stp>
        <tr r="E105" s="2"/>
      </tp>
      <tp>
        <v>-2.34</v>
        <stp/>
        <stp>NET_CHANGE</stp>
        <stp>.AAPL161021P135</stp>
        <tr r="R106" s="2"/>
      </tp>
      <tp>
        <v>0.17</v>
        <stp/>
        <stp>NET_CHANGE</stp>
        <stp>.AAPL161021C135</stp>
        <tr r="E106" s="2"/>
      </tp>
      <tp>
        <v>-1.69</v>
        <stp/>
        <stp>NET_CHANGE</stp>
        <stp>.AAPL161021P120</stp>
        <tr r="R103" s="2"/>
      </tp>
      <tp>
        <v>0.5</v>
        <stp/>
        <stp>NET_CHANGE</stp>
        <stp>.AAPL161021C120</stp>
        <tr r="E103" s="2"/>
      </tp>
      <tp>
        <v>0</v>
        <stp/>
        <stp>NET_CHANGE</stp>
        <stp>.AAPL161021P125</stp>
        <tr r="R104" s="2"/>
      </tp>
      <tp>
        <v>0.38</v>
        <stp/>
        <stp>NET_CHANGE</stp>
        <stp>.AAPL161021C125</stp>
        <tr r="E104" s="2"/>
      </tp>
      <tp>
        <v>-0.9</v>
        <stp/>
        <stp>NET_CHANGE</stp>
        <stp>.AAPL161021P110</stp>
        <tr r="R101" s="2"/>
      </tp>
      <tp>
        <v>0.85</v>
        <stp/>
        <stp>NET_CHANGE</stp>
        <stp>.AAPL161021C110</stp>
        <tr r="E101" s="2"/>
      </tp>
      <tp>
        <v>-1.1100000000000001</v>
        <stp/>
        <stp>NET_CHANGE</stp>
        <stp>.AAPL161021P115</stp>
        <tr r="R102" s="2"/>
      </tp>
      <tp>
        <v>0.72</v>
        <stp/>
        <stp>NET_CHANGE</stp>
        <stp>.AAPL161021C115</stp>
        <tr r="E102" s="2"/>
      </tp>
      <tp>
        <v>-0.4</v>
        <stp/>
        <stp>NET_CHANGE</stp>
        <stp>.AAPL161021P100</stp>
        <tr r="R99" s="2"/>
      </tp>
      <tp>
        <v>1.3</v>
        <stp/>
        <stp>NET_CHANGE</stp>
        <stp>.AAPL161021C100</stp>
        <tr r="E99" s="2"/>
      </tp>
      <tp>
        <v>-0.66</v>
        <stp/>
        <stp>NET_CHANGE</stp>
        <stp>.AAPL161021P105</stp>
        <tr r="R100" s="2"/>
      </tp>
      <tp>
        <v>1.1000000000000001</v>
        <stp/>
        <stp>NET_CHANGE</stp>
        <stp>.AAPL161021C105</stp>
        <tr r="E100" s="2"/>
      </tp>
      <tp>
        <v>0</v>
        <stp/>
        <stp>NET_CHANGE</stp>
        <stp>.AAPL161021P170</stp>
        <tr r="R113" s="2"/>
      </tp>
      <tp>
        <v>0</v>
        <stp/>
        <stp>NET_CHANGE</stp>
        <stp>.AAPL161021C170</stp>
        <tr r="E113" s="2"/>
      </tp>
      <tp>
        <v>0</v>
        <stp/>
        <stp>NET_CHANGE</stp>
        <stp>.AAPL161021P175</stp>
        <tr r="R114" s="2"/>
      </tp>
      <tp>
        <v>0</v>
        <stp/>
        <stp>NET_CHANGE</stp>
        <stp>.AAPL161021C175</stp>
        <tr r="E114" s="2"/>
      </tp>
      <tp>
        <v>0</v>
        <stp/>
        <stp>NET_CHANGE</stp>
        <stp>.AAPL161021P160</stp>
        <tr r="R111" s="2"/>
      </tp>
      <tp>
        <v>0</v>
        <stp/>
        <stp>NET_CHANGE</stp>
        <stp>.AAPL161021C160</stp>
        <tr r="E111" s="2"/>
      </tp>
      <tp>
        <v>0</v>
        <stp/>
        <stp>NET_CHANGE</stp>
        <stp>.AAPL161021P165</stp>
        <tr r="R112" s="2"/>
      </tp>
      <tp>
        <v>0</v>
        <stp/>
        <stp>NET_CHANGE</stp>
        <stp>.AAPL161021C165</stp>
        <tr r="E112" s="2"/>
      </tp>
      <tp>
        <v>0</v>
        <stp/>
        <stp>NET_CHANGE</stp>
        <stp>.AAPL161021P150</stp>
        <tr r="R109" s="2"/>
      </tp>
      <tp>
        <v>0.05</v>
        <stp/>
        <stp>NET_CHANGE</stp>
        <stp>.AAPL161021C150</stp>
        <tr r="E109" s="2"/>
      </tp>
      <tp>
        <v>0</v>
        <stp/>
        <stp>NET_CHANGE</stp>
        <stp>.AAPL161021P155</stp>
        <tr r="R110" s="2"/>
      </tp>
      <tp>
        <v>0</v>
        <stp/>
        <stp>NET_CHANGE</stp>
        <stp>.AAPL161021C155</stp>
        <tr r="E110" s="2"/>
      </tp>
      <tp>
        <v>0</v>
        <stp/>
        <stp>NET_CHANGE</stp>
        <stp>.AAPL161021P140</stp>
        <tr r="R107" s="2"/>
      </tp>
      <tp>
        <v>0.13</v>
        <stp/>
        <stp>NET_CHANGE</stp>
        <stp>.AAPL161021C140</stp>
        <tr r="E107" s="2"/>
      </tp>
      <tp>
        <v>0</v>
        <stp/>
        <stp>NET_CHANGE</stp>
        <stp>.AAPL161021P145</stp>
        <tr r="R108" s="2"/>
      </tp>
      <tp>
        <v>0</v>
        <stp/>
        <stp>NET_CHANGE</stp>
        <stp>.AAPL161021C145</stp>
        <tr r="E108" s="2"/>
      </tp>
      <tp>
        <v>0</v>
        <stp/>
        <stp>NET_CHANGE</stp>
        <stp>.AAPL161021P190</stp>
        <tr r="R117" s="2"/>
      </tp>
      <tp>
        <v>0</v>
        <stp/>
        <stp>NET_CHANGE</stp>
        <stp>.AAPL161021C190</stp>
        <tr r="E117" s="2"/>
      </tp>
      <tp>
        <v>0</v>
        <stp/>
        <stp>NET_CHANGE</stp>
        <stp>.AAPL161021P195</stp>
        <tr r="R118" s="2"/>
      </tp>
      <tp>
        <v>0</v>
        <stp/>
        <stp>NET_CHANGE</stp>
        <stp>.AAPL161021C195</stp>
        <tr r="E118" s="2"/>
      </tp>
      <tp>
        <v>0</v>
        <stp/>
        <stp>NET_CHANGE</stp>
        <stp>.AAPL161021P180</stp>
        <tr r="R115" s="2"/>
      </tp>
      <tp>
        <v>0</v>
        <stp/>
        <stp>NET_CHANGE</stp>
        <stp>.AAPL161021C180</stp>
        <tr r="E115" s="2"/>
      </tp>
      <tp>
        <v>0</v>
        <stp/>
        <stp>NET_CHANGE</stp>
        <stp>.AAPL161021P185</stp>
        <tr r="R116" s="2"/>
      </tp>
      <tp>
        <v>0</v>
        <stp/>
        <stp>NET_CHANGE</stp>
        <stp>.AAPL161021C185</stp>
        <tr r="E116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Call worth above value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Sheet1!$AO$14</c:f>
              <c:strCache>
                <c:ptCount val="1"/>
                <c:pt idx="0">
                  <c:v>Call price difference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Sheet1!$U$15:$U$83</c:f>
              <c:numCache>
                <c:formatCode>General</c:formatCode>
                <c:ptCount val="6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  <c:pt idx="9">
                  <c:v>145</c:v>
                </c:pt>
                <c:pt idx="10">
                  <c:v>150</c:v>
                </c:pt>
                <c:pt idx="11">
                  <c:v>155</c:v>
                </c:pt>
                <c:pt idx="12">
                  <c:v>160</c:v>
                </c:pt>
                <c:pt idx="13">
                  <c:v>165</c:v>
                </c:pt>
                <c:pt idx="14">
                  <c:v>170</c:v>
                </c:pt>
                <c:pt idx="15">
                  <c:v>175</c:v>
                </c:pt>
                <c:pt idx="16">
                  <c:v>180</c:v>
                </c:pt>
                <c:pt idx="17">
                  <c:v>185</c:v>
                </c:pt>
                <c:pt idx="18">
                  <c:v>190</c:v>
                </c:pt>
                <c:pt idx="19">
                  <c:v>195</c:v>
                </c:pt>
                <c:pt idx="20">
                  <c:v>200</c:v>
                </c:pt>
                <c:pt idx="21">
                  <c:v>205</c:v>
                </c:pt>
                <c:pt idx="22">
                  <c:v>210</c:v>
                </c:pt>
                <c:pt idx="23">
                  <c:v>215</c:v>
                </c:pt>
                <c:pt idx="24">
                  <c:v>220</c:v>
                </c:pt>
                <c:pt idx="25">
                  <c:v>225</c:v>
                </c:pt>
                <c:pt idx="26">
                  <c:v>230</c:v>
                </c:pt>
                <c:pt idx="27">
                  <c:v>235</c:v>
                </c:pt>
                <c:pt idx="28">
                  <c:v>240</c:v>
                </c:pt>
                <c:pt idx="29">
                  <c:v>245</c:v>
                </c:pt>
                <c:pt idx="30">
                  <c:v>250</c:v>
                </c:pt>
                <c:pt idx="31">
                  <c:v>255</c:v>
                </c:pt>
                <c:pt idx="32">
                  <c:v>260</c:v>
                </c:pt>
                <c:pt idx="33">
                  <c:v>265</c:v>
                </c:pt>
                <c:pt idx="34">
                  <c:v>270</c:v>
                </c:pt>
                <c:pt idx="35">
                  <c:v>275</c:v>
                </c:pt>
                <c:pt idx="36">
                  <c:v>280</c:v>
                </c:pt>
                <c:pt idx="37">
                  <c:v>285</c:v>
                </c:pt>
                <c:pt idx="38">
                  <c:v>290</c:v>
                </c:pt>
                <c:pt idx="39">
                  <c:v>295</c:v>
                </c:pt>
                <c:pt idx="40">
                  <c:v>300</c:v>
                </c:pt>
                <c:pt idx="41">
                  <c:v>305</c:v>
                </c:pt>
                <c:pt idx="42">
                  <c:v>310</c:v>
                </c:pt>
                <c:pt idx="43">
                  <c:v>315</c:v>
                </c:pt>
                <c:pt idx="44">
                  <c:v>320</c:v>
                </c:pt>
                <c:pt idx="45">
                  <c:v>325</c:v>
                </c:pt>
                <c:pt idx="46">
                  <c:v>330</c:v>
                </c:pt>
                <c:pt idx="47">
                  <c:v>335</c:v>
                </c:pt>
                <c:pt idx="48">
                  <c:v>340</c:v>
                </c:pt>
                <c:pt idx="49">
                  <c:v>345</c:v>
                </c:pt>
                <c:pt idx="50">
                  <c:v>350</c:v>
                </c:pt>
                <c:pt idx="51">
                  <c:v>355</c:v>
                </c:pt>
                <c:pt idx="52">
                  <c:v>360</c:v>
                </c:pt>
                <c:pt idx="53">
                  <c:v>365</c:v>
                </c:pt>
                <c:pt idx="54">
                  <c:v>370</c:v>
                </c:pt>
                <c:pt idx="55">
                  <c:v>375</c:v>
                </c:pt>
                <c:pt idx="56">
                  <c:v>380</c:v>
                </c:pt>
                <c:pt idx="57">
                  <c:v>385</c:v>
                </c:pt>
                <c:pt idx="58">
                  <c:v>390</c:v>
                </c:pt>
                <c:pt idx="59">
                  <c:v>395</c:v>
                </c:pt>
                <c:pt idx="60">
                  <c:v>400</c:v>
                </c:pt>
                <c:pt idx="61">
                  <c:v>410</c:v>
                </c:pt>
                <c:pt idx="62">
                  <c:v>420</c:v>
                </c:pt>
                <c:pt idx="63">
                  <c:v>430</c:v>
                </c:pt>
                <c:pt idx="64">
                  <c:v>440</c:v>
                </c:pt>
                <c:pt idx="65">
                  <c:v>450</c:v>
                </c:pt>
                <c:pt idx="66">
                  <c:v>460</c:v>
                </c:pt>
                <c:pt idx="67">
                  <c:v>470</c:v>
                </c:pt>
                <c:pt idx="68">
                  <c:v>480</c:v>
                </c:pt>
              </c:numCache>
            </c:numRef>
          </c:xVal>
          <c:yVal>
            <c:numRef>
              <c:f>Sheet1!$AO$15:$AO$83</c:f>
              <c:numCache>
                <c:formatCode>General</c:formatCode>
                <c:ptCount val="69"/>
                <c:pt idx="0">
                  <c:v>-1.4999999998973408</c:v>
                </c:pt>
                <c:pt idx="1">
                  <c:v>-1.4433153052436865</c:v>
                </c:pt>
                <c:pt idx="2">
                  <c:v>-1.6406160270046826</c:v>
                </c:pt>
                <c:pt idx="3">
                  <c:v>-1.4379167095374896</c:v>
                </c:pt>
                <c:pt idx="4">
                  <c:v>-1.6352171836210232</c:v>
                </c:pt>
                <c:pt idx="5">
                  <c:v>-1.4325167097784401</c:v>
                </c:pt>
                <c:pt idx="6">
                  <c:v>-1.6298124894572084</c:v>
                </c:pt>
                <c:pt idx="7">
                  <c:v>-1.5770952255985407</c:v>
                </c:pt>
                <c:pt idx="8">
                  <c:v>-1.8743374822814758</c:v>
                </c:pt>
                <c:pt idx="9">
                  <c:v>-1.4214665859123983</c:v>
                </c:pt>
                <c:pt idx="10">
                  <c:v>-1.4183081486376494</c:v>
                </c:pt>
                <c:pt idx="11">
                  <c:v>-1.8644799896709685</c:v>
                </c:pt>
                <c:pt idx="12">
                  <c:v>-1.4592116285193697</c:v>
                </c:pt>
                <c:pt idx="13">
                  <c:v>-1.5010650473261933</c:v>
                </c:pt>
                <c:pt idx="14">
                  <c:v>-1.8875414614104074</c:v>
                </c:pt>
                <c:pt idx="15">
                  <c:v>-1.3645781075648387</c:v>
                </c:pt>
                <c:pt idx="16">
                  <c:v>-1.2259670475457227</c:v>
                </c:pt>
                <c:pt idx="17">
                  <c:v>-1.3127594074615843</c:v>
                </c:pt>
                <c:pt idx="18">
                  <c:v>-1.5627452317850583</c:v>
                </c:pt>
                <c:pt idx="19">
                  <c:v>-1.7601126126199773</c:v>
                </c:pt>
                <c:pt idx="20">
                  <c:v>-1.4353836930366271</c:v>
                </c:pt>
                <c:pt idx="21">
                  <c:v>-1.1656979062522055</c:v>
                </c:pt>
                <c:pt idx="22">
                  <c:v>-1.3254682438866396</c:v>
                </c:pt>
                <c:pt idx="23">
                  <c:v>-1.5373828528965348</c:v>
                </c:pt>
                <c:pt idx="24">
                  <c:v>-1.6736725238766752</c:v>
                </c:pt>
                <c:pt idx="25">
                  <c:v>-1.9075247822036943</c:v>
                </c:pt>
                <c:pt idx="26">
                  <c:v>-2.0145044561032428</c:v>
                </c:pt>
                <c:pt idx="27">
                  <c:v>-2.0738414997770072</c:v>
                </c:pt>
                <c:pt idx="28">
                  <c:v>-2.1194677070520136</c:v>
                </c:pt>
                <c:pt idx="29">
                  <c:v>-2.1907194413352968</c:v>
                </c:pt>
                <c:pt idx="30">
                  <c:v>-2.0326664045529803</c:v>
                </c:pt>
                <c:pt idx="31">
                  <c:v>-2.0460693780502055</c:v>
                </c:pt>
                <c:pt idx="32">
                  <c:v>-1.9870066521107503</c:v>
                </c:pt>
                <c:pt idx="33">
                  <c:v>-1.9162354863919404</c:v>
                </c:pt>
                <c:pt idx="34">
                  <c:v>-1.7983697341140008</c:v>
                </c:pt>
                <c:pt idx="35">
                  <c:v>-1.7009581390224415</c:v>
                </c:pt>
                <c:pt idx="36">
                  <c:v>-1.5935417236352434</c:v>
                </c:pt>
                <c:pt idx="37">
                  <c:v>-1.4967559189682209</c:v>
                </c:pt>
                <c:pt idx="38">
                  <c:v>-1.3815266312600389</c:v>
                </c:pt>
                <c:pt idx="39">
                  <c:v>-1.2683920044424211</c:v>
                </c:pt>
                <c:pt idx="40">
                  <c:v>-1.1769653343231057</c:v>
                </c:pt>
                <c:pt idx="41">
                  <c:v>-1.0755408290929154</c:v>
                </c:pt>
                <c:pt idx="42">
                  <c:v>-0.990833411222793</c:v>
                </c:pt>
                <c:pt idx="43">
                  <c:v>-0.90783666494016879</c:v>
                </c:pt>
                <c:pt idx="44">
                  <c:v>-0.82977908184190619</c:v>
                </c:pt>
                <c:pt idx="45">
                  <c:v>-0.74815742141373609</c:v>
                </c:pt>
                <c:pt idx="46">
                  <c:v>-0.71282664792120665</c:v>
                </c:pt>
                <c:pt idx="47">
                  <c:v>-0.66212789160600782</c:v>
                </c:pt>
                <c:pt idx="48">
                  <c:v>-0.61303864034853506</c:v>
                </c:pt>
                <c:pt idx="49">
                  <c:v>-0.58133243546676094</c:v>
                </c:pt>
                <c:pt idx="50">
                  <c:v>-0.52173837983648585</c:v>
                </c:pt>
                <c:pt idx="51">
                  <c:v>-0.50809354028878417</c:v>
                </c:pt>
                <c:pt idx="52">
                  <c:v>-0.46348370957495455</c:v>
                </c:pt>
                <c:pt idx="53">
                  <c:v>-0.42036993317251703</c:v>
                </c:pt>
                <c:pt idx="54">
                  <c:v>-0.40069970493300483</c:v>
                </c:pt>
                <c:pt idx="55">
                  <c:v>-0.82600283056039769</c:v>
                </c:pt>
                <c:pt idx="56">
                  <c:v>-0.48747270618898686</c:v>
                </c:pt>
                <c:pt idx="57">
                  <c:v>-0.47603422529666428</c:v>
                </c:pt>
                <c:pt idx="58">
                  <c:v>-0.69239977455236112</c:v>
                </c:pt>
                <c:pt idx="59">
                  <c:v>-0.48711486559910955</c:v>
                </c:pt>
                <c:pt idx="60">
                  <c:v>-0.49059492447800296</c:v>
                </c:pt>
                <c:pt idx="61">
                  <c:v>-0.88503131847862671</c:v>
                </c:pt>
                <c:pt idx="62">
                  <c:v>-0.49740233107882437</c:v>
                </c:pt>
                <c:pt idx="63">
                  <c:v>-0.34865479442937369</c:v>
                </c:pt>
                <c:pt idx="64">
                  <c:v>-1.2693094017766184</c:v>
                </c:pt>
                <c:pt idx="65">
                  <c:v>-1.129648247667046</c:v>
                </c:pt>
                <c:pt idx="66">
                  <c:v>-9.9822114357662486E-2</c:v>
                </c:pt>
                <c:pt idx="67">
                  <c:v>-9.9910621852527762E-2</c:v>
                </c:pt>
                <c:pt idx="68">
                  <c:v>-9.9955354143029543E-2</c:v>
                </c:pt>
              </c:numCache>
            </c:numRef>
          </c:yVal>
        </c:ser>
        <c:axId val="133576576"/>
        <c:axId val="133575040"/>
      </c:scatterChart>
      <c:valAx>
        <c:axId val="133576576"/>
        <c:scaling>
          <c:orientation val="minMax"/>
        </c:scaling>
        <c:axPos val="b"/>
        <c:numFmt formatCode="General" sourceLinked="1"/>
        <c:tickLblPos val="nextTo"/>
        <c:crossAx val="133575040"/>
        <c:crosses val="autoZero"/>
        <c:crossBetween val="midCat"/>
      </c:valAx>
      <c:valAx>
        <c:axId val="133575040"/>
        <c:scaling>
          <c:orientation val="minMax"/>
        </c:scaling>
        <c:axPos val="l"/>
        <c:majorGridlines/>
        <c:numFmt formatCode="General" sourceLinked="1"/>
        <c:tickLblPos val="nextTo"/>
        <c:crossAx val="1335765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Put worth above value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Sheet1!$AV$14</c:f>
              <c:strCache>
                <c:ptCount val="1"/>
                <c:pt idx="0">
                  <c:v>Put price difference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Sheet1!$U$15:$U$83</c:f>
              <c:numCache>
                <c:formatCode>General</c:formatCode>
                <c:ptCount val="6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  <c:pt idx="9">
                  <c:v>145</c:v>
                </c:pt>
                <c:pt idx="10">
                  <c:v>150</c:v>
                </c:pt>
                <c:pt idx="11">
                  <c:v>155</c:v>
                </c:pt>
                <c:pt idx="12">
                  <c:v>160</c:v>
                </c:pt>
                <c:pt idx="13">
                  <c:v>165</c:v>
                </c:pt>
                <c:pt idx="14">
                  <c:v>170</c:v>
                </c:pt>
                <c:pt idx="15">
                  <c:v>175</c:v>
                </c:pt>
                <c:pt idx="16">
                  <c:v>180</c:v>
                </c:pt>
                <c:pt idx="17">
                  <c:v>185</c:v>
                </c:pt>
                <c:pt idx="18">
                  <c:v>190</c:v>
                </c:pt>
                <c:pt idx="19">
                  <c:v>195</c:v>
                </c:pt>
                <c:pt idx="20">
                  <c:v>200</c:v>
                </c:pt>
                <c:pt idx="21">
                  <c:v>205</c:v>
                </c:pt>
                <c:pt idx="22">
                  <c:v>210</c:v>
                </c:pt>
                <c:pt idx="23">
                  <c:v>215</c:v>
                </c:pt>
                <c:pt idx="24">
                  <c:v>220</c:v>
                </c:pt>
                <c:pt idx="25">
                  <c:v>225</c:v>
                </c:pt>
                <c:pt idx="26">
                  <c:v>230</c:v>
                </c:pt>
                <c:pt idx="27">
                  <c:v>235</c:v>
                </c:pt>
                <c:pt idx="28">
                  <c:v>240</c:v>
                </c:pt>
                <c:pt idx="29">
                  <c:v>245</c:v>
                </c:pt>
                <c:pt idx="30">
                  <c:v>250</c:v>
                </c:pt>
                <c:pt idx="31">
                  <c:v>255</c:v>
                </c:pt>
                <c:pt idx="32">
                  <c:v>260</c:v>
                </c:pt>
                <c:pt idx="33">
                  <c:v>265</c:v>
                </c:pt>
                <c:pt idx="34">
                  <c:v>270</c:v>
                </c:pt>
                <c:pt idx="35">
                  <c:v>275</c:v>
                </c:pt>
                <c:pt idx="36">
                  <c:v>280</c:v>
                </c:pt>
                <c:pt idx="37">
                  <c:v>285</c:v>
                </c:pt>
                <c:pt idx="38">
                  <c:v>290</c:v>
                </c:pt>
                <c:pt idx="39">
                  <c:v>295</c:v>
                </c:pt>
                <c:pt idx="40">
                  <c:v>300</c:v>
                </c:pt>
                <c:pt idx="41">
                  <c:v>305</c:v>
                </c:pt>
                <c:pt idx="42">
                  <c:v>310</c:v>
                </c:pt>
                <c:pt idx="43">
                  <c:v>315</c:v>
                </c:pt>
                <c:pt idx="44">
                  <c:v>320</c:v>
                </c:pt>
                <c:pt idx="45">
                  <c:v>325</c:v>
                </c:pt>
                <c:pt idx="46">
                  <c:v>330</c:v>
                </c:pt>
                <c:pt idx="47">
                  <c:v>335</c:v>
                </c:pt>
                <c:pt idx="48">
                  <c:v>340</c:v>
                </c:pt>
                <c:pt idx="49">
                  <c:v>345</c:v>
                </c:pt>
                <c:pt idx="50">
                  <c:v>350</c:v>
                </c:pt>
                <c:pt idx="51">
                  <c:v>355</c:v>
                </c:pt>
                <c:pt idx="52">
                  <c:v>360</c:v>
                </c:pt>
                <c:pt idx="53">
                  <c:v>365</c:v>
                </c:pt>
                <c:pt idx="54">
                  <c:v>370</c:v>
                </c:pt>
                <c:pt idx="55">
                  <c:v>375</c:v>
                </c:pt>
                <c:pt idx="56">
                  <c:v>380</c:v>
                </c:pt>
                <c:pt idx="57">
                  <c:v>385</c:v>
                </c:pt>
                <c:pt idx="58">
                  <c:v>390</c:v>
                </c:pt>
                <c:pt idx="59">
                  <c:v>395</c:v>
                </c:pt>
                <c:pt idx="60">
                  <c:v>400</c:v>
                </c:pt>
                <c:pt idx="61">
                  <c:v>410</c:v>
                </c:pt>
                <c:pt idx="62">
                  <c:v>420</c:v>
                </c:pt>
                <c:pt idx="63">
                  <c:v>430</c:v>
                </c:pt>
                <c:pt idx="64">
                  <c:v>440</c:v>
                </c:pt>
                <c:pt idx="65">
                  <c:v>450</c:v>
                </c:pt>
                <c:pt idx="66">
                  <c:v>460</c:v>
                </c:pt>
                <c:pt idx="67">
                  <c:v>470</c:v>
                </c:pt>
                <c:pt idx="68">
                  <c:v>480</c:v>
                </c:pt>
              </c:numCache>
            </c:numRef>
          </c:xVal>
          <c:yVal>
            <c:numRef>
              <c:f>Sheet1!$AV$15:$AV$83</c:f>
              <c:numCache>
                <c:formatCode>General</c:formatCode>
                <c:ptCount val="69"/>
                <c:pt idx="0">
                  <c:v>-0.10999999989731177</c:v>
                </c:pt>
                <c:pt idx="1">
                  <c:v>-0.36999999899892189</c:v>
                </c:pt>
                <c:pt idx="2">
                  <c:v>-0.47999999189115922</c:v>
                </c:pt>
                <c:pt idx="3">
                  <c:v>-0.57999994555515244</c:v>
                </c:pt>
                <c:pt idx="4">
                  <c:v>-0.14999969076985673</c:v>
                </c:pt>
                <c:pt idx="5">
                  <c:v>-0.50999848805849035</c:v>
                </c:pt>
                <c:pt idx="6">
                  <c:v>-0.53999353886850066</c:v>
                </c:pt>
                <c:pt idx="7">
                  <c:v>-0.80997554614101541</c:v>
                </c:pt>
                <c:pt idx="8">
                  <c:v>-0.84991707395514438</c:v>
                </c:pt>
                <c:pt idx="9">
                  <c:v>-0.64974544871726303</c:v>
                </c:pt>
                <c:pt idx="10">
                  <c:v>-0.49928628257374186</c:v>
                </c:pt>
                <c:pt idx="11">
                  <c:v>-0.94815739473826277</c:v>
                </c:pt>
                <c:pt idx="12">
                  <c:v>-0.86558830471785153</c:v>
                </c:pt>
                <c:pt idx="13">
                  <c:v>-0.82014099465587109</c:v>
                </c:pt>
                <c:pt idx="14">
                  <c:v>-0.92931667987130218</c:v>
                </c:pt>
                <c:pt idx="15">
                  <c:v>-1.0090525971569058</c:v>
                </c:pt>
                <c:pt idx="16">
                  <c:v>-1.1931408082690116</c:v>
                </c:pt>
                <c:pt idx="17">
                  <c:v>-1.4026324393160805</c:v>
                </c:pt>
                <c:pt idx="18">
                  <c:v>-1.6253175347707625</c:v>
                </c:pt>
                <c:pt idx="19">
                  <c:v>-1.8953841867369001</c:v>
                </c:pt>
                <c:pt idx="20">
                  <c:v>-2.1733545382847379</c:v>
                </c:pt>
                <c:pt idx="21">
                  <c:v>-2.4763680226315254</c:v>
                </c:pt>
                <c:pt idx="22">
                  <c:v>-2.7388376313971445</c:v>
                </c:pt>
                <c:pt idx="23">
                  <c:v>-3.0534515115382277</c:v>
                </c:pt>
                <c:pt idx="24">
                  <c:v>-3.292440453649597</c:v>
                </c:pt>
                <c:pt idx="25">
                  <c:v>-3.4789919831078056</c:v>
                </c:pt>
                <c:pt idx="26">
                  <c:v>-3.6886709281385599</c:v>
                </c:pt>
                <c:pt idx="27">
                  <c:v>-3.8007072429435507</c:v>
                </c:pt>
                <c:pt idx="28">
                  <c:v>-3.9490327213497345</c:v>
                </c:pt>
                <c:pt idx="29">
                  <c:v>-4.0229837267642239</c:v>
                </c:pt>
                <c:pt idx="30">
                  <c:v>-4.0676299611130879</c:v>
                </c:pt>
                <c:pt idx="31">
                  <c:v>-4.0837322057415051</c:v>
                </c:pt>
                <c:pt idx="32">
                  <c:v>-4.0273687509333129</c:v>
                </c:pt>
                <c:pt idx="33">
                  <c:v>-4.0092968563457063</c:v>
                </c:pt>
                <c:pt idx="34">
                  <c:v>-3.9441303751989025</c:v>
                </c:pt>
                <c:pt idx="35">
                  <c:v>-3.899418051238591</c:v>
                </c:pt>
                <c:pt idx="36">
                  <c:v>-3.8447009069825597</c:v>
                </c:pt>
                <c:pt idx="37">
                  <c:v>-3.750614373446794</c:v>
                </c:pt>
                <c:pt idx="38">
                  <c:v>-3.5880843568697784</c:v>
                </c:pt>
                <c:pt idx="39">
                  <c:v>-3.5276490011833985</c:v>
                </c:pt>
                <c:pt idx="40">
                  <c:v>-3.438921602195272</c:v>
                </c:pt>
                <c:pt idx="41">
                  <c:v>-3.4901963680962496</c:v>
                </c:pt>
                <c:pt idx="42">
                  <c:v>-3.4981882213573243</c:v>
                </c:pt>
                <c:pt idx="43">
                  <c:v>-3.7278907462059436</c:v>
                </c:pt>
                <c:pt idx="44">
                  <c:v>-4.3925324342388592</c:v>
                </c:pt>
                <c:pt idx="45">
                  <c:v>-4.403610044941928</c:v>
                </c:pt>
                <c:pt idx="46">
                  <c:v>-4.1709785425805705</c:v>
                </c:pt>
                <c:pt idx="47">
                  <c:v>-4.3529790573965812</c:v>
                </c:pt>
                <c:pt idx="48">
                  <c:v>-4.3065890772702744</c:v>
                </c:pt>
                <c:pt idx="49">
                  <c:v>-4.2875821435197707</c:v>
                </c:pt>
                <c:pt idx="50">
                  <c:v>-4.0506873590206283</c:v>
                </c:pt>
                <c:pt idx="51">
                  <c:v>-4.0497417906041591</c:v>
                </c:pt>
                <c:pt idx="52">
                  <c:v>-4.087831231021525</c:v>
                </c:pt>
                <c:pt idx="53">
                  <c:v>-4.0674167257503484</c:v>
                </c:pt>
                <c:pt idx="54">
                  <c:v>-4.0404457686419448</c:v>
                </c:pt>
                <c:pt idx="55">
                  <c:v>-3.9084481654005998</c:v>
                </c:pt>
                <c:pt idx="56">
                  <c:v>-3.8726173121604006</c:v>
                </c:pt>
                <c:pt idx="57">
                  <c:v>-3.6838781023992055</c:v>
                </c:pt>
                <c:pt idx="58">
                  <c:v>-3.8429429227861647</c:v>
                </c:pt>
                <c:pt idx="59">
                  <c:v>-3.7503572849641102</c:v>
                </c:pt>
                <c:pt idx="60">
                  <c:v>-3.9065366149742147</c:v>
                </c:pt>
                <c:pt idx="61">
                  <c:v>-3.9163715512372619</c:v>
                </c:pt>
                <c:pt idx="62">
                  <c:v>-3.9241411060998246</c:v>
                </c:pt>
                <c:pt idx="63">
                  <c:v>-3.7307921117127876</c:v>
                </c:pt>
                <c:pt idx="64">
                  <c:v>-3.6868452613224747</c:v>
                </c:pt>
                <c:pt idx="65">
                  <c:v>-3.5925826494752755</c:v>
                </c:pt>
                <c:pt idx="66">
                  <c:v>-3.6481550584283298</c:v>
                </c:pt>
                <c:pt idx="67">
                  <c:v>-3.6536421081855792</c:v>
                </c:pt>
                <c:pt idx="68">
                  <c:v>-3.6590853827385104</c:v>
                </c:pt>
              </c:numCache>
            </c:numRef>
          </c:yVal>
        </c:ser>
        <c:axId val="63714048"/>
        <c:axId val="63712256"/>
      </c:scatterChart>
      <c:valAx>
        <c:axId val="63714048"/>
        <c:scaling>
          <c:orientation val="minMax"/>
        </c:scaling>
        <c:axPos val="b"/>
        <c:numFmt formatCode="General" sourceLinked="1"/>
        <c:tickLblPos val="nextTo"/>
        <c:crossAx val="63712256"/>
        <c:crosses val="autoZero"/>
        <c:crossBetween val="midCat"/>
      </c:valAx>
      <c:valAx>
        <c:axId val="63712256"/>
        <c:scaling>
          <c:orientation val="minMax"/>
        </c:scaling>
        <c:axPos val="l"/>
        <c:majorGridlines/>
        <c:numFmt formatCode="General" sourceLinked="1"/>
        <c:tickLblPos val="nextTo"/>
        <c:crossAx val="637140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Sheet2!$AO$14</c:f>
              <c:strCache>
                <c:ptCount val="1"/>
                <c:pt idx="0">
                  <c:v>Call price difference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Sheet2!$U$15:$U$49</c:f>
              <c:numCache>
                <c:formatCode>General</c:formatCode>
                <c:ptCount val="35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87.5</c:v>
                </c:pt>
                <c:pt idx="9">
                  <c:v>90</c:v>
                </c:pt>
                <c:pt idx="10">
                  <c:v>92.5</c:v>
                </c:pt>
                <c:pt idx="11">
                  <c:v>95</c:v>
                </c:pt>
                <c:pt idx="12">
                  <c:v>97.5</c:v>
                </c:pt>
                <c:pt idx="13">
                  <c:v>100</c:v>
                </c:pt>
                <c:pt idx="14">
                  <c:v>105</c:v>
                </c:pt>
                <c:pt idx="15">
                  <c:v>110</c:v>
                </c:pt>
                <c:pt idx="16">
                  <c:v>115</c:v>
                </c:pt>
                <c:pt idx="17">
                  <c:v>120</c:v>
                </c:pt>
                <c:pt idx="18">
                  <c:v>125</c:v>
                </c:pt>
                <c:pt idx="19">
                  <c:v>130</c:v>
                </c:pt>
                <c:pt idx="20">
                  <c:v>135</c:v>
                </c:pt>
                <c:pt idx="21">
                  <c:v>140</c:v>
                </c:pt>
                <c:pt idx="22">
                  <c:v>145</c:v>
                </c:pt>
                <c:pt idx="23">
                  <c:v>150</c:v>
                </c:pt>
                <c:pt idx="24">
                  <c:v>155</c:v>
                </c:pt>
                <c:pt idx="25">
                  <c:v>160</c:v>
                </c:pt>
                <c:pt idx="26">
                  <c:v>165</c:v>
                </c:pt>
                <c:pt idx="27">
                  <c:v>170</c:v>
                </c:pt>
                <c:pt idx="28">
                  <c:v>175</c:v>
                </c:pt>
                <c:pt idx="29">
                  <c:v>180</c:v>
                </c:pt>
                <c:pt idx="30">
                  <c:v>185</c:v>
                </c:pt>
                <c:pt idx="31">
                  <c:v>190</c:v>
                </c:pt>
                <c:pt idx="32">
                  <c:v>195</c:v>
                </c:pt>
                <c:pt idx="33">
                  <c:v>200</c:v>
                </c:pt>
                <c:pt idx="34">
                  <c:v>210</c:v>
                </c:pt>
              </c:numCache>
            </c:numRef>
          </c:xVal>
          <c:yVal>
            <c:numRef>
              <c:f>Sheet2!$AO$15:$AO$49</c:f>
              <c:numCache>
                <c:formatCode>General</c:formatCode>
                <c:ptCount val="35"/>
                <c:pt idx="0">
                  <c:v>-0.23300728868797904</c:v>
                </c:pt>
                <c:pt idx="1">
                  <c:v>-0.23030801755677999</c:v>
                </c:pt>
                <c:pt idx="2">
                  <c:v>-0.22760874642345641</c:v>
                </c:pt>
                <c:pt idx="3">
                  <c:v>-0.22490947440303444</c:v>
                </c:pt>
                <c:pt idx="4">
                  <c:v>-0.17221008081245515</c:v>
                </c:pt>
                <c:pt idx="5">
                  <c:v>-0.2195040701233637</c:v>
                </c:pt>
                <c:pt idx="6">
                  <c:v>-6.6631267994466725E-2</c:v>
                </c:pt>
                <c:pt idx="7">
                  <c:v>-0.11156391465481619</c:v>
                </c:pt>
                <c:pt idx="8">
                  <c:v>-0.15491453621427098</c:v>
                </c:pt>
                <c:pt idx="9">
                  <c:v>-0.13992011719397368</c:v>
                </c:pt>
                <c:pt idx="10">
                  <c:v>-0.15717385721388766</c:v>
                </c:pt>
                <c:pt idx="11">
                  <c:v>-0.14064280916811356</c:v>
                </c:pt>
                <c:pt idx="12">
                  <c:v>-0.1661216368272509</c:v>
                </c:pt>
                <c:pt idx="13">
                  <c:v>-0.10116751631968057</c:v>
                </c:pt>
                <c:pt idx="14">
                  <c:v>5.6027922204805236E-2</c:v>
                </c:pt>
                <c:pt idx="15">
                  <c:v>0.22630286779514819</c:v>
                </c:pt>
                <c:pt idx="16">
                  <c:v>0.36340392318646053</c:v>
                </c:pt>
                <c:pt idx="17">
                  <c:v>0.31016356052468885</c:v>
                </c:pt>
                <c:pt idx="18">
                  <c:v>0.17101692573515542</c:v>
                </c:pt>
                <c:pt idx="19">
                  <c:v>4.878319584008789E-2</c:v>
                </c:pt>
                <c:pt idx="20">
                  <c:v>-1.59601838233491E-2</c:v>
                </c:pt>
                <c:pt idx="21">
                  <c:v>-2.317935632409758E-2</c:v>
                </c:pt>
                <c:pt idx="22">
                  <c:v>-2.2181159916689314E-2</c:v>
                </c:pt>
                <c:pt idx="23">
                  <c:v>-7.9024543791960302E-3</c:v>
                </c:pt>
                <c:pt idx="24">
                  <c:v>-9.4784598673368723E-3</c:v>
                </c:pt>
                <c:pt idx="25">
                  <c:v>-2.987898978325897E-2</c:v>
                </c:pt>
                <c:pt idx="26">
                  <c:v>-2.9973632286697267E-2</c:v>
                </c:pt>
                <c:pt idx="27">
                  <c:v>-2.999457259957191E-2</c:v>
                </c:pt>
                <c:pt idx="28">
                  <c:v>-2.9998938880199701E-2</c:v>
                </c:pt>
                <c:pt idx="29">
                  <c:v>-2.9999802007867019E-2</c:v>
                </c:pt>
                <c:pt idx="30">
                  <c:v>-2.9999964575412642E-2</c:v>
                </c:pt>
                <c:pt idx="31">
                  <c:v>-2.9999993897596156E-2</c:v>
                </c:pt>
                <c:pt idx="32">
                  <c:v>-2.9999998984044263E-2</c:v>
                </c:pt>
                <c:pt idx="33">
                  <c:v>-2.9999999835971312E-2</c:v>
                </c:pt>
                <c:pt idx="34">
                  <c:v>-2.9999999996052257E-2</c:v>
                </c:pt>
              </c:numCache>
            </c:numRef>
          </c:yVal>
        </c:ser>
        <c:axId val="63831424"/>
        <c:axId val="63829888"/>
      </c:scatterChart>
      <c:valAx>
        <c:axId val="63831424"/>
        <c:scaling>
          <c:orientation val="minMax"/>
        </c:scaling>
        <c:axPos val="b"/>
        <c:numFmt formatCode="General" sourceLinked="1"/>
        <c:tickLblPos val="nextTo"/>
        <c:crossAx val="63829888"/>
        <c:crosses val="autoZero"/>
        <c:crossBetween val="midCat"/>
      </c:valAx>
      <c:valAx>
        <c:axId val="63829888"/>
        <c:scaling>
          <c:orientation val="minMax"/>
        </c:scaling>
        <c:axPos val="l"/>
        <c:majorGridlines/>
        <c:numFmt formatCode="General" sourceLinked="1"/>
        <c:tickLblPos val="nextTo"/>
        <c:crossAx val="638314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Sheet2!$AV$14</c:f>
              <c:strCache>
                <c:ptCount val="1"/>
                <c:pt idx="0">
                  <c:v>Put price difference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Sheet2!$U$15:$U$49</c:f>
              <c:numCache>
                <c:formatCode>General</c:formatCode>
                <c:ptCount val="35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87.5</c:v>
                </c:pt>
                <c:pt idx="9">
                  <c:v>90</c:v>
                </c:pt>
                <c:pt idx="10">
                  <c:v>92.5</c:v>
                </c:pt>
                <c:pt idx="11">
                  <c:v>95</c:v>
                </c:pt>
                <c:pt idx="12">
                  <c:v>97.5</c:v>
                </c:pt>
                <c:pt idx="13">
                  <c:v>100</c:v>
                </c:pt>
                <c:pt idx="14">
                  <c:v>105</c:v>
                </c:pt>
                <c:pt idx="15">
                  <c:v>110</c:v>
                </c:pt>
                <c:pt idx="16">
                  <c:v>115</c:v>
                </c:pt>
                <c:pt idx="17">
                  <c:v>120</c:v>
                </c:pt>
                <c:pt idx="18">
                  <c:v>125</c:v>
                </c:pt>
                <c:pt idx="19">
                  <c:v>130</c:v>
                </c:pt>
                <c:pt idx="20">
                  <c:v>135</c:v>
                </c:pt>
                <c:pt idx="21">
                  <c:v>140</c:v>
                </c:pt>
                <c:pt idx="22">
                  <c:v>145</c:v>
                </c:pt>
                <c:pt idx="23">
                  <c:v>150</c:v>
                </c:pt>
                <c:pt idx="24">
                  <c:v>155</c:v>
                </c:pt>
                <c:pt idx="25">
                  <c:v>160</c:v>
                </c:pt>
                <c:pt idx="26">
                  <c:v>165</c:v>
                </c:pt>
                <c:pt idx="27">
                  <c:v>170</c:v>
                </c:pt>
                <c:pt idx="28">
                  <c:v>175</c:v>
                </c:pt>
                <c:pt idx="29">
                  <c:v>180</c:v>
                </c:pt>
                <c:pt idx="30">
                  <c:v>185</c:v>
                </c:pt>
                <c:pt idx="31">
                  <c:v>190</c:v>
                </c:pt>
                <c:pt idx="32">
                  <c:v>195</c:v>
                </c:pt>
                <c:pt idx="33">
                  <c:v>200</c:v>
                </c:pt>
                <c:pt idx="34">
                  <c:v>210</c:v>
                </c:pt>
              </c:numCache>
            </c:numRef>
          </c:xVal>
          <c:yVal>
            <c:numRef>
              <c:f>Sheet2!$AV$15:$AV$49</c:f>
              <c:numCache>
                <c:formatCode>General</c:formatCode>
                <c:ptCount val="35"/>
                <c:pt idx="0">
                  <c:v>-0.01</c:v>
                </c:pt>
                <c:pt idx="1">
                  <c:v>-9.9999999999987529E-3</c:v>
                </c:pt>
                <c:pt idx="2">
                  <c:v>-9.9999999978924742E-3</c:v>
                </c:pt>
                <c:pt idx="3">
                  <c:v>-9.9999991086598995E-3</c:v>
                </c:pt>
                <c:pt idx="4">
                  <c:v>-3.9999876649280064E-2</c:v>
                </c:pt>
                <c:pt idx="5">
                  <c:v>-3.9993137091396389E-2</c:v>
                </c:pt>
                <c:pt idx="6">
                  <c:v>-5.9819606093712535E-2</c:v>
                </c:pt>
                <c:pt idx="7">
                  <c:v>-0.1074515238852346</c:v>
                </c:pt>
                <c:pt idx="8">
                  <c:v>-0.14215178101031581</c:v>
                </c:pt>
                <c:pt idx="9">
                  <c:v>-0.168506997555607</c:v>
                </c:pt>
                <c:pt idx="10">
                  <c:v>-0.20711037314112746</c:v>
                </c:pt>
                <c:pt idx="11">
                  <c:v>-0.24192896066096525</c:v>
                </c:pt>
                <c:pt idx="12">
                  <c:v>-0.26875742388569113</c:v>
                </c:pt>
                <c:pt idx="13">
                  <c:v>-0.2851529389437244</c:v>
                </c:pt>
                <c:pt idx="14">
                  <c:v>-0.25065677155042598</c:v>
                </c:pt>
                <c:pt idx="15">
                  <c:v>-0.22308109709129997</c:v>
                </c:pt>
                <c:pt idx="16">
                  <c:v>-0.18867931283118633</c:v>
                </c:pt>
                <c:pt idx="17">
                  <c:v>-0.25461894662417173</c:v>
                </c:pt>
                <c:pt idx="18">
                  <c:v>-0.54646485254490962</c:v>
                </c:pt>
                <c:pt idx="19">
                  <c:v>-0.67139785357117177</c:v>
                </c:pt>
                <c:pt idx="20">
                  <c:v>-0.72884050436580949</c:v>
                </c:pt>
                <c:pt idx="21">
                  <c:v>-0.78875894799775281</c:v>
                </c:pt>
                <c:pt idx="22">
                  <c:v>-0.81046002272155704</c:v>
                </c:pt>
                <c:pt idx="23">
                  <c:v>-0.76888058831526962</c:v>
                </c:pt>
                <c:pt idx="24">
                  <c:v>-0.77315586493460842</c:v>
                </c:pt>
                <c:pt idx="25">
                  <c:v>-0.77625566598173634</c:v>
                </c:pt>
                <c:pt idx="26">
                  <c:v>-0.77904957961638388</c:v>
                </c:pt>
                <c:pt idx="27">
                  <c:v>-0.78176979106044087</c:v>
                </c:pt>
                <c:pt idx="28">
                  <c:v>-0.78447342847226764</c:v>
                </c:pt>
                <c:pt idx="29">
                  <c:v>-0.78717356273114092</c:v>
                </c:pt>
                <c:pt idx="30">
                  <c:v>-0.78987299642989228</c:v>
                </c:pt>
                <c:pt idx="31">
                  <c:v>-0.79257229688327868</c:v>
                </c:pt>
                <c:pt idx="32">
                  <c:v>-0.79527157310093344</c:v>
                </c:pt>
                <c:pt idx="33">
                  <c:v>-0.79797084508409455</c:v>
                </c:pt>
                <c:pt idx="34">
                  <c:v>-0.8033693875065353</c:v>
                </c:pt>
              </c:numCache>
            </c:numRef>
          </c:yVal>
        </c:ser>
        <c:axId val="136763264"/>
        <c:axId val="136761728"/>
      </c:scatterChart>
      <c:valAx>
        <c:axId val="136763264"/>
        <c:scaling>
          <c:orientation val="minMax"/>
        </c:scaling>
        <c:axPos val="b"/>
        <c:numFmt formatCode="General" sourceLinked="1"/>
        <c:tickLblPos val="nextTo"/>
        <c:crossAx val="136761728"/>
        <c:crosses val="autoZero"/>
        <c:crossBetween val="midCat"/>
      </c:valAx>
      <c:valAx>
        <c:axId val="136761728"/>
        <c:scaling>
          <c:orientation val="minMax"/>
        </c:scaling>
        <c:axPos val="l"/>
        <c:majorGridlines/>
        <c:numFmt formatCode="General" sourceLinked="1"/>
        <c:tickLblPos val="nextTo"/>
        <c:crossAx val="1367632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352425</xdr:colOff>
      <xdr:row>84</xdr:row>
      <xdr:rowOff>57149</xdr:rowOff>
    </xdr:from>
    <xdr:to>
      <xdr:col>32</xdr:col>
      <xdr:colOff>333375</xdr:colOff>
      <xdr:row>109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428625</xdr:colOff>
      <xdr:row>84</xdr:row>
      <xdr:rowOff>47625</xdr:rowOff>
    </xdr:from>
    <xdr:to>
      <xdr:col>45</xdr:col>
      <xdr:colOff>161925</xdr:colOff>
      <xdr:row>110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142875</xdr:colOff>
      <xdr:row>50</xdr:row>
      <xdr:rowOff>28575</xdr:rowOff>
    </xdr:from>
    <xdr:to>
      <xdr:col>30</xdr:col>
      <xdr:colOff>447675</xdr:colOff>
      <xdr:row>64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600075</xdr:colOff>
      <xdr:row>50</xdr:row>
      <xdr:rowOff>57150</xdr:rowOff>
    </xdr:from>
    <xdr:to>
      <xdr:col>38</xdr:col>
      <xdr:colOff>295275</xdr:colOff>
      <xdr:row>64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88"/>
  <sheetViews>
    <sheetView tabSelected="1" topLeftCell="O82" workbookViewId="0">
      <selection activeCell="U80" sqref="U80"/>
    </sheetView>
  </sheetViews>
  <sheetFormatPr defaultRowHeight="15"/>
  <cols>
    <col min="41" max="41" width="20.85546875" customWidth="1"/>
  </cols>
  <sheetData>
    <row r="1" spans="1:53">
      <c r="A1" t="s">
        <v>0</v>
      </c>
    </row>
    <row r="2" spans="1:53">
      <c r="A2" t="s">
        <v>1</v>
      </c>
    </row>
    <row r="3" spans="1:53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</row>
    <row r="4" spans="1:53">
      <c r="A4">
        <f>RTD("tos.rtd", , "LAST", "TSLA")</f>
        <v>254.3</v>
      </c>
      <c r="B4" t="str">
        <f>RTD("tos.rtd", , "LX", "TSLA")</f>
        <v>D</v>
      </c>
      <c r="C4">
        <f>RTD("tos.rtd", , "NET_CHANGE", "TSLA")</f>
        <v>6.48</v>
      </c>
      <c r="D4">
        <f>RTD("tos.rtd", , "BID", "TSLA")</f>
        <v>254.28</v>
      </c>
      <c r="E4" t="str">
        <f>RTD("tos.rtd", , "BX", "TSLA")</f>
        <v>Y</v>
      </c>
      <c r="F4">
        <f>RTD("tos.rtd", , "ASK", "TSLA")</f>
        <v>254.46</v>
      </c>
      <c r="G4" t="str">
        <f>RTD("tos.rtd", , "AX", "TSLA")</f>
        <v>K</v>
      </c>
      <c r="H4" t="str">
        <f>RTD("tos.rtd", , "BA_SIZE", "TSLA")</f>
        <v>1 x 2</v>
      </c>
      <c r="I4">
        <f>RTD("tos.rtd", , "VOLUME", "TSLA")</f>
        <v>4091123</v>
      </c>
      <c r="J4">
        <f>RTD("tos.rtd", , "OPEN", "TSLA")</f>
        <v>248.51</v>
      </c>
      <c r="K4">
        <f>RTD("tos.rtd", , "HIGH", "TSLA")</f>
        <v>254.8</v>
      </c>
      <c r="L4">
        <f>RTD("tos.rtd", , "LOW", "TSLA")</f>
        <v>247.33</v>
      </c>
    </row>
    <row r="5" spans="1:53">
      <c r="A5" t="s">
        <v>14</v>
      </c>
    </row>
    <row r="6" spans="1:53">
      <c r="A6" t="s">
        <v>15</v>
      </c>
      <c r="B6" t="s">
        <v>16</v>
      </c>
      <c r="C6" t="s">
        <v>17</v>
      </c>
      <c r="D6" t="s">
        <v>18</v>
      </c>
      <c r="E6" t="s">
        <v>19</v>
      </c>
      <c r="F6" t="s">
        <v>20</v>
      </c>
      <c r="G6" t="s">
        <v>21</v>
      </c>
      <c r="H6" t="s">
        <v>22</v>
      </c>
      <c r="I6" t="s">
        <v>23</v>
      </c>
      <c r="J6" t="s">
        <v>24</v>
      </c>
    </row>
    <row r="7" spans="1:53">
      <c r="A7" t="str">
        <f>RTD("tos.rtd", , "YIELD", "TSLA")</f>
        <v>N/A</v>
      </c>
      <c r="B7">
        <f>RTD("tos.rtd", , "PE", "TSLA")</f>
        <v>-36.700000000000003</v>
      </c>
      <c r="C7">
        <f>RTD("tos.rtd", , "EPS", "TSLA")</f>
        <v>-6.93</v>
      </c>
      <c r="D7" t="str">
        <f>RTD("tos.rtd", , "DIV", "TSLA")</f>
        <v>N/A</v>
      </c>
      <c r="E7" t="s">
        <v>25</v>
      </c>
      <c r="F7" t="str">
        <f>RTD("tos.rtd", , "EX_DIV_DATE", "TSLA")</f>
        <v>N/A</v>
      </c>
      <c r="G7">
        <f>RTD("tos.rtd", , "52HIGH", "TSLA")</f>
        <v>286.64999999999998</v>
      </c>
      <c r="H7">
        <f>RTD("tos.rtd", , "52LOW", "TSLA")</f>
        <v>141.05000000000001</v>
      </c>
      <c r="I7">
        <f>RTD("tos.rtd", , "SHARES", "TSLA")</f>
        <v>132056337</v>
      </c>
      <c r="J7">
        <f>RTD("tos.rtd", , "STOCK_BETA", "TSLA")</f>
        <v>1.306</v>
      </c>
    </row>
    <row r="8" spans="1:53">
      <c r="A8" t="s">
        <v>26</v>
      </c>
    </row>
    <row r="9" spans="1:53">
      <c r="A9" t="s">
        <v>27</v>
      </c>
    </row>
    <row r="10" spans="1:53">
      <c r="A10" t="s">
        <v>28</v>
      </c>
    </row>
    <row r="11" spans="1:53">
      <c r="A11" t="s">
        <v>29</v>
      </c>
    </row>
    <row r="12" spans="1:53">
      <c r="A12" t="s">
        <v>30</v>
      </c>
    </row>
    <row r="13" spans="1:53">
      <c r="A13" t="s">
        <v>31</v>
      </c>
    </row>
    <row r="14" spans="1:53" ht="18.75">
      <c r="C14" t="s">
        <v>32</v>
      </c>
      <c r="D14" t="s">
        <v>33</v>
      </c>
      <c r="E14" t="s">
        <v>34</v>
      </c>
      <c r="F14" t="s">
        <v>5</v>
      </c>
      <c r="G14" t="s">
        <v>6</v>
      </c>
      <c r="H14" t="s">
        <v>7</v>
      </c>
      <c r="I14" t="s">
        <v>8</v>
      </c>
      <c r="J14" t="s">
        <v>35</v>
      </c>
      <c r="K14" t="s">
        <v>36</v>
      </c>
      <c r="L14" t="s">
        <v>5</v>
      </c>
      <c r="M14" t="s">
        <v>6</v>
      </c>
      <c r="N14" t="s">
        <v>7</v>
      </c>
      <c r="O14" t="s">
        <v>8</v>
      </c>
      <c r="P14" t="s">
        <v>32</v>
      </c>
      <c r="Q14" t="s">
        <v>33</v>
      </c>
      <c r="R14" t="s">
        <v>34</v>
      </c>
      <c r="T14" t="s">
        <v>42</v>
      </c>
      <c r="U14" t="s">
        <v>36</v>
      </c>
      <c r="V14" t="s">
        <v>43</v>
      </c>
      <c r="W14" t="s">
        <v>44</v>
      </c>
      <c r="X14" t="s">
        <v>45</v>
      </c>
      <c r="Y14" t="s">
        <v>46</v>
      </c>
      <c r="Z14" t="s">
        <v>47</v>
      </c>
      <c r="AA14" t="s">
        <v>48</v>
      </c>
      <c r="AB14" t="s">
        <v>49</v>
      </c>
      <c r="AC14" t="s">
        <v>50</v>
      </c>
      <c r="AD14" t="s">
        <v>51</v>
      </c>
      <c r="AE14" t="s">
        <v>52</v>
      </c>
      <c r="AF14" t="s">
        <v>53</v>
      </c>
      <c r="AG14" t="s">
        <v>54</v>
      </c>
      <c r="AH14" t="s">
        <v>55</v>
      </c>
      <c r="AI14" t="s">
        <v>56</v>
      </c>
      <c r="AJ14" t="s">
        <v>57</v>
      </c>
      <c r="AK14" t="s">
        <v>58</v>
      </c>
      <c r="AL14" t="s">
        <v>59</v>
      </c>
      <c r="AM14" t="s">
        <v>60</v>
      </c>
      <c r="AN14" t="s">
        <v>61</v>
      </c>
      <c r="AO14" t="s">
        <v>73</v>
      </c>
      <c r="AP14" t="s">
        <v>62</v>
      </c>
      <c r="AQ14" t="s">
        <v>63</v>
      </c>
      <c r="AR14" t="s">
        <v>64</v>
      </c>
      <c r="AS14" t="s">
        <v>65</v>
      </c>
      <c r="AT14" t="s">
        <v>66</v>
      </c>
      <c r="AU14" t="s">
        <v>67</v>
      </c>
      <c r="AV14" t="s">
        <v>74</v>
      </c>
      <c r="AW14" t="s">
        <v>68</v>
      </c>
      <c r="AX14" t="s">
        <v>69</v>
      </c>
      <c r="AY14" t="s">
        <v>70</v>
      </c>
      <c r="AZ14" t="s">
        <v>71</v>
      </c>
      <c r="BA14" t="s">
        <v>72</v>
      </c>
    </row>
    <row r="15" spans="1:53">
      <c r="C15" t="str">
        <f>RTD("tos.rtd", , "IMPL_VOL", ".TSLA160520C100")</f>
        <v>0.00%</v>
      </c>
      <c r="D15" t="str">
        <f>RTD("tos.rtd", , "PROB_OTM", ".TSLA160520C100")</f>
        <v>0.00%</v>
      </c>
      <c r="E15">
        <f>RTD("tos.rtd", , "DELTA", ".TSLA160520C100")</f>
        <v>1</v>
      </c>
      <c r="F15">
        <f>RTD("tos.rtd", , "BID", ".TSLA160520C100")</f>
        <v>152.85</v>
      </c>
      <c r="G15" t="str">
        <f>RTD("tos.rtd", , "BX", ".TSLA160520C100")</f>
        <v>H</v>
      </c>
      <c r="H15">
        <f>RTD("tos.rtd", , "ASK", ".TSLA160520C100")</f>
        <v>155.80000000000001</v>
      </c>
      <c r="I15" t="str">
        <f>RTD("tos.rtd", , "AX", ".TSLA160520C100")</f>
        <v>X</v>
      </c>
      <c r="J15" t="str">
        <f>RTD("tos.rtd", , "EXPIRATION_DAY", ".TSLA160520C100")</f>
        <v>2016-05-21</v>
      </c>
      <c r="K15">
        <f>RTD("tos.rtd", , "STRIKE", ".TSLA160520C100")</f>
        <v>100</v>
      </c>
      <c r="L15">
        <f>RTD("tos.rtd", , "BID", ".TSLA160520P100")</f>
        <v>7.0000000000000007E-2</v>
      </c>
      <c r="M15" t="str">
        <f>RTD("tos.rtd", , "BX", ".TSLA160520P100")</f>
        <v>Z</v>
      </c>
      <c r="N15">
        <f>RTD("tos.rtd", , "ASK", ".TSLA160520P100")</f>
        <v>0.11</v>
      </c>
      <c r="O15" t="str">
        <f>RTD("tos.rtd", , "AX", ".TSLA160520P100")</f>
        <v>Z</v>
      </c>
      <c r="P15" t="str">
        <f>RTD("tos.rtd", , "IMPL_VOL", ".TSLA160520P100")</f>
        <v>112.44%</v>
      </c>
      <c r="Q15" t="str">
        <f>RTD("tos.rtd", , "PROB_OTM", ".TSLA160520P100")</f>
        <v>99.17%</v>
      </c>
      <c r="R15">
        <f>RTD("tos.rtd", , "DELTA", ".TSLA160520P100")</f>
        <v>0</v>
      </c>
      <c r="T15">
        <f>$A$4</f>
        <v>254.3</v>
      </c>
      <c r="U15">
        <f>K15</f>
        <v>100</v>
      </c>
      <c r="V15" s="1">
        <v>0.43430000000000002</v>
      </c>
      <c r="W15" s="1">
        <v>0</v>
      </c>
      <c r="X15" s="1">
        <v>0</v>
      </c>
      <c r="Y15" s="2">
        <v>27</v>
      </c>
      <c r="Z15" s="1">
        <f>Y15/250</f>
        <v>0.108</v>
      </c>
      <c r="AA15" s="3">
        <f>LN(T15/U15)</f>
        <v>0.93334448643998269</v>
      </c>
      <c r="AB15" s="3">
        <f>(W15-X15+POWER(V15,2)/2)*Z15</f>
        <v>1.0185290460000001E-2</v>
      </c>
      <c r="AC15" s="3">
        <f>V15*SQRT(Z15)</f>
        <v>0.1427255440346962</v>
      </c>
      <c r="AD15" s="3">
        <f>(AA15+AB15)/AC15</f>
        <v>6.6107982511568721</v>
      </c>
      <c r="AE15" s="3">
        <f>AD15-AC15</f>
        <v>6.4680727071221762</v>
      </c>
      <c r="AF15">
        <f>NORMDIST(AD15,0,1,TRUE)</f>
        <v>0.99999999998088729</v>
      </c>
      <c r="AG15">
        <f>NORMDIST(-1*AD15,0,1,TRUE)</f>
        <v>1.9112657181221053E-11</v>
      </c>
      <c r="AH15">
        <f>NORMDIST(AE15,0,1,TRUE)</f>
        <v>0.99999999995036959</v>
      </c>
      <c r="AI15">
        <f>NORMDIST(-1*AE15,0,1,TRUE)</f>
        <v>4.9630369589418306E-11</v>
      </c>
      <c r="AJ15">
        <f>EXP(-W15*Z15)</f>
        <v>1</v>
      </c>
      <c r="AK15">
        <f>U15*AJ15</f>
        <v>100</v>
      </c>
      <c r="AL15">
        <f>EXP(-X15*Z15)</f>
        <v>1</v>
      </c>
      <c r="AM15">
        <f>T15*AL15</f>
        <v>254.3</v>
      </c>
      <c r="AN15">
        <f>AM15*AF15-AK15*AH15</f>
        <v>154.30000000010267</v>
      </c>
      <c r="AO15">
        <f>AN15-H15</f>
        <v>-1.4999999998973408</v>
      </c>
      <c r="AP15">
        <f>AL15*AF15</f>
        <v>0.99999999998088729</v>
      </c>
      <c r="AQ15">
        <f>EXP(-1*POWER(AD15,2)/2)/SQRT(2*PI())*AL15/(T15*AC15)</f>
        <v>3.5575528859564002E-12</v>
      </c>
      <c r="AR15">
        <f>(-(T15*EXP(-1*POWER(AD15,2)/2)/SQRT(2*PI())*V15*AL15/ (2*SQRT(Z15)))-(W15*AK15*AH15)+(X15*T15*AF15*AL15))/ 251</f>
        <v>-8.6441048658385941E-11</v>
      </c>
      <c r="AS15">
        <f>EXP(-1*POWER(AD15,2)/2)/SQRT(2*PI())*AL15*T15*SQRT(Z15)/100</f>
        <v>1.0790900055406523E-10</v>
      </c>
      <c r="AT15">
        <f>U15*Z15*AJ15*AH15/100</f>
        <v>0.10799999999463993</v>
      </c>
      <c r="AU15">
        <f>AK15*AI15-AM15*AG15</f>
        <v>1.026882377573167E-10</v>
      </c>
      <c r="AV15">
        <f>AU15-N15</f>
        <v>-0.10999999989731177</v>
      </c>
      <c r="AW15">
        <f>AL15*(AF15-1)</f>
        <v>-1.9112711413526995E-11</v>
      </c>
      <c r="AX15">
        <f>EXP(-1*POWER(AD15,2)/2)/SQRT(2*PI())*AL15/(T15*AC15)</f>
        <v>3.5575528859564002E-12</v>
      </c>
      <c r="AY15">
        <f>(-(T15*EXP(-1*POWER(AD15,2)/2)/SQRT(2*PI())*V15*AL15/ (2*SQRT(Z15)))+(W15*AK15*AI15)-(X15*T15*AG15*AL15))/251</f>
        <v>-8.6441048658385941E-11</v>
      </c>
      <c r="AZ15">
        <f>EXP(-1*POWER(AD15,2)/2)/SQRT(2*PI())*AL15*T15*SQRT(Z15)/100</f>
        <v>1.0790900055406523E-10</v>
      </c>
      <c r="BA15">
        <f>-U15*Z15*AJ15*AI15/100</f>
        <v>-5.3600799156571766E-12</v>
      </c>
    </row>
    <row r="16" spans="1:53">
      <c r="C16" t="str">
        <f>RTD("tos.rtd", , "IMPL_VOL", ".TSLA160520C105")</f>
        <v>0.00%</v>
      </c>
      <c r="D16" t="str">
        <f>RTD("tos.rtd", , "PROB_OTM", ".TSLA160520C105")</f>
        <v>0.00%</v>
      </c>
      <c r="E16">
        <f>RTD("tos.rtd", , "DELTA", ".TSLA160520C105")</f>
        <v>1</v>
      </c>
      <c r="F16">
        <f>RTD("tos.rtd", , "BID", ".TSLA160520C105")</f>
        <v>147.85</v>
      </c>
      <c r="G16" t="str">
        <f>RTD("tos.rtd", , "BX", ".TSLA160520C105")</f>
        <v>H</v>
      </c>
      <c r="H16">
        <f>RTD("tos.rtd", , "ASK", ".TSLA160520C105")</f>
        <v>150.80000000000001</v>
      </c>
      <c r="I16" t="str">
        <f>RTD("tos.rtd", , "AX", ".TSLA160520C105")</f>
        <v>X</v>
      </c>
      <c r="J16" t="str">
        <f>RTD("tos.rtd", , "EXPIRATION_DAY", ".TSLA160520C105")</f>
        <v>2016-05-21</v>
      </c>
      <c r="K16">
        <f>RTD("tos.rtd", , "STRIKE", ".TSLA160520C105")</f>
        <v>105</v>
      </c>
      <c r="L16">
        <f>RTD("tos.rtd", , "BID", ".TSLA160520P105")</f>
        <v>0</v>
      </c>
      <c r="M16" t="str">
        <f>RTD("tos.rtd", , "BX", ".TSLA160520P105")</f>
        <v>W</v>
      </c>
      <c r="N16">
        <f>RTD("tos.rtd", , "ASK", ".TSLA160520P105")</f>
        <v>0.37</v>
      </c>
      <c r="O16" t="str">
        <f>RTD("tos.rtd", , "AX", ".TSLA160520P105")</f>
        <v>T</v>
      </c>
      <c r="P16" t="str">
        <f>RTD("tos.rtd", , "IMPL_VOL", ".TSLA160520P105")</f>
        <v>116.26%</v>
      </c>
      <c r="Q16" t="str">
        <f>RTD("tos.rtd", , "PROB_OTM", ".TSLA160520P105")</f>
        <v>98.51%</v>
      </c>
      <c r="R16">
        <f>RTD("tos.rtd", , "DELTA", ".TSLA160520P105")</f>
        <v>-0.01</v>
      </c>
      <c r="T16">
        <f t="shared" ref="T16:T79" si="0">$A$4</f>
        <v>254.3</v>
      </c>
      <c r="U16">
        <f t="shared" ref="U16:U79" si="1">K16</f>
        <v>105</v>
      </c>
      <c r="V16" s="1">
        <v>0.43430000000000002</v>
      </c>
      <c r="W16" s="1">
        <v>5.0000000000000001E-3</v>
      </c>
      <c r="X16" s="1">
        <v>0</v>
      </c>
      <c r="Y16" s="2">
        <v>27</v>
      </c>
      <c r="Z16" s="1">
        <f t="shared" ref="Z16:Z79" si="2">Y16/250</f>
        <v>0.108</v>
      </c>
      <c r="AA16" s="3">
        <f t="shared" ref="AA16:AA79" si="3">LN(T16/U16)</f>
        <v>0.88455432227055064</v>
      </c>
      <c r="AB16" s="3">
        <f t="shared" ref="AB16:AB79" si="4">(W16-X16+POWER(V16,2)/2)*Z16</f>
        <v>1.0725290460000002E-2</v>
      </c>
      <c r="AC16" s="3">
        <f t="shared" ref="AC16:AC79" si="5">V16*SQRT(Z16)</f>
        <v>0.1427255440346962</v>
      </c>
      <c r="AD16" s="3">
        <f t="shared" ref="AD16:AD79" si="6">(AA16+AB16)/AC16</f>
        <v>6.2727356815183031</v>
      </c>
      <c r="AE16" s="3">
        <f t="shared" ref="AE16:AE79" si="7">AD16-AC16</f>
        <v>6.1300101374836071</v>
      </c>
      <c r="AF16">
        <f t="shared" ref="AF16:AF79" si="8">NORMDIST(AD16,0,1,TRUE)</f>
        <v>0.99999999982262056</v>
      </c>
      <c r="AG16">
        <f t="shared" ref="AG16:AG79" si="9">NORMDIST(-1*AD16,0,1,TRUE)</f>
        <v>1.7737943432916888E-10</v>
      </c>
      <c r="AH16">
        <f t="shared" ref="AH16:AH79" si="10">NORMDIST(AE16,0,1,TRUE)</f>
        <v>0.99999999956063268</v>
      </c>
      <c r="AI16">
        <f t="shared" ref="AI16:AI79" si="11">NORMDIST(-1*AE16,0,1,TRUE)</f>
        <v>4.3936736803172913E-10</v>
      </c>
      <c r="AJ16">
        <f t="shared" ref="AJ16:AJ79" si="12">EXP(-W16*Z16)</f>
        <v>0.99946014577375952</v>
      </c>
      <c r="AK16">
        <f t="shared" ref="AK16:AK79" si="13">U16*AJ16</f>
        <v>104.94331530624476</v>
      </c>
      <c r="AL16">
        <f t="shared" ref="AL16:AL79" si="14">EXP(-X16*Z16)</f>
        <v>1</v>
      </c>
      <c r="AM16">
        <f t="shared" ref="AM16:AM79" si="15">T16*AL16</f>
        <v>254.3</v>
      </c>
      <c r="AN16">
        <f t="shared" ref="AN16:AN79" si="16">AM16*AF16-AK16*AH16</f>
        <v>149.35668469475632</v>
      </c>
      <c r="AO16">
        <f t="shared" ref="AO16:AO79" si="17">AN16-H16</f>
        <v>-1.4433153052436865</v>
      </c>
      <c r="AP16">
        <f t="shared" ref="AP16:AP79" si="18">AL16*AF16</f>
        <v>0.99999999982262056</v>
      </c>
      <c r="AQ16">
        <f t="shared" ref="AQ16:AQ79" si="19">EXP(-1*POWER(AD16,2)/2)/SQRT(2*PI())*AL16/(T16*AC16)</f>
        <v>3.1399538977766175E-11</v>
      </c>
      <c r="AR16">
        <f t="shared" ref="AR16:AR79" si="20">(-(T16*EXP(-1*POWER(AD16,2)/2)/SQRT(2*PI())*V16*AL16/ (2*SQRT(Z16)))-(W16*AK16*AH16)+(X16*T16*AF16*AL16))/ 251</f>
        <v>-2.0905050509932403E-3</v>
      </c>
      <c r="AS16">
        <f t="shared" ref="AS16:AS79" si="21">EXP(-1*POWER(AD16,2)/2)/SQRT(2*PI())*AL16*T16*SQRT(Z16)/100</f>
        <v>9.5242234692408963E-10</v>
      </c>
      <c r="AT16">
        <f t="shared" ref="AT16:AT79" si="22">U16*Z16*AJ16*AH16/100</f>
        <v>0.11333878048094696</v>
      </c>
      <c r="AU16">
        <f t="shared" ref="AU16:AU79" si="23">AK16*AI16-AM16*AG16</f>
        <v>1.001078088720979E-9</v>
      </c>
      <c r="AV16">
        <f t="shared" ref="AV16:AV79" si="24">AU16-N16</f>
        <v>-0.36999999899892189</v>
      </c>
      <c r="AW16">
        <f t="shared" ref="AW16:AW79" si="25">AL16*(AF16-1)</f>
        <v>-1.7737944446594156E-10</v>
      </c>
      <c r="AX16">
        <f t="shared" ref="AX16:AX79" si="26">EXP(-1*POWER(AD16,2)/2)/SQRT(2*PI())*AL16/(T16*AC16)</f>
        <v>3.1399538977766175E-11</v>
      </c>
      <c r="AY16">
        <f t="shared" ref="AY16:AY79" si="27">(-(T16*EXP(-1*POWER(AD16,2)/2)/SQRT(2*PI())*V16*AL16/ (2*SQRT(Z16)))+(W16*AK16*AI16)-(X16*T16*AG16*AL16))/251</f>
        <v>-7.6202422099039948E-10</v>
      </c>
      <c r="AZ16">
        <f t="shared" ref="AZ16:AZ79" si="28">EXP(-1*POWER(AD16,2)/2)/SQRT(2*PI())*AL16*T16*SQRT(Z16)/100</f>
        <v>9.5242234692408963E-10</v>
      </c>
      <c r="BA16">
        <f t="shared" ref="BA16:BA79" si="29">-U16*Z16*AJ16*AI16/100</f>
        <v>-4.9797361697718911E-11</v>
      </c>
    </row>
    <row r="17" spans="3:53">
      <c r="C17" t="str">
        <f>RTD("tos.rtd", , "IMPL_VOL", ".TSLA160520C110")</f>
        <v>98.55%</v>
      </c>
      <c r="D17" t="str">
        <f>RTD("tos.rtd", , "PROB_OTM", ".TSLA160520C110")</f>
        <v>0.66%</v>
      </c>
      <c r="E17">
        <f>RTD("tos.rtd", , "DELTA", ".TSLA160520C110")</f>
        <v>1</v>
      </c>
      <c r="F17">
        <f>RTD("tos.rtd", , "BID", ".TSLA160520C110")</f>
        <v>142.85</v>
      </c>
      <c r="G17" t="str">
        <f>RTD("tos.rtd", , "BX", ".TSLA160520C110")</f>
        <v>I</v>
      </c>
      <c r="H17">
        <f>RTD("tos.rtd", , "ASK", ".TSLA160520C110")</f>
        <v>146</v>
      </c>
      <c r="I17" t="str">
        <f>RTD("tos.rtd", , "AX", ".TSLA160520C110")</f>
        <v>X</v>
      </c>
      <c r="J17" t="str">
        <f>RTD("tos.rtd", , "EXPIRATION_DAY", ".TSLA160520C110")</f>
        <v>2016-05-21</v>
      </c>
      <c r="K17">
        <f>RTD("tos.rtd", , "STRIKE", ".TSLA160520C110")</f>
        <v>110</v>
      </c>
      <c r="L17">
        <f>RTD("tos.rtd", , "BID", ".TSLA160520P110")</f>
        <v>0</v>
      </c>
      <c r="M17" t="str">
        <f>RTD("tos.rtd", , "BX", ".TSLA160520P110")</f>
        <v>Q</v>
      </c>
      <c r="N17">
        <f>RTD("tos.rtd", , "ASK", ".TSLA160520P110")</f>
        <v>0.48</v>
      </c>
      <c r="O17" t="str">
        <f>RTD("tos.rtd", , "AX", ".TSLA160520P110")</f>
        <v>A</v>
      </c>
      <c r="P17" t="str">
        <f>RTD("tos.rtd", , "IMPL_VOL", ".TSLA160520P110")</f>
        <v>114.32%</v>
      </c>
      <c r="Q17" t="str">
        <f>RTD("tos.rtd", , "PROB_OTM", ".TSLA160520P110")</f>
        <v>98.17%</v>
      </c>
      <c r="R17">
        <f>RTD("tos.rtd", , "DELTA", ".TSLA160520P110")</f>
        <v>-0.01</v>
      </c>
      <c r="T17">
        <f t="shared" si="0"/>
        <v>254.3</v>
      </c>
      <c r="U17">
        <f t="shared" si="1"/>
        <v>110</v>
      </c>
      <c r="V17" s="1">
        <v>0.43430000000000002</v>
      </c>
      <c r="W17" s="1">
        <v>5.0000000000000001E-3</v>
      </c>
      <c r="X17" s="1">
        <v>0</v>
      </c>
      <c r="Y17" s="2">
        <v>27</v>
      </c>
      <c r="Z17" s="1">
        <f t="shared" si="2"/>
        <v>0.108</v>
      </c>
      <c r="AA17" s="3">
        <f t="shared" si="3"/>
        <v>0.83803430663565781</v>
      </c>
      <c r="AB17" s="3">
        <f t="shared" si="4"/>
        <v>1.0725290460000002E-2</v>
      </c>
      <c r="AC17" s="3">
        <f t="shared" si="5"/>
        <v>0.1427255440346962</v>
      </c>
      <c r="AD17" s="3">
        <f t="shared" si="6"/>
        <v>5.9467953184983244</v>
      </c>
      <c r="AE17" s="3">
        <f t="shared" si="7"/>
        <v>5.8040697744636285</v>
      </c>
      <c r="AF17">
        <f t="shared" si="8"/>
        <v>0.9999999986327851</v>
      </c>
      <c r="AG17">
        <f t="shared" si="9"/>
        <v>1.3672148991022501E-9</v>
      </c>
      <c r="AH17">
        <f t="shared" si="10"/>
        <v>0.99999999676378393</v>
      </c>
      <c r="AI17">
        <f t="shared" si="11"/>
        <v>3.2362160813987911E-9</v>
      </c>
      <c r="AJ17">
        <f t="shared" si="12"/>
        <v>0.99946014577375952</v>
      </c>
      <c r="AK17">
        <f t="shared" si="13"/>
        <v>109.94061603511355</v>
      </c>
      <c r="AL17">
        <f t="shared" si="14"/>
        <v>1</v>
      </c>
      <c r="AM17">
        <f t="shared" si="15"/>
        <v>254.3</v>
      </c>
      <c r="AN17">
        <f t="shared" si="16"/>
        <v>144.35938397299532</v>
      </c>
      <c r="AO17">
        <f t="shared" si="17"/>
        <v>-1.6406160270046826</v>
      </c>
      <c r="AP17">
        <f t="shared" si="18"/>
        <v>0.9999999986327851</v>
      </c>
      <c r="AQ17">
        <f t="shared" si="19"/>
        <v>2.300306119747881E-10</v>
      </c>
      <c r="AR17">
        <f t="shared" si="20"/>
        <v>-2.1900576944255735E-3</v>
      </c>
      <c r="AS17">
        <f t="shared" si="21"/>
        <v>6.9773729950795136E-9</v>
      </c>
      <c r="AT17">
        <f t="shared" si="22"/>
        <v>0.1187358649336677</v>
      </c>
      <c r="AU17">
        <f t="shared" si="23"/>
        <v>8.1088407700220471E-9</v>
      </c>
      <c r="AV17">
        <f t="shared" si="24"/>
        <v>-0.47999999189115922</v>
      </c>
      <c r="AW17">
        <f t="shared" si="25"/>
        <v>-1.3672148968524311E-9</v>
      </c>
      <c r="AX17">
        <f t="shared" si="26"/>
        <v>2.300306119747881E-10</v>
      </c>
      <c r="AY17">
        <f t="shared" si="27"/>
        <v>-5.5821723155437977E-9</v>
      </c>
      <c r="AZ17">
        <f t="shared" si="28"/>
        <v>6.9773729950795136E-9</v>
      </c>
      <c r="BA17">
        <f t="shared" si="29"/>
        <v>-3.8425491678066216E-10</v>
      </c>
    </row>
    <row r="18" spans="3:53">
      <c r="C18" t="str">
        <f>RTD("tos.rtd", , "IMPL_VOL", ".TSLA160520C115")</f>
        <v>--</v>
      </c>
      <c r="D18" t="str">
        <f>RTD("tos.rtd", , "PROB_OTM", ".TSLA160520C115")</f>
        <v>0.00%</v>
      </c>
      <c r="E18">
        <f>RTD("tos.rtd", , "DELTA", ".TSLA160520C115")</f>
        <v>1</v>
      </c>
      <c r="F18">
        <f>RTD("tos.rtd", , "BID", ".TSLA160520C115")</f>
        <v>137.75</v>
      </c>
      <c r="G18" t="str">
        <f>RTD("tos.rtd", , "BX", ".TSLA160520C115")</f>
        <v>I</v>
      </c>
      <c r="H18">
        <f>RTD("tos.rtd", , "ASK", ".TSLA160520C115")</f>
        <v>140.80000000000001</v>
      </c>
      <c r="I18" t="str">
        <f>RTD("tos.rtd", , "AX", ".TSLA160520C115")</f>
        <v>X</v>
      </c>
      <c r="J18" t="str">
        <f>RTD("tos.rtd", , "EXPIRATION_DAY", ".TSLA160520C115")</f>
        <v>2016-05-21</v>
      </c>
      <c r="K18">
        <f>RTD("tos.rtd", , "STRIKE", ".TSLA160520C115")</f>
        <v>115</v>
      </c>
      <c r="L18">
        <f>RTD("tos.rtd", , "BID", ".TSLA160520P115")</f>
        <v>0</v>
      </c>
      <c r="M18" t="str">
        <f>RTD("tos.rtd", , "BX", ".TSLA160520P115")</f>
        <v>W</v>
      </c>
      <c r="N18">
        <f>RTD("tos.rtd", , "ASK", ".TSLA160520P115")</f>
        <v>0.57999999999999996</v>
      </c>
      <c r="O18" t="str">
        <f>RTD("tos.rtd", , "AX", ".TSLA160520P115")</f>
        <v>A</v>
      </c>
      <c r="P18" t="str">
        <f>RTD("tos.rtd", , "IMPL_VOL", ".TSLA160520P115")</f>
        <v>111.51%</v>
      </c>
      <c r="Q18" t="str">
        <f>RTD("tos.rtd", , "PROB_OTM", ".TSLA160520P115")</f>
        <v>97.87%</v>
      </c>
      <c r="R18">
        <f>RTD("tos.rtd", , "DELTA", ".TSLA160520P115")</f>
        <v>-0.01</v>
      </c>
      <c r="T18">
        <f t="shared" si="0"/>
        <v>254.3</v>
      </c>
      <c r="U18">
        <f t="shared" si="1"/>
        <v>115</v>
      </c>
      <c r="V18" s="1">
        <v>0.43430000000000002</v>
      </c>
      <c r="W18" s="1">
        <v>5.0000000000000001E-3</v>
      </c>
      <c r="X18" s="1">
        <v>0</v>
      </c>
      <c r="Y18" s="2">
        <v>27</v>
      </c>
      <c r="Z18" s="1">
        <f t="shared" si="2"/>
        <v>0.108</v>
      </c>
      <c r="AA18" s="3">
        <f t="shared" si="3"/>
        <v>0.79358254406482398</v>
      </c>
      <c r="AB18" s="3">
        <f t="shared" si="4"/>
        <v>1.0725290460000002E-2</v>
      </c>
      <c r="AC18" s="3">
        <f t="shared" si="5"/>
        <v>0.1427255440346962</v>
      </c>
      <c r="AD18" s="3">
        <f t="shared" si="6"/>
        <v>5.6353460760275604</v>
      </c>
      <c r="AE18" s="3">
        <f t="shared" si="7"/>
        <v>5.4926205319928645</v>
      </c>
      <c r="AF18">
        <f t="shared" si="8"/>
        <v>0.99999999126464345</v>
      </c>
      <c r="AG18">
        <f t="shared" si="9"/>
        <v>8.7353565161007311E-9</v>
      </c>
      <c r="AH18">
        <f t="shared" si="10"/>
        <v>0.99999998019934522</v>
      </c>
      <c r="AI18">
        <f t="shared" si="11"/>
        <v>1.9800654767483876E-8</v>
      </c>
      <c r="AJ18">
        <f t="shared" si="12"/>
        <v>0.99946014577375952</v>
      </c>
      <c r="AK18">
        <f t="shared" si="13"/>
        <v>114.93791676398234</v>
      </c>
      <c r="AL18">
        <f t="shared" si="14"/>
        <v>1</v>
      </c>
      <c r="AM18">
        <f t="shared" si="15"/>
        <v>254.3</v>
      </c>
      <c r="AN18">
        <f t="shared" si="16"/>
        <v>139.36208329046252</v>
      </c>
      <c r="AO18">
        <f t="shared" si="17"/>
        <v>-1.4379167095374896</v>
      </c>
      <c r="AP18">
        <f t="shared" si="18"/>
        <v>0.99999999126464345</v>
      </c>
      <c r="AQ18">
        <f t="shared" si="19"/>
        <v>1.3966572435538716E-9</v>
      </c>
      <c r="AR18">
        <f t="shared" si="20"/>
        <v>-2.2896338260338291E-3</v>
      </c>
      <c r="AS18">
        <f t="shared" si="21"/>
        <v>4.2363920396921117E-8</v>
      </c>
      <c r="AT18">
        <f t="shared" si="22"/>
        <v>0.12413294764718724</v>
      </c>
      <c r="AU18">
        <f t="shared" si="23"/>
        <v>5.4444847492996055E-8</v>
      </c>
      <c r="AV18">
        <f t="shared" si="24"/>
        <v>-0.57999994555515244</v>
      </c>
      <c r="AW18">
        <f t="shared" si="25"/>
        <v>-8.735356549216533E-9</v>
      </c>
      <c r="AX18">
        <f t="shared" si="26"/>
        <v>1.3966572435538716E-9</v>
      </c>
      <c r="AY18">
        <f t="shared" si="27"/>
        <v>-3.389049633222634E-8</v>
      </c>
      <c r="AZ18">
        <f t="shared" si="28"/>
        <v>4.2363920396921117E-8</v>
      </c>
      <c r="BA18">
        <f t="shared" si="29"/>
        <v>-2.4579136903004051E-9</v>
      </c>
    </row>
    <row r="19" spans="3:53">
      <c r="C19" t="str">
        <f>RTD("tos.rtd", , "IMPL_VOL", ".TSLA160520C120")</f>
        <v>0.00%</v>
      </c>
      <c r="D19" t="str">
        <f>RTD("tos.rtd", , "PROB_OTM", ".TSLA160520C120")</f>
        <v>0.00%</v>
      </c>
      <c r="E19">
        <f>RTD("tos.rtd", , "DELTA", ".TSLA160520C120")</f>
        <v>1</v>
      </c>
      <c r="F19">
        <f>RTD("tos.rtd", , "BID", ".TSLA160520C120")</f>
        <v>132.69999999999999</v>
      </c>
      <c r="G19" t="str">
        <f>RTD("tos.rtd", , "BX", ".TSLA160520C120")</f>
        <v>X</v>
      </c>
      <c r="H19">
        <f>RTD("tos.rtd", , "ASK", ".TSLA160520C120")</f>
        <v>136</v>
      </c>
      <c r="I19" t="str">
        <f>RTD("tos.rtd", , "AX", ".TSLA160520C120")</f>
        <v>X</v>
      </c>
      <c r="J19" t="str">
        <f>RTD("tos.rtd", , "EXPIRATION_DAY", ".TSLA160520C120")</f>
        <v>2016-05-21</v>
      </c>
      <c r="K19">
        <f>RTD("tos.rtd", , "STRIKE", ".TSLA160520C120")</f>
        <v>120</v>
      </c>
      <c r="L19">
        <f>RTD("tos.rtd", , "BID", ".TSLA160520P120")</f>
        <v>0</v>
      </c>
      <c r="M19" t="str">
        <f>RTD("tos.rtd", , "BX", ".TSLA160520P120")</f>
        <v>C</v>
      </c>
      <c r="N19">
        <f>RTD("tos.rtd", , "ASK", ".TSLA160520P120")</f>
        <v>0.15</v>
      </c>
      <c r="O19" t="str">
        <f>RTD("tos.rtd", , "AX", ".TSLA160520P120")</f>
        <v>Q</v>
      </c>
      <c r="P19" t="str">
        <f>RTD("tos.rtd", , "IMPL_VOL", ".TSLA160520P120")</f>
        <v>89.89%</v>
      </c>
      <c r="Q19" t="str">
        <f>RTD("tos.rtd", , "PROB_OTM", ".TSLA160520P120")</f>
        <v>99.28%</v>
      </c>
      <c r="R19">
        <f>RTD("tos.rtd", , "DELTA", ".TSLA160520P120")</f>
        <v>0</v>
      </c>
      <c r="T19">
        <f t="shared" si="0"/>
        <v>254.3</v>
      </c>
      <c r="U19">
        <f t="shared" si="1"/>
        <v>120</v>
      </c>
      <c r="V19" s="1">
        <v>0.43430000000000002</v>
      </c>
      <c r="W19" s="1">
        <v>5.0000000000000001E-3</v>
      </c>
      <c r="X19" s="1">
        <v>0</v>
      </c>
      <c r="Y19" s="2">
        <v>27</v>
      </c>
      <c r="Z19" s="1">
        <f t="shared" si="2"/>
        <v>0.108</v>
      </c>
      <c r="AA19" s="3">
        <f t="shared" si="3"/>
        <v>0.7510229296460279</v>
      </c>
      <c r="AB19" s="3">
        <f t="shared" si="4"/>
        <v>1.0725290460000002E-2</v>
      </c>
      <c r="AC19" s="3">
        <f t="shared" si="5"/>
        <v>0.1427255440346962</v>
      </c>
      <c r="AD19" s="3">
        <f t="shared" si="6"/>
        <v>5.337154083090053</v>
      </c>
      <c r="AE19" s="3">
        <f t="shared" si="7"/>
        <v>5.1944285390553571</v>
      </c>
      <c r="AF19">
        <f t="shared" si="8"/>
        <v>0.9999999527915997</v>
      </c>
      <c r="AG19">
        <f t="shared" si="9"/>
        <v>4.7208400257854468E-8</v>
      </c>
      <c r="AH19">
        <f t="shared" si="10"/>
        <v>0.99999989732518446</v>
      </c>
      <c r="AI19">
        <f t="shared" si="11"/>
        <v>1.026748155068512E-7</v>
      </c>
      <c r="AJ19">
        <f t="shared" si="12"/>
        <v>0.99946014577375952</v>
      </c>
      <c r="AK19">
        <f t="shared" si="13"/>
        <v>119.93521749285114</v>
      </c>
      <c r="AL19">
        <f t="shared" si="14"/>
        <v>1</v>
      </c>
      <c r="AM19">
        <f t="shared" si="15"/>
        <v>254.3</v>
      </c>
      <c r="AN19">
        <f t="shared" si="16"/>
        <v>134.36478281637898</v>
      </c>
      <c r="AO19">
        <f t="shared" si="17"/>
        <v>-1.6352171836210232</v>
      </c>
      <c r="AP19">
        <f t="shared" si="18"/>
        <v>0.9999999527915997</v>
      </c>
      <c r="AQ19">
        <f t="shared" si="19"/>
        <v>7.1709457047003407E-9</v>
      </c>
      <c r="AR19">
        <f t="shared" si="20"/>
        <v>-2.3893217524066051E-3</v>
      </c>
      <c r="AS19">
        <f t="shared" si="21"/>
        <v>2.1751175845518104E-7</v>
      </c>
      <c r="AT19">
        <f t="shared" si="22"/>
        <v>0.1295300215928068</v>
      </c>
      <c r="AU19">
        <f t="shared" si="23"/>
        <v>3.0923014328017236E-7</v>
      </c>
      <c r="AV19">
        <f t="shared" si="24"/>
        <v>-0.14999969076985673</v>
      </c>
      <c r="AW19">
        <f t="shared" si="25"/>
        <v>-4.7208400300036146E-8</v>
      </c>
      <c r="AX19">
        <f t="shared" si="26"/>
        <v>7.1709457047003407E-9</v>
      </c>
      <c r="AY19">
        <f t="shared" si="27"/>
        <v>-1.7399358486928865E-7</v>
      </c>
      <c r="AZ19">
        <f t="shared" si="28"/>
        <v>2.1751175845518104E-7</v>
      </c>
      <c r="BA19">
        <f t="shared" si="29"/>
        <v>-1.329947243516077E-8</v>
      </c>
    </row>
    <row r="20" spans="3:53">
      <c r="C20" t="str">
        <f>RTD("tos.rtd", , "IMPL_VOL", ".TSLA160520C125")</f>
        <v>--</v>
      </c>
      <c r="D20" t="str">
        <f>RTD("tos.rtd", , "PROB_OTM", ".TSLA160520C125")</f>
        <v>0.00%</v>
      </c>
      <c r="E20">
        <f>RTD("tos.rtd", , "DELTA", ".TSLA160520C125")</f>
        <v>1</v>
      </c>
      <c r="F20">
        <f>RTD("tos.rtd", , "BID", ".TSLA160520C125")</f>
        <v>127.75</v>
      </c>
      <c r="G20" t="str">
        <f>RTD("tos.rtd", , "BX", ".TSLA160520C125")</f>
        <v>I</v>
      </c>
      <c r="H20">
        <f>RTD("tos.rtd", , "ASK", ".TSLA160520C125")</f>
        <v>130.80000000000001</v>
      </c>
      <c r="I20" t="str">
        <f>RTD("tos.rtd", , "AX", ".TSLA160520C125")</f>
        <v>X</v>
      </c>
      <c r="J20" t="str">
        <f>RTD("tos.rtd", , "EXPIRATION_DAY", ".TSLA160520C125")</f>
        <v>2016-05-21</v>
      </c>
      <c r="K20">
        <f>RTD("tos.rtd", , "STRIKE", ".TSLA160520C125")</f>
        <v>125</v>
      </c>
      <c r="L20">
        <f>RTD("tos.rtd", , "BID", ".TSLA160520P125")</f>
        <v>0</v>
      </c>
      <c r="M20" t="str">
        <f>RTD("tos.rtd", , "BX", ".TSLA160520P125")</f>
        <v>W</v>
      </c>
      <c r="N20">
        <f>RTD("tos.rtd", , "ASK", ".TSLA160520P125")</f>
        <v>0.51</v>
      </c>
      <c r="O20" t="str">
        <f>RTD("tos.rtd", , "AX", ".TSLA160520P125")</f>
        <v>A</v>
      </c>
      <c r="P20" t="str">
        <f>RTD("tos.rtd", , "IMPL_VOL", ".TSLA160520P125")</f>
        <v>98.95%</v>
      </c>
      <c r="Q20" t="str">
        <f>RTD("tos.rtd", , "PROB_OTM", ".TSLA160520P125")</f>
        <v>98.06%</v>
      </c>
      <c r="R20">
        <f>RTD("tos.rtd", , "DELTA", ".TSLA160520P125")</f>
        <v>-0.01</v>
      </c>
      <c r="T20">
        <f t="shared" si="0"/>
        <v>254.3</v>
      </c>
      <c r="U20">
        <f t="shared" si="1"/>
        <v>125</v>
      </c>
      <c r="V20" s="1">
        <v>0.43430000000000002</v>
      </c>
      <c r="W20" s="1">
        <v>5.0000000000000001E-3</v>
      </c>
      <c r="X20" s="1">
        <v>0</v>
      </c>
      <c r="Y20" s="2">
        <v>27</v>
      </c>
      <c r="Z20" s="1">
        <f t="shared" si="2"/>
        <v>0.108</v>
      </c>
      <c r="AA20" s="3">
        <f t="shared" si="3"/>
        <v>0.71020093512577298</v>
      </c>
      <c r="AB20" s="3">
        <f t="shared" si="4"/>
        <v>1.0725290460000002E-2</v>
      </c>
      <c r="AC20" s="3">
        <f t="shared" si="5"/>
        <v>0.1427255440346962</v>
      </c>
      <c r="AD20" s="3">
        <f t="shared" si="6"/>
        <v>5.0511366445414829</v>
      </c>
      <c r="AE20" s="3">
        <f t="shared" si="7"/>
        <v>4.908411100506787</v>
      </c>
      <c r="AF20">
        <f t="shared" si="8"/>
        <v>0.99999978040563153</v>
      </c>
      <c r="AG20">
        <f t="shared" si="9"/>
        <v>2.195943685125401E-7</v>
      </c>
      <c r="AH20">
        <f t="shared" si="10"/>
        <v>0.99999954091384502</v>
      </c>
      <c r="AI20">
        <f t="shared" si="11"/>
        <v>4.590861549802483E-7</v>
      </c>
      <c r="AJ20">
        <f t="shared" si="12"/>
        <v>0.99946014577375952</v>
      </c>
      <c r="AK20">
        <f t="shared" si="13"/>
        <v>124.93251822171995</v>
      </c>
      <c r="AL20">
        <f t="shared" si="14"/>
        <v>1</v>
      </c>
      <c r="AM20">
        <f t="shared" si="15"/>
        <v>254.3</v>
      </c>
      <c r="AN20">
        <f t="shared" si="16"/>
        <v>129.36748329022157</v>
      </c>
      <c r="AO20">
        <f t="shared" si="17"/>
        <v>-1.4325167097784401</v>
      </c>
      <c r="AP20">
        <f t="shared" si="18"/>
        <v>0.99999978040563153</v>
      </c>
      <c r="AQ20">
        <f t="shared" si="19"/>
        <v>3.1678990337197945E-8</v>
      </c>
      <c r="AR20">
        <f t="shared" si="20"/>
        <v>-2.4894641723806074E-3</v>
      </c>
      <c r="AS20">
        <f t="shared" si="21"/>
        <v>9.6089876817949725E-7</v>
      </c>
      <c r="AT20">
        <f t="shared" si="22"/>
        <v>0.13492705773628497</v>
      </c>
      <c r="AU20">
        <f t="shared" si="23"/>
        <v>1.5119415096702686E-6</v>
      </c>
      <c r="AV20">
        <f t="shared" si="24"/>
        <v>-0.50999848805849035</v>
      </c>
      <c r="AW20">
        <f t="shared" si="25"/>
        <v>-2.1959436846685776E-7</v>
      </c>
      <c r="AX20">
        <f t="shared" si="26"/>
        <v>3.1678990337197945E-8</v>
      </c>
      <c r="AY20">
        <f t="shared" si="27"/>
        <v>-7.685902746322001E-7</v>
      </c>
      <c r="AZ20">
        <f t="shared" si="28"/>
        <v>9.6089876817949725E-7</v>
      </c>
      <c r="BA20">
        <f t="shared" si="29"/>
        <v>-6.1943172576201947E-8</v>
      </c>
    </row>
    <row r="21" spans="3:53">
      <c r="C21" t="str">
        <f>RTD("tos.rtd", , "IMPL_VOL", ".TSLA160520C130")</f>
        <v>78.66%</v>
      </c>
      <c r="D21" t="str">
        <f>RTD("tos.rtd", , "PROB_OTM", ".TSLA160520C130")</f>
        <v>0.59%</v>
      </c>
      <c r="E21">
        <f>RTD("tos.rtd", , "DELTA", ".TSLA160520C130")</f>
        <v>1</v>
      </c>
      <c r="F21">
        <f>RTD("tos.rtd", , "BID", ".TSLA160520C130")</f>
        <v>122.85</v>
      </c>
      <c r="G21" t="str">
        <f>RTD("tos.rtd", , "BX", ".TSLA160520C130")</f>
        <v>M</v>
      </c>
      <c r="H21">
        <f>RTD("tos.rtd", , "ASK", ".TSLA160520C130")</f>
        <v>126</v>
      </c>
      <c r="I21" t="str">
        <f>RTD("tos.rtd", , "AX", ".TSLA160520C130")</f>
        <v>M</v>
      </c>
      <c r="J21" t="str">
        <f>RTD("tos.rtd", , "EXPIRATION_DAY", ".TSLA160520C130")</f>
        <v>2016-05-21</v>
      </c>
      <c r="K21">
        <f>RTD("tos.rtd", , "STRIKE", ".TSLA160520C130")</f>
        <v>130</v>
      </c>
      <c r="L21">
        <f>RTD("tos.rtd", , "BID", ".TSLA160520P130")</f>
        <v>0.1</v>
      </c>
      <c r="M21" t="str">
        <f>RTD("tos.rtd", , "BX", ".TSLA160520P130")</f>
        <v>Z</v>
      </c>
      <c r="N21">
        <f>RTD("tos.rtd", , "ASK", ".TSLA160520P130")</f>
        <v>0.54</v>
      </c>
      <c r="O21" t="str">
        <f>RTD("tos.rtd", , "AX", ".TSLA160520P130")</f>
        <v>X</v>
      </c>
      <c r="P21" t="str">
        <f>RTD("tos.rtd", , "IMPL_VOL", ".TSLA160520P130")</f>
        <v>96.98%</v>
      </c>
      <c r="Q21" t="str">
        <f>RTD("tos.rtd", , "PROB_OTM", ".TSLA160520P130")</f>
        <v>97.67%</v>
      </c>
      <c r="R21">
        <f>RTD("tos.rtd", , "DELTA", ".TSLA160520P130")</f>
        <v>-0.01</v>
      </c>
      <c r="T21">
        <f t="shared" si="0"/>
        <v>254.3</v>
      </c>
      <c r="U21">
        <f t="shared" si="1"/>
        <v>130</v>
      </c>
      <c r="V21" s="1">
        <v>0.43430000000000002</v>
      </c>
      <c r="W21" s="1">
        <v>5.0000000000000001E-3</v>
      </c>
      <c r="X21" s="1">
        <v>0</v>
      </c>
      <c r="Y21" s="2">
        <v>27</v>
      </c>
      <c r="Z21" s="1">
        <f t="shared" si="2"/>
        <v>0.108</v>
      </c>
      <c r="AA21" s="3">
        <f t="shared" si="3"/>
        <v>0.67098022197249152</v>
      </c>
      <c r="AB21" s="3">
        <f t="shared" si="4"/>
        <v>1.0725290460000002E-2</v>
      </c>
      <c r="AC21" s="3">
        <f t="shared" si="5"/>
        <v>0.1427255440346962</v>
      </c>
      <c r="AD21" s="3">
        <f t="shared" si="6"/>
        <v>4.776338510692737</v>
      </c>
      <c r="AE21" s="3">
        <f t="shared" si="7"/>
        <v>4.633612966658041</v>
      </c>
      <c r="AF21">
        <f t="shared" si="8"/>
        <v>0.99999910742104337</v>
      </c>
      <c r="AG21">
        <f t="shared" si="9"/>
        <v>8.9257895663497067E-7</v>
      </c>
      <c r="AH21">
        <f t="shared" si="10"/>
        <v>0.99999820330727729</v>
      </c>
      <c r="AI21">
        <f t="shared" si="11"/>
        <v>1.7966927227108798E-6</v>
      </c>
      <c r="AJ21">
        <f t="shared" si="12"/>
        <v>0.99946014577375952</v>
      </c>
      <c r="AK21">
        <f t="shared" si="13"/>
        <v>129.92981895058873</v>
      </c>
      <c r="AL21">
        <f t="shared" si="14"/>
        <v>1</v>
      </c>
      <c r="AM21">
        <f t="shared" si="15"/>
        <v>254.3</v>
      </c>
      <c r="AN21">
        <f t="shared" si="16"/>
        <v>124.37018751054279</v>
      </c>
      <c r="AO21">
        <f t="shared" si="17"/>
        <v>-1.6298124894572084</v>
      </c>
      <c r="AP21">
        <f t="shared" si="18"/>
        <v>0.99999910742104337</v>
      </c>
      <c r="AQ21">
        <f t="shared" si="19"/>
        <v>1.2223428992433238E-7</v>
      </c>
      <c r="AR21">
        <f t="shared" si="20"/>
        <v>-2.5912087911289538E-3</v>
      </c>
      <c r="AS21">
        <f t="shared" si="21"/>
        <v>3.7076553692959506E-6</v>
      </c>
      <c r="AT21">
        <f t="shared" si="22"/>
        <v>0.14032395234715883</v>
      </c>
      <c r="AU21">
        <f t="shared" si="23"/>
        <v>6.4611314993918653E-6</v>
      </c>
      <c r="AV21">
        <f t="shared" si="24"/>
        <v>-0.53999353886850066</v>
      </c>
      <c r="AW21">
        <f t="shared" si="25"/>
        <v>-8.9257895663497067E-7</v>
      </c>
      <c r="AX21">
        <f t="shared" si="26"/>
        <v>1.2223428992433238E-7</v>
      </c>
      <c r="AY21">
        <f t="shared" si="27"/>
        <v>-2.9653857387401824E-6</v>
      </c>
      <c r="AZ21">
        <f t="shared" si="28"/>
        <v>3.7076553692959506E-6</v>
      </c>
      <c r="BA21">
        <f t="shared" si="29"/>
        <v>-2.5211947698539812E-7</v>
      </c>
    </row>
    <row r="22" spans="3:53">
      <c r="C22" t="str">
        <f>RTD("tos.rtd", , "IMPL_VOL", ".TSLA160520C135")</f>
        <v>0.00%</v>
      </c>
      <c r="D22" t="str">
        <f>RTD("tos.rtd", , "PROB_OTM", ".TSLA160520C135")</f>
        <v>0.00%</v>
      </c>
      <c r="E22">
        <f>RTD("tos.rtd", , "DELTA", ".TSLA160520C135")</f>
        <v>1</v>
      </c>
      <c r="F22">
        <f>RTD("tos.rtd", , "BID", ".TSLA160520C135")</f>
        <v>117.7</v>
      </c>
      <c r="G22" t="str">
        <f>RTD("tos.rtd", , "BX", ".TSLA160520C135")</f>
        <v>X</v>
      </c>
      <c r="H22">
        <f>RTD("tos.rtd", , "ASK", ".TSLA160520C135")</f>
        <v>120.95</v>
      </c>
      <c r="I22" t="str">
        <f>RTD("tos.rtd", , "AX", ".TSLA160520C135")</f>
        <v>M</v>
      </c>
      <c r="J22" t="str">
        <f>RTD("tos.rtd", , "EXPIRATION_DAY", ".TSLA160520C135")</f>
        <v>2016-05-21</v>
      </c>
      <c r="K22">
        <f>RTD("tos.rtd", , "STRIKE", ".TSLA160520C135")</f>
        <v>135</v>
      </c>
      <c r="L22">
        <f>RTD("tos.rtd", , "BID", ".TSLA160520P135")</f>
        <v>0</v>
      </c>
      <c r="M22" t="str">
        <f>RTD("tos.rtd", , "BX", ".TSLA160520P135")</f>
        <v>W</v>
      </c>
      <c r="N22">
        <f>RTD("tos.rtd", , "ASK", ".TSLA160520P135")</f>
        <v>0.81</v>
      </c>
      <c r="O22" t="str">
        <f>RTD("tos.rtd", , "AX", ".TSLA160520P135")</f>
        <v>X</v>
      </c>
      <c r="P22" t="str">
        <f>RTD("tos.rtd", , "IMPL_VOL", ".TSLA160520P135")</f>
        <v>95.29%</v>
      </c>
      <c r="Q22" t="str">
        <f>RTD("tos.rtd", , "PROB_OTM", ".TSLA160520P135")</f>
        <v>97.18%</v>
      </c>
      <c r="R22">
        <f>RTD("tos.rtd", , "DELTA", ".TSLA160520P135")</f>
        <v>-0.01</v>
      </c>
      <c r="T22">
        <f t="shared" si="0"/>
        <v>254.3</v>
      </c>
      <c r="U22">
        <f t="shared" si="1"/>
        <v>135</v>
      </c>
      <c r="V22" s="1">
        <v>0.43430000000000002</v>
      </c>
      <c r="W22" s="1">
        <v>5.0000000000000001E-3</v>
      </c>
      <c r="X22" s="1">
        <v>0</v>
      </c>
      <c r="Y22" s="2">
        <v>27</v>
      </c>
      <c r="Z22" s="1">
        <f t="shared" si="2"/>
        <v>0.108</v>
      </c>
      <c r="AA22" s="3">
        <f t="shared" si="3"/>
        <v>0.63323989398964464</v>
      </c>
      <c r="AB22" s="3">
        <f t="shared" si="4"/>
        <v>1.0725290460000002E-2</v>
      </c>
      <c r="AC22" s="3">
        <f t="shared" si="5"/>
        <v>0.1427255440346962</v>
      </c>
      <c r="AD22" s="3">
        <f t="shared" si="6"/>
        <v>4.5119126278691812</v>
      </c>
      <c r="AE22" s="3">
        <f t="shared" si="7"/>
        <v>4.3691870838344853</v>
      </c>
      <c r="AF22">
        <f t="shared" si="8"/>
        <v>0.99999678771728373</v>
      </c>
      <c r="AG22">
        <f t="shared" si="9"/>
        <v>3.2122827162694989E-6</v>
      </c>
      <c r="AH22">
        <f t="shared" si="10"/>
        <v>0.99999376450519561</v>
      </c>
      <c r="AI22">
        <f t="shared" si="11"/>
        <v>6.2354948043852332E-6</v>
      </c>
      <c r="AJ22">
        <f t="shared" si="12"/>
        <v>0.99946014577375952</v>
      </c>
      <c r="AK22">
        <f t="shared" si="13"/>
        <v>134.92711967945755</v>
      </c>
      <c r="AL22">
        <f t="shared" si="14"/>
        <v>1</v>
      </c>
      <c r="AM22">
        <f t="shared" si="15"/>
        <v>254.3</v>
      </c>
      <c r="AN22">
        <f t="shared" si="16"/>
        <v>119.37290477440146</v>
      </c>
      <c r="AO22">
        <f t="shared" si="17"/>
        <v>-1.5770952255985407</v>
      </c>
      <c r="AP22">
        <f t="shared" si="18"/>
        <v>0.99999678771728373</v>
      </c>
      <c r="AQ22">
        <f t="shared" si="19"/>
        <v>4.173672860035751E-7</v>
      </c>
      <c r="AR22">
        <f t="shared" si="20"/>
        <v>-2.6979156157135361E-3</v>
      </c>
      <c r="AS22">
        <f t="shared" si="21"/>
        <v>1.2659737786161038E-5</v>
      </c>
      <c r="AT22">
        <f t="shared" si="22"/>
        <v>0.14572038060947212</v>
      </c>
      <c r="AU22">
        <f t="shared" si="23"/>
        <v>2.4453858984588447E-5</v>
      </c>
      <c r="AV22">
        <f t="shared" si="24"/>
        <v>-0.80997554614101541</v>
      </c>
      <c r="AW22">
        <f t="shared" si="25"/>
        <v>-3.2122827162694989E-6</v>
      </c>
      <c r="AX22">
        <f t="shared" si="26"/>
        <v>4.173672860035751E-7</v>
      </c>
      <c r="AY22">
        <f t="shared" si="27"/>
        <v>-1.0124387039083356E-5</v>
      </c>
      <c r="AZ22">
        <f t="shared" si="28"/>
        <v>1.2659737786161038E-5</v>
      </c>
      <c r="BA22">
        <f t="shared" si="29"/>
        <v>-9.0864434203047571E-7</v>
      </c>
    </row>
    <row r="23" spans="3:53">
      <c r="C23" t="str">
        <f>RTD("tos.rtd", , "IMPL_VOL", ".TSLA160520C140")</f>
        <v>75.21%</v>
      </c>
      <c r="D23" t="str">
        <f>RTD("tos.rtd", , "PROB_OTM", ".TSLA160520C140")</f>
        <v>0.96%</v>
      </c>
      <c r="E23">
        <f>RTD("tos.rtd", , "DELTA", ".TSLA160520C140")</f>
        <v>1</v>
      </c>
      <c r="F23">
        <f>RTD("tos.rtd", , "BID", ".TSLA160520C140")</f>
        <v>112.7</v>
      </c>
      <c r="G23" t="str">
        <f>RTD("tos.rtd", , "BX", ".TSLA160520C140")</f>
        <v>X</v>
      </c>
      <c r="H23">
        <f>RTD("tos.rtd", , "ASK", ".TSLA160520C140")</f>
        <v>116.25</v>
      </c>
      <c r="I23" t="str">
        <f>RTD("tos.rtd", , "AX", ".TSLA160520C140")</f>
        <v>I</v>
      </c>
      <c r="J23" t="str">
        <f>RTD("tos.rtd", , "EXPIRATION_DAY", ".TSLA160520C140")</f>
        <v>2016-05-21</v>
      </c>
      <c r="K23">
        <f>RTD("tos.rtd", , "STRIKE", ".TSLA160520C140")</f>
        <v>140</v>
      </c>
      <c r="L23">
        <f>RTD("tos.rtd", , "BID", ".TSLA160520P140")</f>
        <v>0.1</v>
      </c>
      <c r="M23" t="str">
        <f>RTD("tos.rtd", , "BX", ".TSLA160520P140")</f>
        <v>N</v>
      </c>
      <c r="N23">
        <f>RTD("tos.rtd", , "ASK", ".TSLA160520P140")</f>
        <v>0.85</v>
      </c>
      <c r="O23" t="str">
        <f>RTD("tos.rtd", , "AX", ".TSLA160520P140")</f>
        <v>X</v>
      </c>
      <c r="P23" t="str">
        <f>RTD("tos.rtd", , "IMPL_VOL", ".TSLA160520P140")</f>
        <v>92.63%</v>
      </c>
      <c r="Q23" t="str">
        <f>RTD("tos.rtd", , "PROB_OTM", ".TSLA160520P140")</f>
        <v>96.78%</v>
      </c>
      <c r="R23">
        <f>RTD("tos.rtd", , "DELTA", ".TSLA160520P140")</f>
        <v>-0.02</v>
      </c>
      <c r="T23">
        <f t="shared" si="0"/>
        <v>254.3</v>
      </c>
      <c r="U23">
        <f t="shared" si="1"/>
        <v>140</v>
      </c>
      <c r="V23" s="1">
        <v>0.43430000000000002</v>
      </c>
      <c r="W23" s="1">
        <v>5.0000000000000001E-3</v>
      </c>
      <c r="X23" s="1">
        <v>0</v>
      </c>
      <c r="Y23" s="2">
        <v>27</v>
      </c>
      <c r="Z23" s="1">
        <f t="shared" si="2"/>
        <v>0.108</v>
      </c>
      <c r="AA23" s="3">
        <f t="shared" si="3"/>
        <v>0.59687224981876974</v>
      </c>
      <c r="AB23" s="3">
        <f t="shared" si="4"/>
        <v>1.0725290460000002E-2</v>
      </c>
      <c r="AC23" s="3">
        <f t="shared" si="5"/>
        <v>0.1427255440346962</v>
      </c>
      <c r="AD23" s="3">
        <f t="shared" si="6"/>
        <v>4.2571043914259974</v>
      </c>
      <c r="AE23" s="3">
        <f t="shared" si="7"/>
        <v>4.1143788473913014</v>
      </c>
      <c r="AF23">
        <f t="shared" si="8"/>
        <v>0.99998964541643587</v>
      </c>
      <c r="AG23">
        <f t="shared" si="9"/>
        <v>1.0354583564131659E-5</v>
      </c>
      <c r="AH23">
        <f t="shared" si="10"/>
        <v>0.99998058883047514</v>
      </c>
      <c r="AI23">
        <f t="shared" si="11"/>
        <v>1.9411169524863325E-5</v>
      </c>
      <c r="AJ23">
        <f t="shared" si="12"/>
        <v>0.99946014577375952</v>
      </c>
      <c r="AK23">
        <f t="shared" si="13"/>
        <v>139.92442040832634</v>
      </c>
      <c r="AL23">
        <f t="shared" si="14"/>
        <v>1</v>
      </c>
      <c r="AM23">
        <f t="shared" si="15"/>
        <v>254.3</v>
      </c>
      <c r="AN23">
        <f t="shared" si="16"/>
        <v>114.37566251771852</v>
      </c>
      <c r="AO23">
        <f t="shared" si="17"/>
        <v>-1.8743374822814758</v>
      </c>
      <c r="AP23">
        <f t="shared" si="18"/>
        <v>0.99998964541643587</v>
      </c>
      <c r="AQ23">
        <f t="shared" si="19"/>
        <v>1.2756045434386728E-6</v>
      </c>
      <c r="AR23">
        <f t="shared" si="20"/>
        <v>-2.8182794524869441E-3</v>
      </c>
      <c r="AS23">
        <f t="shared" si="21"/>
        <v>3.8692105443623432E-5</v>
      </c>
      <c r="AT23">
        <f t="shared" si="22"/>
        <v>0.15111544065661561</v>
      </c>
      <c r="AU23">
        <f t="shared" si="23"/>
        <v>8.292604485558722E-5</v>
      </c>
      <c r="AV23">
        <f t="shared" si="24"/>
        <v>-0.84991707395514438</v>
      </c>
      <c r="AW23">
        <f t="shared" si="25"/>
        <v>-1.0354583564131659E-5</v>
      </c>
      <c r="AX23">
        <f t="shared" si="26"/>
        <v>1.2756045434386728E-6</v>
      </c>
      <c r="AY23">
        <f t="shared" si="27"/>
        <v>-3.0940400528252436E-5</v>
      </c>
      <c r="AZ23">
        <f t="shared" si="28"/>
        <v>3.8692105443623432E-5</v>
      </c>
      <c r="BA23">
        <f t="shared" si="29"/>
        <v>-2.9333843768314088E-6</v>
      </c>
    </row>
    <row r="24" spans="3:53">
      <c r="C24" t="str">
        <f>RTD("tos.rtd", , "IMPL_VOL", ".TSLA160520C145")</f>
        <v>0.00%</v>
      </c>
      <c r="D24" t="str">
        <f>RTD("tos.rtd", , "PROB_OTM", ".TSLA160520C145")</f>
        <v>0.00%</v>
      </c>
      <c r="E24">
        <f>RTD("tos.rtd", , "DELTA", ".TSLA160520C145")</f>
        <v>1</v>
      </c>
      <c r="F24">
        <f>RTD("tos.rtd", , "BID", ".TSLA160520C145")</f>
        <v>107.85</v>
      </c>
      <c r="G24" t="str">
        <f>RTD("tos.rtd", , "BX", ".TSLA160520C145")</f>
        <v>X</v>
      </c>
      <c r="H24">
        <f>RTD("tos.rtd", , "ASK", ".TSLA160520C145")</f>
        <v>110.8</v>
      </c>
      <c r="I24" t="str">
        <f>RTD("tos.rtd", , "AX", ".TSLA160520C145")</f>
        <v>X</v>
      </c>
      <c r="J24" t="str">
        <f>RTD("tos.rtd", , "EXPIRATION_DAY", ".TSLA160520C145")</f>
        <v>2016-05-21</v>
      </c>
      <c r="K24">
        <f>RTD("tos.rtd", , "STRIKE", ".TSLA160520C145")</f>
        <v>145</v>
      </c>
      <c r="L24">
        <f>RTD("tos.rtd", , "BID", ".TSLA160520P145")</f>
        <v>0.21</v>
      </c>
      <c r="M24" t="str">
        <f>RTD("tos.rtd", , "BX", ".TSLA160520P145")</f>
        <v>C</v>
      </c>
      <c r="N24">
        <f>RTD("tos.rtd", , "ASK", ".TSLA160520P145")</f>
        <v>0.65</v>
      </c>
      <c r="O24" t="str">
        <f>RTD("tos.rtd", , "AX", ".TSLA160520P145")</f>
        <v>X</v>
      </c>
      <c r="P24" t="str">
        <f>RTD("tos.rtd", , "IMPL_VOL", ".TSLA160520P145")</f>
        <v>86.41%</v>
      </c>
      <c r="Q24" t="str">
        <f>RTD("tos.rtd", , "PROB_OTM", ".TSLA160520P145")</f>
        <v>96.98%</v>
      </c>
      <c r="R24">
        <f>RTD("tos.rtd", , "DELTA", ".TSLA160520P145")</f>
        <v>-0.02</v>
      </c>
      <c r="T24">
        <f t="shared" si="0"/>
        <v>254.3</v>
      </c>
      <c r="U24">
        <f t="shared" si="1"/>
        <v>145</v>
      </c>
      <c r="V24" s="1">
        <v>0.43430000000000002</v>
      </c>
      <c r="W24" s="1">
        <v>5.0000000000000001E-3</v>
      </c>
      <c r="X24" s="1">
        <v>0</v>
      </c>
      <c r="Y24" s="2">
        <v>27</v>
      </c>
      <c r="Z24" s="1">
        <f t="shared" si="2"/>
        <v>0.108</v>
      </c>
      <c r="AA24" s="3">
        <f t="shared" si="3"/>
        <v>0.56178093000749951</v>
      </c>
      <c r="AB24" s="3">
        <f t="shared" si="4"/>
        <v>1.0725290460000002E-2</v>
      </c>
      <c r="AC24" s="3">
        <f t="shared" si="5"/>
        <v>0.1427255440346962</v>
      </c>
      <c r="AD24" s="3">
        <f t="shared" si="6"/>
        <v>4.0112386632649644</v>
      </c>
      <c r="AE24" s="3">
        <f t="shared" si="7"/>
        <v>3.868513119230268</v>
      </c>
      <c r="AF24">
        <f t="shared" si="8"/>
        <v>0.99996979949380838</v>
      </c>
      <c r="AG24">
        <f t="shared" si="9"/>
        <v>3.0200506191624399E-5</v>
      </c>
      <c r="AH24">
        <f t="shared" si="10"/>
        <v>0.99994524947713148</v>
      </c>
      <c r="AI24">
        <f t="shared" si="11"/>
        <v>5.4750522868518559E-5</v>
      </c>
      <c r="AJ24">
        <f t="shared" si="12"/>
        <v>0.99946014577375952</v>
      </c>
      <c r="AK24">
        <f t="shared" si="13"/>
        <v>144.92172113719514</v>
      </c>
      <c r="AL24">
        <f t="shared" si="14"/>
        <v>1</v>
      </c>
      <c r="AM24">
        <f t="shared" si="15"/>
        <v>254.3</v>
      </c>
      <c r="AN24">
        <f t="shared" si="16"/>
        <v>109.3785334140876</v>
      </c>
      <c r="AO24">
        <f t="shared" si="17"/>
        <v>-1.4214665859123983</v>
      </c>
      <c r="AP24">
        <f t="shared" si="18"/>
        <v>0.99996979949380838</v>
      </c>
      <c r="AQ24">
        <f t="shared" si="19"/>
        <v>3.5249678331179919E-6</v>
      </c>
      <c r="AR24">
        <f t="shared" si="20"/>
        <v>-2.9723781171230447E-3</v>
      </c>
      <c r="AS24">
        <f t="shared" si="21"/>
        <v>1.0692061876537153E-4</v>
      </c>
      <c r="AT24">
        <f t="shared" si="22"/>
        <v>0.15650688952496292</v>
      </c>
      <c r="AU24">
        <f t="shared" si="23"/>
        <v>2.5455128273698616E-4</v>
      </c>
      <c r="AV24">
        <f t="shared" si="24"/>
        <v>-0.64974544871726303</v>
      </c>
      <c r="AW24">
        <f t="shared" si="25"/>
        <v>-3.0200506191624399E-5</v>
      </c>
      <c r="AX24">
        <f t="shared" si="26"/>
        <v>3.5249678331179919E-6</v>
      </c>
      <c r="AY24">
        <f t="shared" si="27"/>
        <v>-8.5491241880113566E-5</v>
      </c>
      <c r="AZ24">
        <f t="shared" si="28"/>
        <v>1.0692061876537153E-4</v>
      </c>
      <c r="BA24">
        <f t="shared" si="29"/>
        <v>-8.5693032078484371E-6</v>
      </c>
    </row>
    <row r="25" spans="3:53">
      <c r="C25" t="str">
        <f>RTD("tos.rtd", , "IMPL_VOL", ".TSLA160520C150")</f>
        <v>0.00%</v>
      </c>
      <c r="D25" t="str">
        <f>RTD("tos.rtd", , "PROB_OTM", ".TSLA160520C150")</f>
        <v>0.00%</v>
      </c>
      <c r="E25">
        <f>RTD("tos.rtd", , "DELTA", ".TSLA160520C150")</f>
        <v>1</v>
      </c>
      <c r="F25">
        <f>RTD("tos.rtd", , "BID", ".TSLA160520C150")</f>
        <v>102.85</v>
      </c>
      <c r="G25" t="str">
        <f>RTD("tos.rtd", , "BX", ".TSLA160520C150")</f>
        <v>I</v>
      </c>
      <c r="H25">
        <f>RTD("tos.rtd", , "ASK", ".TSLA160520C150")</f>
        <v>105.8</v>
      </c>
      <c r="I25" t="str">
        <f>RTD("tos.rtd", , "AX", ".TSLA160520C150")</f>
        <v>X</v>
      </c>
      <c r="J25" t="str">
        <f>RTD("tos.rtd", , "EXPIRATION_DAY", ".TSLA160520C150")</f>
        <v>2016-05-21</v>
      </c>
      <c r="K25">
        <f>RTD("tos.rtd", , "STRIKE", ".TSLA160520C150")</f>
        <v>150</v>
      </c>
      <c r="L25">
        <f>RTD("tos.rtd", , "BID", ".TSLA160520P150")</f>
        <v>0.31</v>
      </c>
      <c r="M25" t="str">
        <f>RTD("tos.rtd", , "BX", ".TSLA160520P150")</f>
        <v>C</v>
      </c>
      <c r="N25">
        <f>RTD("tos.rtd", , "ASK", ".TSLA160520P150")</f>
        <v>0.5</v>
      </c>
      <c r="O25" t="str">
        <f>RTD("tos.rtd", , "AX", ".TSLA160520P150")</f>
        <v>C</v>
      </c>
      <c r="P25" t="str">
        <f>RTD("tos.rtd", , "IMPL_VOL", ".TSLA160520P150")</f>
        <v>81.00%</v>
      </c>
      <c r="Q25" t="str">
        <f>RTD("tos.rtd", , "PROB_OTM", ".TSLA160520P150")</f>
        <v>97.07%</v>
      </c>
      <c r="R25">
        <f>RTD("tos.rtd", , "DELTA", ".TSLA160520P150")</f>
        <v>-0.02</v>
      </c>
      <c r="T25">
        <f t="shared" si="0"/>
        <v>254.3</v>
      </c>
      <c r="U25">
        <f t="shared" si="1"/>
        <v>150</v>
      </c>
      <c r="V25" s="1">
        <v>0.43430000000000002</v>
      </c>
      <c r="W25" s="1">
        <v>5.0000000000000001E-3</v>
      </c>
      <c r="X25" s="1">
        <v>0</v>
      </c>
      <c r="Y25" s="2">
        <v>27</v>
      </c>
      <c r="Z25" s="1">
        <f t="shared" si="2"/>
        <v>0.108</v>
      </c>
      <c r="AA25" s="3">
        <f t="shared" si="3"/>
        <v>0.52787937833181819</v>
      </c>
      <c r="AB25" s="3">
        <f t="shared" si="4"/>
        <v>1.0725290460000002E-2</v>
      </c>
      <c r="AC25" s="3">
        <f t="shared" si="5"/>
        <v>0.1427255440346962</v>
      </c>
      <c r="AD25" s="3">
        <f t="shared" si="6"/>
        <v>3.7737089911591779</v>
      </c>
      <c r="AE25" s="3">
        <f t="shared" si="7"/>
        <v>3.6309834471244815</v>
      </c>
      <c r="AF25">
        <f t="shared" si="8"/>
        <v>0.99991958081847943</v>
      </c>
      <c r="AG25">
        <f t="shared" si="9"/>
        <v>8.041918152057459E-5</v>
      </c>
      <c r="AH25">
        <f t="shared" si="10"/>
        <v>0.99985882835264328</v>
      </c>
      <c r="AI25">
        <f t="shared" si="11"/>
        <v>1.4117164735671928E-4</v>
      </c>
      <c r="AJ25">
        <f t="shared" si="12"/>
        <v>0.99946014577375952</v>
      </c>
      <c r="AK25">
        <f t="shared" si="13"/>
        <v>149.91902186606393</v>
      </c>
      <c r="AL25">
        <f t="shared" si="14"/>
        <v>1</v>
      </c>
      <c r="AM25">
        <f t="shared" si="15"/>
        <v>254.3</v>
      </c>
      <c r="AN25">
        <f t="shared" si="16"/>
        <v>104.38169185136235</v>
      </c>
      <c r="AO25">
        <f t="shared" si="17"/>
        <v>-1.4183081486376494</v>
      </c>
      <c r="AP25">
        <f t="shared" si="18"/>
        <v>0.99991958081847943</v>
      </c>
      <c r="AQ25">
        <f t="shared" si="19"/>
        <v>8.8857542007365438E-6</v>
      </c>
      <c r="AR25">
        <f t="shared" si="20"/>
        <v>-3.2019182266275602E-3</v>
      </c>
      <c r="AS25">
        <f t="shared" si="21"/>
        <v>2.6952595947503182E-4</v>
      </c>
      <c r="AT25">
        <f t="shared" si="22"/>
        <v>0.16188968615483912</v>
      </c>
      <c r="AU25">
        <f t="shared" si="23"/>
        <v>7.137174262581425E-4</v>
      </c>
      <c r="AV25">
        <f t="shared" si="24"/>
        <v>-0.49928628257374186</v>
      </c>
      <c r="AW25">
        <f t="shared" si="25"/>
        <v>-8.041918152057459E-5</v>
      </c>
      <c r="AX25">
        <f t="shared" si="26"/>
        <v>8.8857542007365438E-6</v>
      </c>
      <c r="AY25">
        <f t="shared" si="27"/>
        <v>-2.1548352810038979E-4</v>
      </c>
      <c r="AZ25">
        <f t="shared" si="28"/>
        <v>2.6952595947503182E-4</v>
      </c>
      <c r="BA25">
        <f t="shared" si="29"/>
        <v>-2.2857460509895481E-5</v>
      </c>
    </row>
    <row r="26" spans="3:53">
      <c r="C26" t="str">
        <f>RTD("tos.rtd", , "IMPL_VOL", ".TSLA160520C155")</f>
        <v>64.60%</v>
      </c>
      <c r="D26" t="str">
        <f>RTD("tos.rtd", , "PROB_OTM", ".TSLA160520C155")</f>
        <v>1.15%</v>
      </c>
      <c r="E26">
        <f>RTD("tos.rtd", , "DELTA", ".TSLA160520C155")</f>
        <v>0.99</v>
      </c>
      <c r="F26">
        <f>RTD("tos.rtd", , "BID", ".TSLA160520C155")</f>
        <v>97.75</v>
      </c>
      <c r="G26" t="str">
        <f>RTD("tos.rtd", , "BX", ".TSLA160520C155")</f>
        <v>I</v>
      </c>
      <c r="H26">
        <f>RTD("tos.rtd", , "ASK", ".TSLA160520C155")</f>
        <v>101.25</v>
      </c>
      <c r="I26" t="str">
        <f>RTD("tos.rtd", , "AX", ".TSLA160520C155")</f>
        <v>H</v>
      </c>
      <c r="J26" t="str">
        <f>RTD("tos.rtd", , "EXPIRATION_DAY", ".TSLA160520C155")</f>
        <v>2016-05-21</v>
      </c>
      <c r="K26">
        <f>RTD("tos.rtd", , "STRIKE", ".TSLA160520C155")</f>
        <v>155</v>
      </c>
      <c r="L26">
        <f>RTD("tos.rtd", , "BID", ".TSLA160520P155")</f>
        <v>0.2</v>
      </c>
      <c r="M26" t="str">
        <f>RTD("tos.rtd", , "BX", ".TSLA160520P155")</f>
        <v>C</v>
      </c>
      <c r="N26">
        <f>RTD("tos.rtd", , "ASK", ".TSLA160520P155")</f>
        <v>0.95</v>
      </c>
      <c r="O26" t="str">
        <f>RTD("tos.rtd", , "AX", ".TSLA160520P155")</f>
        <v>X</v>
      </c>
      <c r="P26" t="str">
        <f>RTD("tos.rtd", , "IMPL_VOL", ".TSLA160520P155")</f>
        <v>81.02%</v>
      </c>
      <c r="Q26" t="str">
        <f>RTD("tos.rtd", , "PROB_OTM", ".TSLA160520P155")</f>
        <v>96.13%</v>
      </c>
      <c r="R26">
        <f>RTD("tos.rtd", , "DELTA", ".TSLA160520P155")</f>
        <v>-0.02</v>
      </c>
      <c r="T26">
        <f t="shared" si="0"/>
        <v>254.3</v>
      </c>
      <c r="U26">
        <f t="shared" si="1"/>
        <v>155</v>
      </c>
      <c r="V26" s="1">
        <v>0.43430000000000002</v>
      </c>
      <c r="W26" s="1">
        <v>5.0000000000000001E-3</v>
      </c>
      <c r="X26" s="1">
        <v>0</v>
      </c>
      <c r="Y26" s="2">
        <v>27</v>
      </c>
      <c r="Z26" s="1">
        <f t="shared" si="2"/>
        <v>0.108</v>
      </c>
      <c r="AA26" s="3">
        <f t="shared" si="3"/>
        <v>0.49508955550882733</v>
      </c>
      <c r="AB26" s="3">
        <f t="shared" si="4"/>
        <v>1.0725290460000002E-2</v>
      </c>
      <c r="AC26" s="3">
        <f t="shared" si="5"/>
        <v>0.1427255440346962</v>
      </c>
      <c r="AD26" s="3">
        <f t="shared" si="6"/>
        <v>3.5439685964403473</v>
      </c>
      <c r="AE26" s="3">
        <f t="shared" si="7"/>
        <v>3.4012430524056509</v>
      </c>
      <c r="AF26">
        <f t="shared" si="8"/>
        <v>0.99980292390485981</v>
      </c>
      <c r="AG26">
        <f t="shared" si="9"/>
        <v>1.9707609514019175E-4</v>
      </c>
      <c r="AH26">
        <f t="shared" si="10"/>
        <v>0.99966459921468864</v>
      </c>
      <c r="AI26">
        <f t="shared" si="11"/>
        <v>3.354007853113572E-4</v>
      </c>
      <c r="AJ26">
        <f t="shared" si="12"/>
        <v>0.99946014577375952</v>
      </c>
      <c r="AK26">
        <f t="shared" si="13"/>
        <v>154.91632259493272</v>
      </c>
      <c r="AL26">
        <f t="shared" si="14"/>
        <v>1</v>
      </c>
      <c r="AM26">
        <f t="shared" si="15"/>
        <v>254.3</v>
      </c>
      <c r="AN26">
        <f t="shared" si="16"/>
        <v>99.385520010329031</v>
      </c>
      <c r="AO26">
        <f t="shared" si="17"/>
        <v>-1.8644799896709685</v>
      </c>
      <c r="AP26">
        <f t="shared" si="18"/>
        <v>0.99980292390485981</v>
      </c>
      <c r="AQ26">
        <f t="shared" si="19"/>
        <v>2.0594672203035073E-5</v>
      </c>
      <c r="AR26">
        <f t="shared" si="20"/>
        <v>-3.5853546762100656E-3</v>
      </c>
      <c r="AS26">
        <f t="shared" si="21"/>
        <v>6.2468516011130349E-4</v>
      </c>
      <c r="AT26">
        <f t="shared" si="22"/>
        <v>0.16725351262177096</v>
      </c>
      <c r="AU26">
        <f t="shared" si="23"/>
        <v>1.8426052617372124E-3</v>
      </c>
      <c r="AV26">
        <f t="shared" si="24"/>
        <v>-0.94815739473826277</v>
      </c>
      <c r="AW26">
        <f t="shared" si="25"/>
        <v>-1.9707609514019175E-4</v>
      </c>
      <c r="AX26">
        <f t="shared" si="26"/>
        <v>2.0594672203035073E-5</v>
      </c>
      <c r="AY26">
        <f t="shared" si="27"/>
        <v>-4.9937215439865639E-4</v>
      </c>
      <c r="AZ26">
        <f t="shared" si="28"/>
        <v>6.2468516011130349E-4</v>
      </c>
      <c r="BA26">
        <f t="shared" si="29"/>
        <v>-5.611578075635902E-5</v>
      </c>
    </row>
    <row r="27" spans="3:53">
      <c r="C27" t="str">
        <f>RTD("tos.rtd", , "IMPL_VOL", ".TSLA160520C160")</f>
        <v>0.00%</v>
      </c>
      <c r="D27" t="str">
        <f>RTD("tos.rtd", , "PROB_OTM", ".TSLA160520C160")</f>
        <v>0.00%</v>
      </c>
      <c r="E27">
        <f>RTD("tos.rtd", , "DELTA", ".TSLA160520C160")</f>
        <v>1</v>
      </c>
      <c r="F27">
        <f>RTD("tos.rtd", , "BID", ".TSLA160520C160")</f>
        <v>92.85</v>
      </c>
      <c r="G27" t="str">
        <f>RTD("tos.rtd", , "BX", ".TSLA160520C160")</f>
        <v>I</v>
      </c>
      <c r="H27">
        <f>RTD("tos.rtd", , "ASK", ".TSLA160520C160")</f>
        <v>95.85</v>
      </c>
      <c r="I27" t="str">
        <f>RTD("tos.rtd", , "AX", ".TSLA160520C160")</f>
        <v>I</v>
      </c>
      <c r="J27" t="str">
        <f>RTD("tos.rtd", , "EXPIRATION_DAY", ".TSLA160520C160")</f>
        <v>2016-05-21</v>
      </c>
      <c r="K27">
        <f>RTD("tos.rtd", , "STRIKE", ".TSLA160520C160")</f>
        <v>160</v>
      </c>
      <c r="L27">
        <f>RTD("tos.rtd", , "BID", ".TSLA160520P160")</f>
        <v>0.48</v>
      </c>
      <c r="M27" t="str">
        <f>RTD("tos.rtd", , "BX", ".TSLA160520P160")</f>
        <v>Z</v>
      </c>
      <c r="N27">
        <f>RTD("tos.rtd", , "ASK", ".TSLA160520P160")</f>
        <v>0.87</v>
      </c>
      <c r="O27" t="str">
        <f>RTD("tos.rtd", , "AX", ".TSLA160520P160")</f>
        <v>C</v>
      </c>
      <c r="P27" t="str">
        <f>RTD("tos.rtd", , "IMPL_VOL", ".TSLA160520P160")</f>
        <v>78.65%</v>
      </c>
      <c r="Q27" t="str">
        <f>RTD("tos.rtd", , "PROB_OTM", ".TSLA160520P160")</f>
        <v>95.56%</v>
      </c>
      <c r="R27">
        <f>RTD("tos.rtd", , "DELTA", ".TSLA160520P160")</f>
        <v>-0.03</v>
      </c>
      <c r="T27">
        <f t="shared" si="0"/>
        <v>254.3</v>
      </c>
      <c r="U27">
        <f t="shared" si="1"/>
        <v>160</v>
      </c>
      <c r="V27" s="1">
        <v>0.43430000000000002</v>
      </c>
      <c r="W27" s="1">
        <v>5.0000000000000001E-3</v>
      </c>
      <c r="X27" s="1">
        <v>0</v>
      </c>
      <c r="Y27" s="2">
        <v>27</v>
      </c>
      <c r="Z27" s="1">
        <f t="shared" si="2"/>
        <v>0.108</v>
      </c>
      <c r="AA27" s="3">
        <f t="shared" si="3"/>
        <v>0.463340857194247</v>
      </c>
      <c r="AB27" s="3">
        <f t="shared" si="4"/>
        <v>1.0725290460000002E-2</v>
      </c>
      <c r="AC27" s="3">
        <f t="shared" si="5"/>
        <v>0.1427255440346962</v>
      </c>
      <c r="AD27" s="3">
        <f t="shared" si="6"/>
        <v>3.3215227929977464</v>
      </c>
      <c r="AE27" s="3">
        <f t="shared" si="7"/>
        <v>3.17879724896305</v>
      </c>
      <c r="AF27">
        <f t="shared" si="8"/>
        <v>0.9995523616515507</v>
      </c>
      <c r="AG27">
        <f t="shared" si="9"/>
        <v>4.476383484492974E-4</v>
      </c>
      <c r="AH27">
        <f t="shared" si="10"/>
        <v>0.99926056251596918</v>
      </c>
      <c r="AI27">
        <f t="shared" si="11"/>
        <v>7.3943748403082488E-4</v>
      </c>
      <c r="AJ27">
        <f t="shared" si="12"/>
        <v>0.99946014577375952</v>
      </c>
      <c r="AK27">
        <f t="shared" si="13"/>
        <v>159.91362332380152</v>
      </c>
      <c r="AL27">
        <f t="shared" si="14"/>
        <v>1</v>
      </c>
      <c r="AM27">
        <f t="shared" si="15"/>
        <v>254.3</v>
      </c>
      <c r="AN27">
        <f t="shared" si="16"/>
        <v>94.390788371480625</v>
      </c>
      <c r="AO27">
        <f t="shared" si="17"/>
        <v>-1.4592116285193697</v>
      </c>
      <c r="AP27">
        <f t="shared" si="18"/>
        <v>0.9995523616515507</v>
      </c>
      <c r="AQ27">
        <f t="shared" si="19"/>
        <v>4.4195911530707671E-5</v>
      </c>
      <c r="AR27">
        <f t="shared" si="20"/>
        <v>-4.2570424894177927E-3</v>
      </c>
      <c r="AS27">
        <f t="shared" si="21"/>
        <v>1.3405666183293951E-3</v>
      </c>
      <c r="AT27">
        <f t="shared" si="22"/>
        <v>0.17257900737222942</v>
      </c>
      <c r="AU27">
        <f t="shared" si="23"/>
        <v>4.4116952821484923E-3</v>
      </c>
      <c r="AV27">
        <f t="shared" si="24"/>
        <v>-0.86558830471785153</v>
      </c>
      <c r="AW27">
        <f t="shared" si="25"/>
        <v>-4.476383484492974E-4</v>
      </c>
      <c r="AX27">
        <f t="shared" si="26"/>
        <v>4.4195911530707671E-5</v>
      </c>
      <c r="AY27">
        <f t="shared" si="27"/>
        <v>-1.0715121443221445E-3</v>
      </c>
      <c r="AZ27">
        <f t="shared" si="28"/>
        <v>1.3405666183293951E-3</v>
      </c>
      <c r="BA27">
        <f t="shared" si="29"/>
        <v>-1.2770581747622924E-4</v>
      </c>
    </row>
    <row r="28" spans="3:53">
      <c r="C28" t="str">
        <f>RTD("tos.rtd", , "IMPL_VOL", ".TSLA160520C165")</f>
        <v>50.35%</v>
      </c>
      <c r="D28" t="str">
        <f>RTD("tos.rtd", , "PROB_OTM", ".TSLA160520C165")</f>
        <v>0.49%</v>
      </c>
      <c r="E28">
        <f>RTD("tos.rtd", , "DELTA", ".TSLA160520C165")</f>
        <v>1</v>
      </c>
      <c r="F28">
        <f>RTD("tos.rtd", , "BID", ".TSLA160520C165")</f>
        <v>87.95</v>
      </c>
      <c r="G28" t="str">
        <f>RTD("tos.rtd", , "BX", ".TSLA160520C165")</f>
        <v>A</v>
      </c>
      <c r="H28">
        <f>RTD("tos.rtd", , "ASK", ".TSLA160520C165")</f>
        <v>90.9</v>
      </c>
      <c r="I28" t="str">
        <f>RTD("tos.rtd", , "AX", ".TSLA160520C165")</f>
        <v>I</v>
      </c>
      <c r="J28" t="str">
        <f>RTD("tos.rtd", , "EXPIRATION_DAY", ".TSLA160520C165")</f>
        <v>2016-05-21</v>
      </c>
      <c r="K28">
        <f>RTD("tos.rtd", , "STRIKE", ".TSLA160520C165")</f>
        <v>165</v>
      </c>
      <c r="L28">
        <f>RTD("tos.rtd", , "BID", ".TSLA160520P165")</f>
        <v>0.6</v>
      </c>
      <c r="M28" t="str">
        <f>RTD("tos.rtd", , "BX", ".TSLA160520P165")</f>
        <v>Z</v>
      </c>
      <c r="N28">
        <f>RTD("tos.rtd", , "ASK", ".TSLA160520P165")</f>
        <v>0.83</v>
      </c>
      <c r="O28" t="str">
        <f>RTD("tos.rtd", , "AX", ".TSLA160520P165")</f>
        <v>C</v>
      </c>
      <c r="P28" t="str">
        <f>RTD("tos.rtd", , "IMPL_VOL", ".TSLA160520P165")</f>
        <v>74.90%</v>
      </c>
      <c r="Q28" t="str">
        <f>RTD("tos.rtd", , "PROB_OTM", ".TSLA160520P165")</f>
        <v>95.27%</v>
      </c>
      <c r="R28">
        <f>RTD("tos.rtd", , "DELTA", ".TSLA160520P165")</f>
        <v>-0.03</v>
      </c>
      <c r="T28">
        <f t="shared" si="0"/>
        <v>254.3</v>
      </c>
      <c r="U28">
        <f t="shared" si="1"/>
        <v>165</v>
      </c>
      <c r="V28" s="1">
        <v>0.43430000000000002</v>
      </c>
      <c r="W28" s="1">
        <v>5.0000000000000001E-3</v>
      </c>
      <c r="X28" s="1">
        <v>0</v>
      </c>
      <c r="Y28" s="2">
        <v>27</v>
      </c>
      <c r="Z28" s="1">
        <f t="shared" si="2"/>
        <v>0.108</v>
      </c>
      <c r="AA28" s="3">
        <f t="shared" si="3"/>
        <v>0.43256919852749337</v>
      </c>
      <c r="AB28" s="3">
        <f t="shared" si="4"/>
        <v>1.0725290460000002E-2</v>
      </c>
      <c r="AC28" s="3">
        <f t="shared" si="5"/>
        <v>0.1427255440346962</v>
      </c>
      <c r="AD28" s="3">
        <f t="shared" si="6"/>
        <v>3.1059225731851452</v>
      </c>
      <c r="AE28" s="3">
        <f t="shared" si="7"/>
        <v>2.9631970291504488</v>
      </c>
      <c r="AF28">
        <f t="shared" si="8"/>
        <v>0.99905156811800033</v>
      </c>
      <c r="AG28">
        <f t="shared" si="9"/>
        <v>9.4843188199966733E-4</v>
      </c>
      <c r="AH28">
        <f t="shared" si="10"/>
        <v>0.99847769191532476</v>
      </c>
      <c r="AI28">
        <f t="shared" si="11"/>
        <v>1.522308084675239E-3</v>
      </c>
      <c r="AJ28">
        <f t="shared" si="12"/>
        <v>0.99946014577375952</v>
      </c>
      <c r="AK28">
        <f t="shared" si="13"/>
        <v>164.91092405267031</v>
      </c>
      <c r="AL28">
        <f t="shared" si="14"/>
        <v>1</v>
      </c>
      <c r="AM28">
        <f t="shared" si="15"/>
        <v>254.3</v>
      </c>
      <c r="AN28">
        <f t="shared" si="16"/>
        <v>89.398934952673812</v>
      </c>
      <c r="AO28">
        <f t="shared" si="17"/>
        <v>-1.5010650473261933</v>
      </c>
      <c r="AP28">
        <f t="shared" si="18"/>
        <v>0.99905156811800033</v>
      </c>
      <c r="AQ28">
        <f t="shared" si="19"/>
        <v>8.836814927422348E-5</v>
      </c>
      <c r="AR28">
        <f t="shared" si="20"/>
        <v>-5.4272373338470877E-3</v>
      </c>
      <c r="AS28">
        <f t="shared" si="21"/>
        <v>2.6804151546521147E-3</v>
      </c>
      <c r="AT28">
        <f t="shared" si="22"/>
        <v>0.17783266912531237</v>
      </c>
      <c r="AU28">
        <f t="shared" si="23"/>
        <v>9.8590053441289238E-3</v>
      </c>
      <c r="AV28">
        <f t="shared" si="24"/>
        <v>-0.82014099465587109</v>
      </c>
      <c r="AW28">
        <f t="shared" si="25"/>
        <v>-9.4843188199966733E-4</v>
      </c>
      <c r="AX28">
        <f t="shared" si="26"/>
        <v>8.836814927422348E-5</v>
      </c>
      <c r="AY28">
        <f t="shared" si="27"/>
        <v>-2.142159165467201E-3</v>
      </c>
      <c r="AZ28">
        <f t="shared" si="28"/>
        <v>2.6804151546521147E-3</v>
      </c>
      <c r="BA28">
        <f t="shared" si="29"/>
        <v>-2.7112885157157593E-4</v>
      </c>
    </row>
    <row r="29" spans="3:53">
      <c r="C29" t="str">
        <f>RTD("tos.rtd", , "IMPL_VOL", ".TSLA160520C170")</f>
        <v>58.82%</v>
      </c>
      <c r="D29" t="str">
        <f>RTD("tos.rtd", , "PROB_OTM", ".TSLA160520C170")</f>
        <v>2.11%</v>
      </c>
      <c r="E29">
        <f>RTD("tos.rtd", , "DELTA", ".TSLA160520C170")</f>
        <v>0.99</v>
      </c>
      <c r="F29">
        <f>RTD("tos.rtd", , "BID", ".TSLA160520C170")</f>
        <v>82.95</v>
      </c>
      <c r="G29" t="str">
        <f>RTD("tos.rtd", , "BX", ".TSLA160520C170")</f>
        <v>M</v>
      </c>
      <c r="H29">
        <f>RTD("tos.rtd", , "ASK", ".TSLA160520C170")</f>
        <v>86.3</v>
      </c>
      <c r="I29" t="str">
        <f>RTD("tos.rtd", , "AX", ".TSLA160520C170")</f>
        <v>I</v>
      </c>
      <c r="J29" t="str">
        <f>RTD("tos.rtd", , "EXPIRATION_DAY", ".TSLA160520C170")</f>
        <v>2016-05-21</v>
      </c>
      <c r="K29">
        <f>RTD("tos.rtd", , "STRIKE", ".TSLA160520C170")</f>
        <v>170</v>
      </c>
      <c r="L29">
        <f>RTD("tos.rtd", , "BID", ".TSLA160520P170")</f>
        <v>0.67</v>
      </c>
      <c r="M29" t="str">
        <f>RTD("tos.rtd", , "BX", ".TSLA160520P170")</f>
        <v>Z</v>
      </c>
      <c r="N29">
        <f>RTD("tos.rtd", , "ASK", ".TSLA160520P170")</f>
        <v>0.95</v>
      </c>
      <c r="O29" t="str">
        <f>RTD("tos.rtd", , "AX", ".TSLA160520P170")</f>
        <v>C</v>
      </c>
      <c r="P29" t="str">
        <f>RTD("tos.rtd", , "IMPL_VOL", ".TSLA160520P170")</f>
        <v>72.12%</v>
      </c>
      <c r="Q29" t="str">
        <f>RTD("tos.rtd", , "PROB_OTM", ".TSLA160520P170")</f>
        <v>94.71%</v>
      </c>
      <c r="R29">
        <f>RTD("tos.rtd", , "DELTA", ".TSLA160520P170")</f>
        <v>-0.03</v>
      </c>
      <c r="T29">
        <f t="shared" si="0"/>
        <v>254.3</v>
      </c>
      <c r="U29">
        <f t="shared" si="1"/>
        <v>170</v>
      </c>
      <c r="V29" s="1">
        <v>0.43430000000000002</v>
      </c>
      <c r="W29" s="1">
        <v>5.0000000000000001E-3</v>
      </c>
      <c r="X29" s="1">
        <v>0</v>
      </c>
      <c r="Y29" s="2">
        <v>27</v>
      </c>
      <c r="Z29" s="1">
        <f t="shared" si="2"/>
        <v>0.108</v>
      </c>
      <c r="AA29" s="3">
        <f t="shared" si="3"/>
        <v>0.40271623537781215</v>
      </c>
      <c r="AB29" s="3">
        <f t="shared" si="4"/>
        <v>1.0725290460000002E-2</v>
      </c>
      <c r="AC29" s="3">
        <f t="shared" si="5"/>
        <v>0.1427255440346962</v>
      </c>
      <c r="AD29" s="3">
        <f t="shared" si="6"/>
        <v>2.8967591515174438</v>
      </c>
      <c r="AE29" s="3">
        <f t="shared" si="7"/>
        <v>2.7540336074827474</v>
      </c>
      <c r="AF29">
        <f t="shared" si="8"/>
        <v>0.99811480453924006</v>
      </c>
      <c r="AG29">
        <f t="shared" si="9"/>
        <v>1.8851954607599364E-3</v>
      </c>
      <c r="AH29">
        <f t="shared" si="10"/>
        <v>0.99705671384394168</v>
      </c>
      <c r="AI29">
        <f t="shared" si="11"/>
        <v>2.9432861560583223E-3</v>
      </c>
      <c r="AJ29">
        <f t="shared" si="12"/>
        <v>0.99946014577375952</v>
      </c>
      <c r="AK29">
        <f t="shared" si="13"/>
        <v>169.90822478153913</v>
      </c>
      <c r="AL29">
        <f t="shared" si="14"/>
        <v>1</v>
      </c>
      <c r="AM29">
        <f t="shared" si="15"/>
        <v>254.3</v>
      </c>
      <c r="AN29">
        <f t="shared" si="16"/>
        <v>84.41245853858959</v>
      </c>
      <c r="AO29">
        <f t="shared" si="17"/>
        <v>-1.8875414614104074</v>
      </c>
      <c r="AP29">
        <f t="shared" si="18"/>
        <v>0.99811480453924006</v>
      </c>
      <c r="AQ29">
        <f t="shared" si="19"/>
        <v>1.6555150034647842E-4</v>
      </c>
      <c r="AR29">
        <f t="shared" si="20"/>
        <v>-7.3972171427262156E-3</v>
      </c>
      <c r="AS29">
        <f t="shared" si="21"/>
        <v>5.0215689029207058E-3</v>
      </c>
      <c r="AT29">
        <f t="shared" si="22"/>
        <v>0.18296078715619832</v>
      </c>
      <c r="AU29">
        <f t="shared" si="23"/>
        <v>2.0683320128697835E-2</v>
      </c>
      <c r="AV29">
        <f t="shared" si="24"/>
        <v>-0.92931667987130218</v>
      </c>
      <c r="AW29">
        <f t="shared" si="25"/>
        <v>-1.8851954607599364E-3</v>
      </c>
      <c r="AX29">
        <f t="shared" si="26"/>
        <v>1.6555150034647842E-4</v>
      </c>
      <c r="AY29">
        <f t="shared" si="27"/>
        <v>-4.0125911510620893E-3</v>
      </c>
      <c r="AZ29">
        <f t="shared" si="28"/>
        <v>5.0215689029207058E-3</v>
      </c>
      <c r="BA29">
        <f t="shared" si="29"/>
        <v>-5.4009560786394569E-4</v>
      </c>
    </row>
    <row r="30" spans="3:53">
      <c r="C30" t="str">
        <f>RTD("tos.rtd", , "IMPL_VOL", ".TSLA160520C175")</f>
        <v>38.47%</v>
      </c>
      <c r="D30" t="str">
        <f>RTD("tos.rtd", , "PROB_OTM", ".TSLA160520C175")</f>
        <v>0.16%</v>
      </c>
      <c r="E30">
        <f>RTD("tos.rtd", , "DELTA", ".TSLA160520C175")</f>
        <v>1</v>
      </c>
      <c r="F30">
        <f>RTD("tos.rtd", , "BID", ".TSLA160520C175")</f>
        <v>78</v>
      </c>
      <c r="G30" t="str">
        <f>RTD("tos.rtd", , "BX", ".TSLA160520C175")</f>
        <v>M</v>
      </c>
      <c r="H30">
        <f>RTD("tos.rtd", , "ASK", ".TSLA160520C175")</f>
        <v>80.8</v>
      </c>
      <c r="I30" t="str">
        <f>RTD("tos.rtd", , "AX", ".TSLA160520C175")</f>
        <v>M</v>
      </c>
      <c r="J30" t="str">
        <f>RTD("tos.rtd", , "EXPIRATION_DAY", ".TSLA160520C175")</f>
        <v>2016-05-21</v>
      </c>
      <c r="K30">
        <f>RTD("tos.rtd", , "STRIKE", ".TSLA160520C175")</f>
        <v>175</v>
      </c>
      <c r="L30">
        <f>RTD("tos.rtd", , "BID", ".TSLA160520P175")</f>
        <v>0.88</v>
      </c>
      <c r="M30" t="str">
        <f>RTD("tos.rtd", , "BX", ".TSLA160520P175")</f>
        <v>Q</v>
      </c>
      <c r="N30">
        <f>RTD("tos.rtd", , "ASK", ".TSLA160520P175")</f>
        <v>1.05</v>
      </c>
      <c r="O30" t="str">
        <f>RTD("tos.rtd", , "AX", ".TSLA160520P175")</f>
        <v>X</v>
      </c>
      <c r="P30" t="str">
        <f>RTD("tos.rtd", , "IMPL_VOL", ".TSLA160520P175")</f>
        <v>70.07%</v>
      </c>
      <c r="Q30" t="str">
        <f>RTD("tos.rtd", , "PROB_OTM", ".TSLA160520P175")</f>
        <v>93.86%</v>
      </c>
      <c r="R30">
        <f>RTD("tos.rtd", , "DELTA", ".TSLA160520P175")</f>
        <v>-0.04</v>
      </c>
      <c r="T30">
        <f t="shared" si="0"/>
        <v>254.3</v>
      </c>
      <c r="U30">
        <f t="shared" si="1"/>
        <v>175</v>
      </c>
      <c r="V30" s="1">
        <v>0.43430000000000002</v>
      </c>
      <c r="W30" s="1">
        <v>5.0000000000000001E-3</v>
      </c>
      <c r="X30" s="1">
        <v>0</v>
      </c>
      <c r="Y30" s="2">
        <v>27</v>
      </c>
      <c r="Z30" s="1">
        <f t="shared" si="2"/>
        <v>0.108</v>
      </c>
      <c r="AA30" s="3">
        <f t="shared" si="3"/>
        <v>0.37372869850455998</v>
      </c>
      <c r="AB30" s="3">
        <f t="shared" si="4"/>
        <v>1.0725290460000002E-2</v>
      </c>
      <c r="AC30" s="3">
        <f t="shared" si="5"/>
        <v>0.1427255440346962</v>
      </c>
      <c r="AD30" s="3">
        <f t="shared" si="6"/>
        <v>2.6936592994951218</v>
      </c>
      <c r="AE30" s="3">
        <f t="shared" si="7"/>
        <v>2.5509337554604254</v>
      </c>
      <c r="AF30">
        <f t="shared" si="8"/>
        <v>0.99646638177002811</v>
      </c>
      <c r="AG30">
        <f t="shared" si="9"/>
        <v>3.533618229971891E-3</v>
      </c>
      <c r="AH30">
        <f t="shared" si="10"/>
        <v>0.99462826279511085</v>
      </c>
      <c r="AI30">
        <f t="shared" si="11"/>
        <v>5.3717372048891487E-3</v>
      </c>
      <c r="AJ30">
        <f t="shared" si="12"/>
        <v>0.99946014577375952</v>
      </c>
      <c r="AK30">
        <f t="shared" si="13"/>
        <v>174.90552551040793</v>
      </c>
      <c r="AL30">
        <f t="shared" si="14"/>
        <v>1</v>
      </c>
      <c r="AM30">
        <f t="shared" si="15"/>
        <v>254.3</v>
      </c>
      <c r="AN30">
        <f t="shared" si="16"/>
        <v>79.435421892435158</v>
      </c>
      <c r="AO30">
        <f t="shared" si="17"/>
        <v>-1.3645781075648387</v>
      </c>
      <c r="AP30">
        <f t="shared" si="18"/>
        <v>0.99646638177002811</v>
      </c>
      <c r="AQ30">
        <f t="shared" si="19"/>
        <v>2.9206865860080333E-4</v>
      </c>
      <c r="AR30">
        <f t="shared" si="20"/>
        <v>-1.056211152715995E-2</v>
      </c>
      <c r="AS30">
        <f t="shared" si="21"/>
        <v>8.859133807172145E-3</v>
      </c>
      <c r="AT30">
        <f t="shared" si="22"/>
        <v>0.18788325731101757</v>
      </c>
      <c r="AU30">
        <f t="shared" si="23"/>
        <v>4.0947402843094394E-2</v>
      </c>
      <c r="AV30">
        <f t="shared" si="24"/>
        <v>-1.0090525971569058</v>
      </c>
      <c r="AW30">
        <f t="shared" si="25"/>
        <v>-3.533618229971891E-3</v>
      </c>
      <c r="AX30">
        <f t="shared" si="26"/>
        <v>2.9206865860080333E-4</v>
      </c>
      <c r="AY30">
        <f t="shared" si="27"/>
        <v>-7.0779377122115843E-3</v>
      </c>
      <c r="AZ30">
        <f t="shared" si="28"/>
        <v>8.859133807172145E-3</v>
      </c>
      <c r="BA30">
        <f t="shared" si="29"/>
        <v>-1.0147102402229418E-3</v>
      </c>
    </row>
    <row r="31" spans="3:53">
      <c r="C31" t="str">
        <f>RTD("tos.rtd", , "IMPL_VOL", ".TSLA160520C180")</f>
        <v>0.00%</v>
      </c>
      <c r="D31" t="str">
        <f>RTD("tos.rtd", , "PROB_OTM", ".TSLA160520C180")</f>
        <v>0.00%</v>
      </c>
      <c r="E31">
        <f>RTD("tos.rtd", , "DELTA", ".TSLA160520C180")</f>
        <v>1</v>
      </c>
      <c r="F31">
        <f>RTD("tos.rtd", , "BID", ".TSLA160520C180")</f>
        <v>73.05</v>
      </c>
      <c r="G31" t="str">
        <f>RTD("tos.rtd", , "BX", ".TSLA160520C180")</f>
        <v>H</v>
      </c>
      <c r="H31">
        <f>RTD("tos.rtd", , "ASK", ".TSLA160520C180")</f>
        <v>75.7</v>
      </c>
      <c r="I31" t="str">
        <f>RTD("tos.rtd", , "AX", ".TSLA160520C180")</f>
        <v>H</v>
      </c>
      <c r="J31" t="str">
        <f>RTD("tos.rtd", , "EXPIRATION_DAY", ".TSLA160520C180")</f>
        <v>2016-05-21</v>
      </c>
      <c r="K31">
        <f>RTD("tos.rtd", , "STRIKE", ".TSLA160520C180")</f>
        <v>180</v>
      </c>
      <c r="L31">
        <f>RTD("tos.rtd", , "BID", ".TSLA160520P180")</f>
        <v>1.1000000000000001</v>
      </c>
      <c r="M31" t="str">
        <f>RTD("tos.rtd", , "BX", ".TSLA160520P180")</f>
        <v>C</v>
      </c>
      <c r="N31">
        <f>RTD("tos.rtd", , "ASK", ".TSLA160520P180")</f>
        <v>1.27</v>
      </c>
      <c r="O31" t="str">
        <f>RTD("tos.rtd", , "AX", ".TSLA160520P180")</f>
        <v>X</v>
      </c>
      <c r="P31" t="str">
        <f>RTD("tos.rtd", , "IMPL_VOL", ".TSLA160520P180")</f>
        <v>68.52%</v>
      </c>
      <c r="Q31" t="str">
        <f>RTD("tos.rtd", , "PROB_OTM", ".TSLA160520P180")</f>
        <v>92.72%</v>
      </c>
      <c r="R31">
        <f>RTD("tos.rtd", , "DELTA", ".TSLA160520P180")</f>
        <v>-0.05</v>
      </c>
      <c r="T31">
        <f t="shared" si="0"/>
        <v>254.3</v>
      </c>
      <c r="U31">
        <f t="shared" si="1"/>
        <v>180</v>
      </c>
      <c r="V31" s="1">
        <v>0.43430000000000002</v>
      </c>
      <c r="W31" s="1">
        <v>5.0000000000000001E-3</v>
      </c>
      <c r="X31" s="1">
        <v>0</v>
      </c>
      <c r="Y31" s="2">
        <v>27</v>
      </c>
      <c r="Z31" s="1">
        <f t="shared" si="2"/>
        <v>0.108</v>
      </c>
      <c r="AA31" s="3">
        <f t="shared" si="3"/>
        <v>0.34555782153786369</v>
      </c>
      <c r="AB31" s="3">
        <f t="shared" si="4"/>
        <v>1.0725290460000002E-2</v>
      </c>
      <c r="AC31" s="3">
        <f t="shared" si="5"/>
        <v>0.1427255440346962</v>
      </c>
      <c r="AD31" s="3">
        <f t="shared" si="6"/>
        <v>2.4962813377768747</v>
      </c>
      <c r="AE31" s="3">
        <f t="shared" si="7"/>
        <v>2.3535557937421783</v>
      </c>
      <c r="AF31">
        <f t="shared" si="8"/>
        <v>0.99372484906900871</v>
      </c>
      <c r="AG31">
        <f t="shared" si="9"/>
        <v>6.2751509309912912E-3</v>
      </c>
      <c r="AH31">
        <f t="shared" si="10"/>
        <v>0.99070259145758266</v>
      </c>
      <c r="AI31">
        <f t="shared" si="11"/>
        <v>9.2974085424173403E-3</v>
      </c>
      <c r="AJ31">
        <f t="shared" si="12"/>
        <v>0.99946014577375952</v>
      </c>
      <c r="AK31">
        <f t="shared" si="13"/>
        <v>179.90282623927672</v>
      </c>
      <c r="AL31">
        <f t="shared" si="14"/>
        <v>1</v>
      </c>
      <c r="AM31">
        <f t="shared" si="15"/>
        <v>254.3</v>
      </c>
      <c r="AN31">
        <f t="shared" si="16"/>
        <v>74.47403295245428</v>
      </c>
      <c r="AO31">
        <f t="shared" si="17"/>
        <v>-1.2259670475457227</v>
      </c>
      <c r="AP31">
        <f t="shared" si="18"/>
        <v>0.99372484906900871</v>
      </c>
      <c r="AQ31">
        <f t="shared" si="19"/>
        <v>4.8744568021775016E-4</v>
      </c>
      <c r="AR31">
        <f t="shared" si="20"/>
        <v>-1.5394306568681881E-2</v>
      </c>
      <c r="AS31">
        <f t="shared" si="21"/>
        <v>1.4785381373902798E-2</v>
      </c>
      <c r="AT31">
        <f t="shared" si="22"/>
        <v>0.19248861185905825</v>
      </c>
      <c r="AU31">
        <f t="shared" si="23"/>
        <v>7.685919173098843E-2</v>
      </c>
      <c r="AV31">
        <f t="shared" si="24"/>
        <v>-1.1931408082690116</v>
      </c>
      <c r="AW31">
        <f t="shared" si="25"/>
        <v>-6.2751509309912912E-3</v>
      </c>
      <c r="AX31">
        <f t="shared" si="26"/>
        <v>4.8744568021775016E-4</v>
      </c>
      <c r="AY31">
        <f t="shared" si="27"/>
        <v>-1.1810584930449277E-2</v>
      </c>
      <c r="AZ31">
        <f t="shared" si="28"/>
        <v>1.4785381373902798E-2</v>
      </c>
      <c r="BA31">
        <f t="shared" si="29"/>
        <v>-1.8064404793606398E-3</v>
      </c>
    </row>
    <row r="32" spans="3:53">
      <c r="C32" t="str">
        <f>RTD("tos.rtd", , "IMPL_VOL", ".TSLA160520C185")</f>
        <v>43.87%</v>
      </c>
      <c r="D32" t="str">
        <f>RTD("tos.rtd", , "PROB_OTM", ".TSLA160520C185")</f>
        <v>1.46%</v>
      </c>
      <c r="E32">
        <f>RTD("tos.rtd", , "DELTA", ".TSLA160520C185")</f>
        <v>0.99</v>
      </c>
      <c r="F32">
        <f>RTD("tos.rtd", , "BID", ".TSLA160520C185")</f>
        <v>68.2</v>
      </c>
      <c r="G32" t="str">
        <f>RTD("tos.rtd", , "BX", ".TSLA160520C185")</f>
        <v>H</v>
      </c>
      <c r="H32">
        <f>RTD("tos.rtd", , "ASK", ".TSLA160520C185")</f>
        <v>70.849999999999994</v>
      </c>
      <c r="I32" t="str">
        <f>RTD("tos.rtd", , "AX", ".TSLA160520C185")</f>
        <v>Z</v>
      </c>
      <c r="J32" t="str">
        <f>RTD("tos.rtd", , "EXPIRATION_DAY", ".TSLA160520C185")</f>
        <v>2016-05-21</v>
      </c>
      <c r="K32">
        <f>RTD("tos.rtd", , "STRIKE", ".TSLA160520C185")</f>
        <v>185</v>
      </c>
      <c r="L32">
        <f>RTD("tos.rtd", , "BID", ".TSLA160520P185")</f>
        <v>1.4</v>
      </c>
      <c r="M32" t="str">
        <f>RTD("tos.rtd", , "BX", ".TSLA160520P185")</f>
        <v>C</v>
      </c>
      <c r="N32">
        <f>RTD("tos.rtd", , "ASK", ".TSLA160520P185")</f>
        <v>1.54</v>
      </c>
      <c r="O32" t="str">
        <f>RTD("tos.rtd", , "AX", ".TSLA160520P185")</f>
        <v>X</v>
      </c>
      <c r="P32" t="str">
        <f>RTD("tos.rtd", , "IMPL_VOL", ".TSLA160520P185")</f>
        <v>67.23%</v>
      </c>
      <c r="Q32" t="str">
        <f>RTD("tos.rtd", , "PROB_OTM", ".TSLA160520P185")</f>
        <v>91.33%</v>
      </c>
      <c r="R32">
        <f>RTD("tos.rtd", , "DELTA", ".TSLA160520P185")</f>
        <v>-0.06</v>
      </c>
      <c r="T32">
        <f t="shared" si="0"/>
        <v>254.3</v>
      </c>
      <c r="U32">
        <f t="shared" si="1"/>
        <v>185</v>
      </c>
      <c r="V32" s="1">
        <v>0.43430000000000002</v>
      </c>
      <c r="W32" s="1">
        <v>5.0000000000000001E-3</v>
      </c>
      <c r="X32" s="1">
        <v>0</v>
      </c>
      <c r="Y32" s="2">
        <v>27</v>
      </c>
      <c r="Z32" s="1">
        <f t="shared" si="2"/>
        <v>0.108</v>
      </c>
      <c r="AA32" s="3">
        <f t="shared" si="3"/>
        <v>0.31815884734974925</v>
      </c>
      <c r="AB32" s="3">
        <f t="shared" si="4"/>
        <v>1.0725290460000002E-2</v>
      </c>
      <c r="AC32" s="3">
        <f t="shared" si="5"/>
        <v>0.1427255440346962</v>
      </c>
      <c r="AD32" s="3">
        <f t="shared" si="6"/>
        <v>2.3043116775914925</v>
      </c>
      <c r="AE32" s="3">
        <f t="shared" si="7"/>
        <v>2.1615861335567961</v>
      </c>
      <c r="AF32">
        <f t="shared" si="8"/>
        <v>0.98939742304557787</v>
      </c>
      <c r="AG32">
        <f t="shared" si="9"/>
        <v>1.0602576954422127E-2</v>
      </c>
      <c r="AH32">
        <f t="shared" si="10"/>
        <v>0.98467495438398678</v>
      </c>
      <c r="AI32">
        <f t="shared" si="11"/>
        <v>1.5325045616013222E-2</v>
      </c>
      <c r="AJ32">
        <f t="shared" si="12"/>
        <v>0.99946014577375952</v>
      </c>
      <c r="AK32">
        <f t="shared" si="13"/>
        <v>184.90012696814551</v>
      </c>
      <c r="AL32">
        <f t="shared" si="14"/>
        <v>1</v>
      </c>
      <c r="AM32">
        <f t="shared" si="15"/>
        <v>254.3</v>
      </c>
      <c r="AN32">
        <f t="shared" si="16"/>
        <v>69.53724059253841</v>
      </c>
      <c r="AO32">
        <f t="shared" si="17"/>
        <v>-1.3127594074615843</v>
      </c>
      <c r="AP32">
        <f t="shared" si="18"/>
        <v>0.98939742304557787</v>
      </c>
      <c r="AQ32">
        <f t="shared" si="19"/>
        <v>7.7275570519363468E-4</v>
      </c>
      <c r="AR32">
        <f t="shared" si="20"/>
        <v>-2.2403160647646494E-2</v>
      </c>
      <c r="AS32">
        <f t="shared" si="21"/>
        <v>2.3439509824034404E-2</v>
      </c>
      <c r="AT32">
        <f t="shared" si="22"/>
        <v>0.1966318460149882</v>
      </c>
      <c r="AU32">
        <f t="shared" si="23"/>
        <v>0.13736756068391953</v>
      </c>
      <c r="AV32">
        <f t="shared" si="24"/>
        <v>-1.4026324393160805</v>
      </c>
      <c r="AW32">
        <f t="shared" si="25"/>
        <v>-1.0602576954422127E-2</v>
      </c>
      <c r="AX32">
        <f t="shared" si="26"/>
        <v>7.7275570519363468E-4</v>
      </c>
      <c r="AY32">
        <f t="shared" si="27"/>
        <v>-1.8719891186129649E-2</v>
      </c>
      <c r="AZ32">
        <f t="shared" si="28"/>
        <v>2.3439509824034404E-2</v>
      </c>
      <c r="BA32">
        <f t="shared" si="29"/>
        <v>-3.0602911106089436E-3</v>
      </c>
    </row>
    <row r="33" spans="3:53">
      <c r="C33" t="str">
        <f>RTD("tos.rtd", , "IMPL_VOL", ".TSLA160520C190")</f>
        <v>49.25%</v>
      </c>
      <c r="D33" t="str">
        <f>RTD("tos.rtd", , "PROB_OTM", ".TSLA160520C190")</f>
        <v>3.93%</v>
      </c>
      <c r="E33">
        <f>RTD("tos.rtd", , "DELTA", ".TSLA160520C190")</f>
        <v>0.97</v>
      </c>
      <c r="F33">
        <f>RTD("tos.rtd", , "BID", ".TSLA160520C190")</f>
        <v>63.5</v>
      </c>
      <c r="G33" t="str">
        <f>RTD("tos.rtd", , "BX", ".TSLA160520C190")</f>
        <v>X</v>
      </c>
      <c r="H33">
        <f>RTD("tos.rtd", , "ASK", ".TSLA160520C190")</f>
        <v>66.2</v>
      </c>
      <c r="I33" t="str">
        <f>RTD("tos.rtd", , "AX", ".TSLA160520C190")</f>
        <v>M</v>
      </c>
      <c r="J33" t="str">
        <f>RTD("tos.rtd", , "EXPIRATION_DAY", ".TSLA160520C190")</f>
        <v>2016-05-21</v>
      </c>
      <c r="K33">
        <f>RTD("tos.rtd", , "STRIKE", ".TSLA160520C190")</f>
        <v>190</v>
      </c>
      <c r="L33">
        <f>RTD("tos.rtd", , "BID", ".TSLA160520P190")</f>
        <v>1.72</v>
      </c>
      <c r="M33" t="str">
        <f>RTD("tos.rtd", , "BX", ".TSLA160520P190")</f>
        <v>C</v>
      </c>
      <c r="N33">
        <f>RTD("tos.rtd", , "ASK", ".TSLA160520P190")</f>
        <v>1.86</v>
      </c>
      <c r="O33" t="str">
        <f>RTD("tos.rtd", , "AX", ".TSLA160520P190")</f>
        <v>A</v>
      </c>
      <c r="P33" t="str">
        <f>RTD("tos.rtd", , "IMPL_VOL", ".TSLA160520P190")</f>
        <v>65.74%</v>
      </c>
      <c r="Q33" t="str">
        <f>RTD("tos.rtd", , "PROB_OTM", ".TSLA160520P190")</f>
        <v>89.81%</v>
      </c>
      <c r="R33">
        <f>RTD("tos.rtd", , "DELTA", ".TSLA160520P190")</f>
        <v>-7.0000000000000007E-2</v>
      </c>
      <c r="T33">
        <f t="shared" si="0"/>
        <v>254.3</v>
      </c>
      <c r="U33">
        <f t="shared" si="1"/>
        <v>190</v>
      </c>
      <c r="V33" s="1">
        <v>0.43430000000000002</v>
      </c>
      <c r="W33" s="1">
        <v>5.0000000000000001E-3</v>
      </c>
      <c r="X33" s="1">
        <v>0</v>
      </c>
      <c r="Y33" s="2">
        <v>27</v>
      </c>
      <c r="Z33" s="1">
        <f t="shared" si="2"/>
        <v>0.108</v>
      </c>
      <c r="AA33" s="3">
        <f t="shared" si="3"/>
        <v>0.29149060026758783</v>
      </c>
      <c r="AB33" s="3">
        <f t="shared" si="4"/>
        <v>1.0725290460000002E-2</v>
      </c>
      <c r="AC33" s="3">
        <f t="shared" si="5"/>
        <v>0.1427255440346962</v>
      </c>
      <c r="AD33" s="3">
        <f t="shared" si="6"/>
        <v>2.1174618234709262</v>
      </c>
      <c r="AE33" s="3">
        <f t="shared" si="7"/>
        <v>1.97473627943623</v>
      </c>
      <c r="AF33">
        <f t="shared" si="8"/>
        <v>0.98288966398025801</v>
      </c>
      <c r="AG33">
        <f t="shared" si="9"/>
        <v>1.711033601974199E-2</v>
      </c>
      <c r="AH33">
        <f t="shared" si="10"/>
        <v>0.97585095822168566</v>
      </c>
      <c r="AI33">
        <f t="shared" si="11"/>
        <v>2.414904177831434E-2</v>
      </c>
      <c r="AJ33">
        <f t="shared" si="12"/>
        <v>0.99946014577375952</v>
      </c>
      <c r="AK33">
        <f t="shared" si="13"/>
        <v>189.89742769701431</v>
      </c>
      <c r="AL33">
        <f t="shared" si="14"/>
        <v>1</v>
      </c>
      <c r="AM33">
        <f t="shared" si="15"/>
        <v>254.3</v>
      </c>
      <c r="AN33">
        <f t="shared" si="16"/>
        <v>64.637254768214945</v>
      </c>
      <c r="AO33">
        <f t="shared" si="17"/>
        <v>-1.5627452317850583</v>
      </c>
      <c r="AP33">
        <f t="shared" si="18"/>
        <v>0.98288966398025801</v>
      </c>
      <c r="AQ33">
        <f t="shared" si="19"/>
        <v>1.1680218037094976E-3</v>
      </c>
      <c r="AR33">
        <f t="shared" si="20"/>
        <v>-3.2071937731633762E-2</v>
      </c>
      <c r="AS33">
        <f t="shared" si="21"/>
        <v>3.5428866275241402E-2</v>
      </c>
      <c r="AT33">
        <f t="shared" si="22"/>
        <v>0.20013651372452185</v>
      </c>
      <c r="AU33">
        <f t="shared" si="23"/>
        <v>0.23468246522923764</v>
      </c>
      <c r="AV33">
        <f t="shared" si="24"/>
        <v>-1.6253175347707625</v>
      </c>
      <c r="AW33">
        <f t="shared" si="25"/>
        <v>-1.711033601974199E-2</v>
      </c>
      <c r="AX33">
        <f t="shared" si="26"/>
        <v>1.1680218037094976E-3</v>
      </c>
      <c r="AY33">
        <f t="shared" si="27"/>
        <v>-2.8289120446832683E-2</v>
      </c>
      <c r="AZ33">
        <f t="shared" si="28"/>
        <v>3.5428866275241402E-2</v>
      </c>
      <c r="BA33">
        <f t="shared" si="29"/>
        <v>-4.9527081882535951E-3</v>
      </c>
    </row>
    <row r="34" spans="3:53">
      <c r="C34" t="str">
        <f>RTD("tos.rtd", , "IMPL_VOL", ".TSLA160520C195")</f>
        <v>50.45%</v>
      </c>
      <c r="D34" t="str">
        <f>RTD("tos.rtd", , "PROB_OTM", ".TSLA160520C195")</f>
        <v>6.02%</v>
      </c>
      <c r="E34">
        <f>RTD("tos.rtd", , "DELTA", ".TSLA160520C195")</f>
        <v>0.96</v>
      </c>
      <c r="F34">
        <f>RTD("tos.rtd", , "BID", ".TSLA160520C195")</f>
        <v>58.8</v>
      </c>
      <c r="G34" t="str">
        <f>RTD("tos.rtd", , "BX", ".TSLA160520C195")</f>
        <v>X</v>
      </c>
      <c r="H34">
        <f>RTD("tos.rtd", , "ASK", ".TSLA160520C195")</f>
        <v>61.55</v>
      </c>
      <c r="I34" t="str">
        <f>RTD("tos.rtd", , "AX", ".TSLA160520C195")</f>
        <v>X</v>
      </c>
      <c r="J34" t="str">
        <f>RTD("tos.rtd", , "EXPIRATION_DAY", ".TSLA160520C195")</f>
        <v>2016-05-21</v>
      </c>
      <c r="K34">
        <f>RTD("tos.rtd", , "STRIKE", ".TSLA160520C195")</f>
        <v>195</v>
      </c>
      <c r="L34">
        <f>RTD("tos.rtd", , "BID", ".TSLA160520P195")</f>
        <v>2.13</v>
      </c>
      <c r="M34" t="str">
        <f>RTD("tos.rtd", , "BX", ".TSLA160520P195")</f>
        <v>N</v>
      </c>
      <c r="N34">
        <f>RTD("tos.rtd", , "ASK", ".TSLA160520P195")</f>
        <v>2.2799999999999998</v>
      </c>
      <c r="O34" t="str">
        <f>RTD("tos.rtd", , "AX", ".TSLA160520P195")</f>
        <v>T</v>
      </c>
      <c r="P34" t="str">
        <f>RTD("tos.rtd", , "IMPL_VOL", ".TSLA160520P195")</f>
        <v>64.56%</v>
      </c>
      <c r="Q34" t="str">
        <f>RTD("tos.rtd", , "PROB_OTM", ".TSLA160520P195")</f>
        <v>87.97%</v>
      </c>
      <c r="R34">
        <f>RTD("tos.rtd", , "DELTA", ".TSLA160520P195")</f>
        <v>-0.08</v>
      </c>
      <c r="T34">
        <f t="shared" si="0"/>
        <v>254.3</v>
      </c>
      <c r="U34">
        <f t="shared" si="1"/>
        <v>195</v>
      </c>
      <c r="V34" s="1">
        <v>0.43430000000000002</v>
      </c>
      <c r="W34" s="1">
        <v>5.0000000000000001E-3</v>
      </c>
      <c r="X34" s="1">
        <v>0</v>
      </c>
      <c r="Y34" s="2">
        <v>27</v>
      </c>
      <c r="Z34" s="1">
        <f t="shared" si="2"/>
        <v>0.108</v>
      </c>
      <c r="AA34" s="3">
        <f t="shared" si="3"/>
        <v>0.26551511386432713</v>
      </c>
      <c r="AB34" s="3">
        <f t="shared" si="4"/>
        <v>1.0725290460000002E-2</v>
      </c>
      <c r="AC34" s="3">
        <f t="shared" si="5"/>
        <v>0.1427255440346962</v>
      </c>
      <c r="AD34" s="3">
        <f t="shared" si="6"/>
        <v>1.9354657653795582</v>
      </c>
      <c r="AE34" s="3">
        <f t="shared" si="7"/>
        <v>1.792740221344862</v>
      </c>
      <c r="AF34">
        <f t="shared" si="8"/>
        <v>0.97353341710638608</v>
      </c>
      <c r="AG34">
        <f t="shared" si="9"/>
        <v>2.6466582893613921E-2</v>
      </c>
      <c r="AH34">
        <f t="shared" si="10"/>
        <v>0.9634927640138049</v>
      </c>
      <c r="AI34">
        <f t="shared" si="11"/>
        <v>3.6507235986195097E-2</v>
      </c>
      <c r="AJ34">
        <f t="shared" si="12"/>
        <v>0.99946014577375952</v>
      </c>
      <c r="AK34">
        <f t="shared" si="13"/>
        <v>194.8947284258831</v>
      </c>
      <c r="AL34">
        <f t="shared" si="14"/>
        <v>1</v>
      </c>
      <c r="AM34">
        <f t="shared" si="15"/>
        <v>254.3</v>
      </c>
      <c r="AN34">
        <f t="shared" si="16"/>
        <v>59.78988738738002</v>
      </c>
      <c r="AO34">
        <f t="shared" si="17"/>
        <v>-1.7601126126199773</v>
      </c>
      <c r="AP34">
        <f t="shared" si="18"/>
        <v>0.97353341710638608</v>
      </c>
      <c r="AQ34">
        <f t="shared" si="19"/>
        <v>1.6889718554409627E-3</v>
      </c>
      <c r="AR34">
        <f t="shared" si="20"/>
        <v>-4.477909252460284E-2</v>
      </c>
      <c r="AS34">
        <f t="shared" si="21"/>
        <v>5.1230514549492782E-2</v>
      </c>
      <c r="AT34">
        <f t="shared" si="22"/>
        <v>0.2028020334293959</v>
      </c>
      <c r="AU34">
        <f t="shared" si="23"/>
        <v>0.38461581326309968</v>
      </c>
      <c r="AV34">
        <f t="shared" si="24"/>
        <v>-1.8953841867369001</v>
      </c>
      <c r="AW34">
        <f t="shared" si="25"/>
        <v>-2.6466582893613921E-2</v>
      </c>
      <c r="AX34">
        <f t="shared" si="26"/>
        <v>1.6889718554409627E-3</v>
      </c>
      <c r="AY34">
        <f t="shared" si="27"/>
        <v>-4.0896727416517516E-2</v>
      </c>
      <c r="AZ34">
        <f t="shared" si="28"/>
        <v>5.1230514549492782E-2</v>
      </c>
      <c r="BA34">
        <f t="shared" si="29"/>
        <v>-7.6842732705578497E-3</v>
      </c>
    </row>
    <row r="35" spans="3:53">
      <c r="C35" t="str">
        <f>RTD("tos.rtd", , "IMPL_VOL", ".TSLA160520C200")</f>
        <v>47.95%</v>
      </c>
      <c r="D35" t="str">
        <f>RTD("tos.rtd", , "PROB_OTM", ".TSLA160520C200")</f>
        <v>6.96%</v>
      </c>
      <c r="E35">
        <f>RTD("tos.rtd", , "DELTA", ".TSLA160520C200")</f>
        <v>0.95</v>
      </c>
      <c r="F35">
        <f>RTD("tos.rtd", , "BID", ".TSLA160520C200")</f>
        <v>54.15</v>
      </c>
      <c r="G35" t="str">
        <f>RTD("tos.rtd", , "BX", ".TSLA160520C200")</f>
        <v>H</v>
      </c>
      <c r="H35">
        <f>RTD("tos.rtd", , "ASK", ".TSLA160520C200")</f>
        <v>56.45</v>
      </c>
      <c r="I35" t="str">
        <f>RTD("tos.rtd", , "AX", ".TSLA160520C200")</f>
        <v>I</v>
      </c>
      <c r="J35" t="str">
        <f>RTD("tos.rtd", , "EXPIRATION_DAY", ".TSLA160520C200")</f>
        <v>2016-05-21</v>
      </c>
      <c r="K35">
        <f>RTD("tos.rtd", , "STRIKE", ".TSLA160520C200")</f>
        <v>200</v>
      </c>
      <c r="L35">
        <f>RTD("tos.rtd", , "BID", ".TSLA160520P200")</f>
        <v>2.65</v>
      </c>
      <c r="M35" t="str">
        <f>RTD("tos.rtd", , "BX", ".TSLA160520P200")</f>
        <v>C</v>
      </c>
      <c r="N35">
        <f>RTD("tos.rtd", , "ASK", ".TSLA160520P200")</f>
        <v>2.78</v>
      </c>
      <c r="O35" t="str">
        <f>RTD("tos.rtd", , "AX", ".TSLA160520P200")</f>
        <v>C</v>
      </c>
      <c r="P35" t="str">
        <f>RTD("tos.rtd", , "IMPL_VOL", ".TSLA160520P200")</f>
        <v>63.50%</v>
      </c>
      <c r="Q35" t="str">
        <f>RTD("tos.rtd", , "PROB_OTM", ".TSLA160520P200")</f>
        <v>85.83%</v>
      </c>
      <c r="R35">
        <f>RTD("tos.rtd", , "DELTA", ".TSLA160520P200")</f>
        <v>-0.1</v>
      </c>
      <c r="T35">
        <f t="shared" si="0"/>
        <v>254.3</v>
      </c>
      <c r="U35">
        <f t="shared" si="1"/>
        <v>200</v>
      </c>
      <c r="V35" s="1">
        <v>0.43430000000000002</v>
      </c>
      <c r="W35" s="1">
        <v>5.0000000000000001E-3</v>
      </c>
      <c r="X35" s="1">
        <v>0</v>
      </c>
      <c r="Y35" s="2">
        <v>27</v>
      </c>
      <c r="Z35" s="1">
        <f t="shared" si="2"/>
        <v>0.108</v>
      </c>
      <c r="AA35" s="3">
        <f t="shared" si="3"/>
        <v>0.24019730588003732</v>
      </c>
      <c r="AB35" s="3">
        <f t="shared" si="4"/>
        <v>1.0725290460000002E-2</v>
      </c>
      <c r="AC35" s="3">
        <f t="shared" si="5"/>
        <v>0.1427255440346962</v>
      </c>
      <c r="AD35" s="3">
        <f t="shared" si="6"/>
        <v>1.7580777010668722</v>
      </c>
      <c r="AE35" s="3">
        <f t="shared" si="7"/>
        <v>1.6153521570321761</v>
      </c>
      <c r="AF35">
        <f t="shared" si="8"/>
        <v>0.9606328553168717</v>
      </c>
      <c r="AG35">
        <f t="shared" si="9"/>
        <v>3.9367144683128297E-2</v>
      </c>
      <c r="AH35">
        <f t="shared" si="10"/>
        <v>0.94688277266716425</v>
      </c>
      <c r="AI35">
        <f t="shared" si="11"/>
        <v>5.3117227332835748E-2</v>
      </c>
      <c r="AJ35">
        <f t="shared" si="12"/>
        <v>0.99946014577375952</v>
      </c>
      <c r="AK35">
        <f t="shared" si="13"/>
        <v>199.8920291547519</v>
      </c>
      <c r="AL35">
        <f t="shared" si="14"/>
        <v>1</v>
      </c>
      <c r="AM35">
        <f t="shared" si="15"/>
        <v>254.3</v>
      </c>
      <c r="AN35">
        <f t="shared" si="16"/>
        <v>55.014616306963376</v>
      </c>
      <c r="AO35">
        <f t="shared" si="17"/>
        <v>-1.4353836930366271</v>
      </c>
      <c r="AP35">
        <f t="shared" si="18"/>
        <v>0.9606328553168717</v>
      </c>
      <c r="AQ35">
        <f t="shared" si="19"/>
        <v>2.3436633449351917E-3</v>
      </c>
      <c r="AR35">
        <f t="shared" si="20"/>
        <v>-6.0716492062702652E-2</v>
      </c>
      <c r="AS35">
        <f t="shared" si="21"/>
        <v>7.1088857226971225E-2</v>
      </c>
      <c r="AT35">
        <f t="shared" si="22"/>
        <v>0.20441626430412652</v>
      </c>
      <c r="AU35">
        <f t="shared" si="23"/>
        <v>0.6066454617152619</v>
      </c>
      <c r="AV35">
        <f t="shared" si="24"/>
        <v>-2.1733545382847379</v>
      </c>
      <c r="AW35">
        <f t="shared" si="25"/>
        <v>-3.9367144683128297E-2</v>
      </c>
      <c r="AX35">
        <f t="shared" si="26"/>
        <v>2.3436633449351917E-3</v>
      </c>
      <c r="AY35">
        <f t="shared" si="27"/>
        <v>-5.6734579131333097E-2</v>
      </c>
      <c r="AZ35">
        <f t="shared" si="28"/>
        <v>7.1088857226971225E-2</v>
      </c>
      <c r="BA35">
        <f t="shared" si="29"/>
        <v>-1.1467127183005571E-2</v>
      </c>
    </row>
    <row r="36" spans="3:53">
      <c r="C36" t="str">
        <f>RTD("tos.rtd", , "IMPL_VOL", ".TSLA160520C205")</f>
        <v>52.27%</v>
      </c>
      <c r="D36" t="str">
        <f>RTD("tos.rtd", , "PROB_OTM", ".TSLA160520C205")</f>
        <v>11.57%</v>
      </c>
      <c r="E36">
        <f>RTD("tos.rtd", , "DELTA", ".TSLA160520C205")</f>
        <v>0.91</v>
      </c>
      <c r="F36">
        <f>RTD("tos.rtd", , "BID", ".TSLA160520C205")</f>
        <v>50.95</v>
      </c>
      <c r="G36" t="str">
        <f>RTD("tos.rtd", , "BX", ".TSLA160520C205")</f>
        <v>T</v>
      </c>
      <c r="H36">
        <f>RTD("tos.rtd", , "ASK", ".TSLA160520C205")</f>
        <v>51.5</v>
      </c>
      <c r="I36" t="str">
        <f>RTD("tos.rtd", , "AX", ".TSLA160520C205")</f>
        <v>C</v>
      </c>
      <c r="J36" t="str">
        <f>RTD("tos.rtd", , "EXPIRATION_DAY", ".TSLA160520C205")</f>
        <v>2016-05-21</v>
      </c>
      <c r="K36">
        <f>RTD("tos.rtd", , "STRIKE", ".TSLA160520C205")</f>
        <v>205</v>
      </c>
      <c r="L36">
        <f>RTD("tos.rtd", , "BID", ".TSLA160520P205")</f>
        <v>3.15</v>
      </c>
      <c r="M36" t="str">
        <f>RTD("tos.rtd", , "BX", ".TSLA160520P205")</f>
        <v>C</v>
      </c>
      <c r="N36">
        <f>RTD("tos.rtd", , "ASK", ".TSLA160520P205")</f>
        <v>3.4</v>
      </c>
      <c r="O36" t="str">
        <f>RTD("tos.rtd", , "AX", ".TSLA160520P205")</f>
        <v>X</v>
      </c>
      <c r="P36" t="str">
        <f>RTD("tos.rtd", , "IMPL_VOL", ".TSLA160520P205")</f>
        <v>62.17%</v>
      </c>
      <c r="Q36" t="str">
        <f>RTD("tos.rtd", , "PROB_OTM", ".TSLA160520P205")</f>
        <v>83.57%</v>
      </c>
      <c r="R36">
        <f>RTD("tos.rtd", , "DELTA", ".TSLA160520P205")</f>
        <v>-0.12</v>
      </c>
      <c r="T36">
        <f t="shared" si="0"/>
        <v>254.3</v>
      </c>
      <c r="U36">
        <f t="shared" si="1"/>
        <v>205</v>
      </c>
      <c r="V36" s="1">
        <v>0.43430000000000002</v>
      </c>
      <c r="W36" s="1">
        <v>5.0000000000000001E-3</v>
      </c>
      <c r="X36" s="1">
        <v>0</v>
      </c>
      <c r="Y36" s="2">
        <v>27</v>
      </c>
      <c r="Z36" s="1">
        <f t="shared" si="2"/>
        <v>0.108</v>
      </c>
      <c r="AA36" s="3">
        <f t="shared" si="3"/>
        <v>0.21550469328966576</v>
      </c>
      <c r="AB36" s="3">
        <f t="shared" si="4"/>
        <v>1.0725290460000002E-2</v>
      </c>
      <c r="AC36" s="3">
        <f t="shared" si="5"/>
        <v>0.1427255440346962</v>
      </c>
      <c r="AD36" s="3">
        <f t="shared" si="6"/>
        <v>1.5850700397027029</v>
      </c>
      <c r="AE36" s="3">
        <f t="shared" si="7"/>
        <v>1.4423444956680067</v>
      </c>
      <c r="AF36">
        <f t="shared" si="8"/>
        <v>0.94352478909938553</v>
      </c>
      <c r="AG36">
        <f t="shared" si="9"/>
        <v>5.647521090061447E-2</v>
      </c>
      <c r="AH36">
        <f t="shared" si="10"/>
        <v>0.92539739322649484</v>
      </c>
      <c r="AI36">
        <f t="shared" si="11"/>
        <v>7.4602606773505165E-2</v>
      </c>
      <c r="AJ36">
        <f t="shared" si="12"/>
        <v>0.99946014577375952</v>
      </c>
      <c r="AK36">
        <f t="shared" si="13"/>
        <v>204.88932988362069</v>
      </c>
      <c r="AL36">
        <f t="shared" si="14"/>
        <v>1</v>
      </c>
      <c r="AM36">
        <f t="shared" si="15"/>
        <v>254.3</v>
      </c>
      <c r="AN36">
        <f t="shared" si="16"/>
        <v>50.334302093747795</v>
      </c>
      <c r="AO36">
        <f t="shared" si="17"/>
        <v>-1.1656979062522055</v>
      </c>
      <c r="AP36">
        <f t="shared" si="18"/>
        <v>0.94352478909938553</v>
      </c>
      <c r="AQ36">
        <f t="shared" si="19"/>
        <v>3.1296160313537941E-3</v>
      </c>
      <c r="AR36">
        <f t="shared" si="20"/>
        <v>-7.9820056779486961E-2</v>
      </c>
      <c r="AS36">
        <f t="shared" si="21"/>
        <v>9.4928662731763772E-2</v>
      </c>
      <c r="AT36">
        <f t="shared" si="22"/>
        <v>0.20477237591616404</v>
      </c>
      <c r="AU36">
        <f t="shared" si="23"/>
        <v>0.92363197736847447</v>
      </c>
      <c r="AV36">
        <f t="shared" si="24"/>
        <v>-2.4763680226315254</v>
      </c>
      <c r="AW36">
        <f t="shared" si="25"/>
        <v>-5.647521090061447E-2</v>
      </c>
      <c r="AX36">
        <f t="shared" si="26"/>
        <v>3.1296160313537941E-3</v>
      </c>
      <c r="AY36">
        <f t="shared" si="27"/>
        <v>-7.5738596024833155E-2</v>
      </c>
      <c r="AZ36">
        <f t="shared" si="28"/>
        <v>9.4928662731763772E-2</v>
      </c>
      <c r="BA36">
        <f t="shared" si="29"/>
        <v>-1.6508100358146316E-2</v>
      </c>
    </row>
    <row r="37" spans="3:53">
      <c r="C37" t="str">
        <f>RTD("tos.rtd", , "IMPL_VOL", ".TSLA160520C210")</f>
        <v>52.08%</v>
      </c>
      <c r="D37" t="str">
        <f>RTD("tos.rtd", , "PROB_OTM", ".TSLA160520C210")</f>
        <v>14.49%</v>
      </c>
      <c r="E37">
        <f>RTD("tos.rtd", , "DELTA", ".TSLA160520C210")</f>
        <v>0.89</v>
      </c>
      <c r="F37">
        <f>RTD("tos.rtd", , "BID", ".TSLA160520C210")</f>
        <v>46.6</v>
      </c>
      <c r="G37" t="str">
        <f>RTD("tos.rtd", , "BX", ".TSLA160520C210")</f>
        <v>C</v>
      </c>
      <c r="H37">
        <f>RTD("tos.rtd", , "ASK", ".TSLA160520C210")</f>
        <v>47.1</v>
      </c>
      <c r="I37" t="str">
        <f>RTD("tos.rtd", , "AX", ".TSLA160520C210")</f>
        <v>C</v>
      </c>
      <c r="J37" t="str">
        <f>RTD("tos.rtd", , "EXPIRATION_DAY", ".TSLA160520C210")</f>
        <v>2016-05-21</v>
      </c>
      <c r="K37">
        <f>RTD("tos.rtd", , "STRIKE", ".TSLA160520C210")</f>
        <v>210</v>
      </c>
      <c r="L37">
        <f>RTD("tos.rtd", , "BID", ".TSLA160520P210")</f>
        <v>3.9</v>
      </c>
      <c r="M37" t="str">
        <f>RTD("tos.rtd", , "BX", ".TSLA160520P210")</f>
        <v>C</v>
      </c>
      <c r="N37">
        <f>RTD("tos.rtd", , "ASK", ".TSLA160520P210")</f>
        <v>4.0999999999999996</v>
      </c>
      <c r="O37" t="str">
        <f>RTD("tos.rtd", , "AX", ".TSLA160520P210")</f>
        <v>C</v>
      </c>
      <c r="P37" t="str">
        <f>RTD("tos.rtd", , "IMPL_VOL", ".TSLA160520P210")</f>
        <v>61.24%</v>
      </c>
      <c r="Q37" t="str">
        <f>RTD("tos.rtd", , "PROB_OTM", ".TSLA160520P210")</f>
        <v>80.86%</v>
      </c>
      <c r="R37">
        <f>RTD("tos.rtd", , "DELTA", ".TSLA160520P210")</f>
        <v>-0.14000000000000001</v>
      </c>
      <c r="T37">
        <f t="shared" si="0"/>
        <v>254.3</v>
      </c>
      <c r="U37">
        <f t="shared" si="1"/>
        <v>210</v>
      </c>
      <c r="V37" s="1">
        <v>0.43430000000000002</v>
      </c>
      <c r="W37" s="1">
        <v>5.0000000000000001E-3</v>
      </c>
      <c r="X37" s="1">
        <v>0</v>
      </c>
      <c r="Y37" s="2">
        <v>27</v>
      </c>
      <c r="Z37" s="1">
        <f t="shared" si="2"/>
        <v>0.108</v>
      </c>
      <c r="AA37" s="3">
        <f t="shared" si="3"/>
        <v>0.1914071417106053</v>
      </c>
      <c r="AB37" s="3">
        <f t="shared" si="4"/>
        <v>1.0725290460000002E-2</v>
      </c>
      <c r="AC37" s="3">
        <f t="shared" si="5"/>
        <v>0.1427255440346962</v>
      </c>
      <c r="AD37" s="3">
        <f t="shared" si="6"/>
        <v>1.4162316461128182</v>
      </c>
      <c r="AE37" s="3">
        <f t="shared" si="7"/>
        <v>1.273506102078122</v>
      </c>
      <c r="AF37">
        <f t="shared" si="8"/>
        <v>0.92164615337205913</v>
      </c>
      <c r="AG37">
        <f t="shared" si="9"/>
        <v>7.8353846627940871E-2</v>
      </c>
      <c r="AH37">
        <f t="shared" si="10"/>
        <v>0.8985807456912811</v>
      </c>
      <c r="AI37">
        <f t="shared" si="11"/>
        <v>0.1014192543087189</v>
      </c>
      <c r="AJ37">
        <f t="shared" si="12"/>
        <v>0.99946014577375952</v>
      </c>
      <c r="AK37">
        <f t="shared" si="13"/>
        <v>209.88663061248951</v>
      </c>
      <c r="AL37">
        <f t="shared" si="14"/>
        <v>1</v>
      </c>
      <c r="AM37">
        <f t="shared" si="15"/>
        <v>254.3</v>
      </c>
      <c r="AN37">
        <f t="shared" si="16"/>
        <v>45.774531756113362</v>
      </c>
      <c r="AO37">
        <f t="shared" si="17"/>
        <v>-1.3254682438866396</v>
      </c>
      <c r="AP37">
        <f t="shared" si="18"/>
        <v>0.92164615337205913</v>
      </c>
      <c r="AQ37">
        <f t="shared" si="19"/>
        <v>4.0320615700170145E-3</v>
      </c>
      <c r="AR37">
        <f t="shared" si="20"/>
        <v>-0.10172758493654993</v>
      </c>
      <c r="AS37">
        <f t="shared" si="21"/>
        <v>0.12230197220976001</v>
      </c>
      <c r="AT37">
        <f t="shared" si="22"/>
        <v>0.20368809185011336</v>
      </c>
      <c r="AU37">
        <f t="shared" si="23"/>
        <v>1.3611623686028551</v>
      </c>
      <c r="AV37">
        <f t="shared" si="24"/>
        <v>-2.7388376313971445</v>
      </c>
      <c r="AW37">
        <f t="shared" si="25"/>
        <v>-7.8353846627940871E-2</v>
      </c>
      <c r="AX37">
        <f t="shared" si="26"/>
        <v>4.0320615700170145E-3</v>
      </c>
      <c r="AY37">
        <f t="shared" si="27"/>
        <v>-9.75465763586119E-2</v>
      </c>
      <c r="AZ37">
        <f t="shared" si="28"/>
        <v>0.12230197220976001</v>
      </c>
      <c r="BA37">
        <f t="shared" si="29"/>
        <v>-2.2989469211375277E-2</v>
      </c>
    </row>
    <row r="38" spans="3:53">
      <c r="C38" t="str">
        <f>RTD("tos.rtd", , "IMPL_VOL", ".TSLA160520C215")</f>
        <v>51.88%</v>
      </c>
      <c r="D38" t="str">
        <f>RTD("tos.rtd", , "PROB_OTM", ".TSLA160520C215")</f>
        <v>17.81%</v>
      </c>
      <c r="E38">
        <f>RTD("tos.rtd", , "DELTA", ".TSLA160520C215")</f>
        <v>0.86</v>
      </c>
      <c r="F38">
        <f>RTD("tos.rtd", , "BID", ".TSLA160520C215")</f>
        <v>42.35</v>
      </c>
      <c r="G38" t="str">
        <f>RTD("tos.rtd", , "BX", ".TSLA160520C215")</f>
        <v>C</v>
      </c>
      <c r="H38">
        <f>RTD("tos.rtd", , "ASK", ".TSLA160520C215")</f>
        <v>42.9</v>
      </c>
      <c r="I38" t="str">
        <f>RTD("tos.rtd", , "AX", ".TSLA160520C215")</f>
        <v>C</v>
      </c>
      <c r="J38" t="str">
        <f>RTD("tos.rtd", , "EXPIRATION_DAY", ".TSLA160520C215")</f>
        <v>2016-05-21</v>
      </c>
      <c r="K38">
        <f>RTD("tos.rtd", , "STRIKE", ".TSLA160520C215")</f>
        <v>215</v>
      </c>
      <c r="L38">
        <f>RTD("tos.rtd", , "BID", ".TSLA160520P215")</f>
        <v>4.7</v>
      </c>
      <c r="M38" t="str">
        <f>RTD("tos.rtd", , "BX", ".TSLA160520P215")</f>
        <v>C</v>
      </c>
      <c r="N38">
        <f>RTD("tos.rtd", , "ASK", ".TSLA160520P215")</f>
        <v>5</v>
      </c>
      <c r="O38" t="str">
        <f>RTD("tos.rtd", , "AX", ".TSLA160520P215")</f>
        <v>X</v>
      </c>
      <c r="P38" t="str">
        <f>RTD("tos.rtd", , "IMPL_VOL", ".TSLA160520P215")</f>
        <v>60.32%</v>
      </c>
      <c r="Q38" t="str">
        <f>RTD("tos.rtd", , "PROB_OTM", ".TSLA160520P215")</f>
        <v>77.88%</v>
      </c>
      <c r="R38">
        <f>RTD("tos.rtd", , "DELTA", ".TSLA160520P215")</f>
        <v>-0.17</v>
      </c>
      <c r="T38">
        <f t="shared" si="0"/>
        <v>254.3</v>
      </c>
      <c r="U38">
        <f t="shared" si="1"/>
        <v>215</v>
      </c>
      <c r="V38" s="1">
        <v>0.43430000000000002</v>
      </c>
      <c r="W38" s="1">
        <v>5.0000000000000001E-3</v>
      </c>
      <c r="X38" s="1">
        <v>0</v>
      </c>
      <c r="Y38" s="2">
        <v>27</v>
      </c>
      <c r="Z38" s="1">
        <f t="shared" si="2"/>
        <v>0.108</v>
      </c>
      <c r="AA38" s="3">
        <f t="shared" si="3"/>
        <v>0.16787664430041122</v>
      </c>
      <c r="AB38" s="3">
        <f t="shared" si="4"/>
        <v>1.0725290460000002E-2</v>
      </c>
      <c r="AC38" s="3">
        <f t="shared" si="5"/>
        <v>0.1427255440346962</v>
      </c>
      <c r="AD38" s="3">
        <f t="shared" si="6"/>
        <v>1.2513662916358796</v>
      </c>
      <c r="AE38" s="3">
        <f t="shared" si="7"/>
        <v>1.1086407476011835</v>
      </c>
      <c r="AF38">
        <f t="shared" si="8"/>
        <v>0.89459956519409789</v>
      </c>
      <c r="AG38">
        <f t="shared" si="9"/>
        <v>0.10540043480590211</v>
      </c>
      <c r="AH38">
        <f t="shared" si="10"/>
        <v>0.86620740378241001</v>
      </c>
      <c r="AI38">
        <f t="shared" si="11"/>
        <v>0.13379259621758999</v>
      </c>
      <c r="AJ38">
        <f t="shared" si="12"/>
        <v>0.99946014577375952</v>
      </c>
      <c r="AK38">
        <f t="shared" si="13"/>
        <v>214.88393134135831</v>
      </c>
      <c r="AL38">
        <f t="shared" si="14"/>
        <v>1</v>
      </c>
      <c r="AM38">
        <f t="shared" si="15"/>
        <v>254.3</v>
      </c>
      <c r="AN38">
        <f t="shared" si="16"/>
        <v>41.362617147103464</v>
      </c>
      <c r="AO38">
        <f t="shared" si="17"/>
        <v>-1.5373828528965348</v>
      </c>
      <c r="AP38">
        <f t="shared" si="18"/>
        <v>0.89459956519409789</v>
      </c>
      <c r="AQ38">
        <f t="shared" si="19"/>
        <v>5.0237418314753946E-3</v>
      </c>
      <c r="AR38">
        <f t="shared" si="20"/>
        <v>-0.1257742042516361</v>
      </c>
      <c r="AS38">
        <f t="shared" si="21"/>
        <v>0.1523819820686716</v>
      </c>
      <c r="AT38">
        <f t="shared" si="22"/>
        <v>0.20102477646429606</v>
      </c>
      <c r="AU38">
        <f t="shared" si="23"/>
        <v>1.9465484884617723</v>
      </c>
      <c r="AV38">
        <f t="shared" si="24"/>
        <v>-3.0534515115382277</v>
      </c>
      <c r="AW38">
        <f t="shared" si="25"/>
        <v>-0.10540043480590211</v>
      </c>
      <c r="AX38">
        <f t="shared" si="26"/>
        <v>5.0237418314753946E-3</v>
      </c>
      <c r="AY38">
        <f t="shared" si="27"/>
        <v>-0.12149364785041383</v>
      </c>
      <c r="AZ38">
        <f t="shared" si="28"/>
        <v>0.1523819820686716</v>
      </c>
      <c r="BA38">
        <f t="shared" si="29"/>
        <v>-3.1049869384370897E-2</v>
      </c>
    </row>
    <row r="39" spans="3:53">
      <c r="C39" t="str">
        <f>RTD("tos.rtd", , "IMPL_VOL", ".TSLA160520C220")</f>
        <v>51.59%</v>
      </c>
      <c r="D39" t="str">
        <f>RTD("tos.rtd", , "PROB_OTM", ".TSLA160520C220")</f>
        <v>21.46%</v>
      </c>
      <c r="E39">
        <f>RTD("tos.rtd", , "DELTA", ".TSLA160520C220")</f>
        <v>0.83</v>
      </c>
      <c r="F39">
        <f>RTD("tos.rtd", , "BID", ".TSLA160520C220")</f>
        <v>38.299999999999997</v>
      </c>
      <c r="G39" t="str">
        <f>RTD("tos.rtd", , "BX", ".TSLA160520C220")</f>
        <v>C</v>
      </c>
      <c r="H39">
        <f>RTD("tos.rtd", , "ASK", ".TSLA160520C220")</f>
        <v>38.799999999999997</v>
      </c>
      <c r="I39" t="str">
        <f>RTD("tos.rtd", , "AX", ".TSLA160520C220")</f>
        <v>C</v>
      </c>
      <c r="J39" t="str">
        <f>RTD("tos.rtd", , "EXPIRATION_DAY", ".TSLA160520C220")</f>
        <v>2016-05-21</v>
      </c>
      <c r="K39">
        <f>RTD("tos.rtd", , "STRIKE", ".TSLA160520C220")</f>
        <v>220</v>
      </c>
      <c r="L39">
        <f>RTD("tos.rtd", , "BID", ".TSLA160520P220")</f>
        <v>5.75</v>
      </c>
      <c r="M39" t="str">
        <f>RTD("tos.rtd", , "BX", ".TSLA160520P220")</f>
        <v>C</v>
      </c>
      <c r="N39">
        <f>RTD("tos.rtd", , "ASK", ".TSLA160520P220")</f>
        <v>6</v>
      </c>
      <c r="O39" t="str">
        <f>RTD("tos.rtd", , "AX", ".TSLA160520P220")</f>
        <v>C</v>
      </c>
      <c r="P39" t="str">
        <f>RTD("tos.rtd", , "IMPL_VOL", ".TSLA160520P220")</f>
        <v>59.57%</v>
      </c>
      <c r="Q39" t="str">
        <f>RTD("tos.rtd", , "PROB_OTM", ".TSLA160520P220")</f>
        <v>74.56%</v>
      </c>
      <c r="R39">
        <f>RTD("tos.rtd", , "DELTA", ".TSLA160520P220")</f>
        <v>-0.2</v>
      </c>
      <c r="T39">
        <f t="shared" si="0"/>
        <v>254.3</v>
      </c>
      <c r="U39">
        <f t="shared" si="1"/>
        <v>220</v>
      </c>
      <c r="V39" s="1">
        <v>0.43430000000000002</v>
      </c>
      <c r="W39" s="1">
        <v>5.0000000000000001E-3</v>
      </c>
      <c r="X39" s="1">
        <v>0</v>
      </c>
      <c r="Y39" s="2">
        <v>27</v>
      </c>
      <c r="Z39" s="1">
        <f t="shared" si="2"/>
        <v>0.108</v>
      </c>
      <c r="AA39" s="3">
        <f t="shared" si="3"/>
        <v>0.1448871260757125</v>
      </c>
      <c r="AB39" s="3">
        <f t="shared" si="4"/>
        <v>1.0725290460000002E-2</v>
      </c>
      <c r="AC39" s="3">
        <f t="shared" si="5"/>
        <v>0.1427255440346962</v>
      </c>
      <c r="AD39" s="3">
        <f t="shared" si="6"/>
        <v>1.0902912830928397</v>
      </c>
      <c r="AE39" s="3">
        <f t="shared" si="7"/>
        <v>0.94756573905814356</v>
      </c>
      <c r="AF39">
        <f t="shared" si="8"/>
        <v>0.86220757310804319</v>
      </c>
      <c r="AG39">
        <f t="shared" si="9"/>
        <v>0.13779242689195681</v>
      </c>
      <c r="AH39">
        <f t="shared" si="10"/>
        <v>0.82832471262068075</v>
      </c>
      <c r="AI39">
        <f t="shared" si="11"/>
        <v>0.17167528737931925</v>
      </c>
      <c r="AJ39">
        <f t="shared" si="12"/>
        <v>0.99946014577375952</v>
      </c>
      <c r="AK39">
        <f t="shared" si="13"/>
        <v>219.8812320702271</v>
      </c>
      <c r="AL39">
        <f t="shared" si="14"/>
        <v>1</v>
      </c>
      <c r="AM39">
        <f t="shared" si="15"/>
        <v>254.3</v>
      </c>
      <c r="AN39">
        <f t="shared" si="16"/>
        <v>37.126327476123322</v>
      </c>
      <c r="AO39">
        <f t="shared" si="17"/>
        <v>-1.6736725238766752</v>
      </c>
      <c r="AP39">
        <f t="shared" si="18"/>
        <v>0.86220757310804319</v>
      </c>
      <c r="AQ39">
        <f t="shared" si="19"/>
        <v>6.0664057589636822E-3</v>
      </c>
      <c r="AR39">
        <f t="shared" si="20"/>
        <v>-0.15102904244647627</v>
      </c>
      <c r="AS39">
        <f t="shared" si="21"/>
        <v>0.18400844720800566</v>
      </c>
      <c r="AT39">
        <f t="shared" si="22"/>
        <v>0.19670370303447221</v>
      </c>
      <c r="AU39">
        <f t="shared" si="23"/>
        <v>2.707559546350403</v>
      </c>
      <c r="AV39">
        <f t="shared" si="24"/>
        <v>-3.292440453649597</v>
      </c>
      <c r="AW39">
        <f t="shared" si="25"/>
        <v>-0.13779242689195681</v>
      </c>
      <c r="AX39">
        <f t="shared" si="26"/>
        <v>6.0664057589636822E-3</v>
      </c>
      <c r="AY39">
        <f t="shared" si="27"/>
        <v>-0.14664893822196975</v>
      </c>
      <c r="AZ39">
        <f t="shared" si="28"/>
        <v>0.18400844720800566</v>
      </c>
      <c r="BA39">
        <f t="shared" si="29"/>
        <v>-4.0768027601373019E-2</v>
      </c>
    </row>
    <row r="40" spans="3:53">
      <c r="C40" t="str">
        <f>RTD("tos.rtd", , "IMPL_VOL", ".TSLA160520C225")</f>
        <v>51.68%</v>
      </c>
      <c r="D40" t="str">
        <f>RTD("tos.rtd", , "PROB_OTM", ".TSLA160520C225")</f>
        <v>25.65%</v>
      </c>
      <c r="E40">
        <f>RTD("tos.rtd", , "DELTA", ".TSLA160520C225")</f>
        <v>0.79</v>
      </c>
      <c r="F40">
        <f>RTD("tos.rtd", , "BID", ".TSLA160520C225")</f>
        <v>34.5</v>
      </c>
      <c r="G40" t="str">
        <f>RTD("tos.rtd", , "BX", ".TSLA160520C225")</f>
        <v>N</v>
      </c>
      <c r="H40">
        <f>RTD("tos.rtd", , "ASK", ".TSLA160520C225")</f>
        <v>35</v>
      </c>
      <c r="I40" t="str">
        <f>RTD("tos.rtd", , "AX", ".TSLA160520C225")</f>
        <v>C</v>
      </c>
      <c r="J40" t="str">
        <f>RTD("tos.rtd", , "EXPIRATION_DAY", ".TSLA160520C225")</f>
        <v>2016-05-21</v>
      </c>
      <c r="K40">
        <f>RTD("tos.rtd", , "STRIKE", ".TSLA160520C225")</f>
        <v>225</v>
      </c>
      <c r="L40">
        <f>RTD("tos.rtd", , "BID", ".TSLA160520P225")</f>
        <v>6.9</v>
      </c>
      <c r="M40" t="str">
        <f>RTD("tos.rtd", , "BX", ".TSLA160520P225")</f>
        <v>C</v>
      </c>
      <c r="N40">
        <f>RTD("tos.rtd", , "ASK", ".TSLA160520P225")</f>
        <v>7.15</v>
      </c>
      <c r="O40" t="str">
        <f>RTD("tos.rtd", , "AX", ".TSLA160520P225")</f>
        <v>X</v>
      </c>
      <c r="P40" t="str">
        <f>RTD("tos.rtd", , "IMPL_VOL", ".TSLA160520P225")</f>
        <v>58.70%</v>
      </c>
      <c r="Q40" t="str">
        <f>RTD("tos.rtd", , "PROB_OTM", ".TSLA160520P225")</f>
        <v>71.04%</v>
      </c>
      <c r="R40">
        <f>RTD("tos.rtd", , "DELTA", ".TSLA160520P225")</f>
        <v>-0.23</v>
      </c>
      <c r="T40">
        <f t="shared" si="0"/>
        <v>254.3</v>
      </c>
      <c r="U40">
        <f t="shared" si="1"/>
        <v>225</v>
      </c>
      <c r="V40" s="1">
        <v>0.43430000000000002</v>
      </c>
      <c r="W40" s="1">
        <v>5.0000000000000001E-3</v>
      </c>
      <c r="X40" s="1">
        <v>0</v>
      </c>
      <c r="Y40" s="2">
        <v>27</v>
      </c>
      <c r="Z40" s="1">
        <f t="shared" si="2"/>
        <v>0.108</v>
      </c>
      <c r="AA40" s="3">
        <f t="shared" si="3"/>
        <v>0.12241427022365384</v>
      </c>
      <c r="AB40" s="3">
        <f t="shared" si="4"/>
        <v>1.0725290460000002E-2</v>
      </c>
      <c r="AC40" s="3">
        <f t="shared" si="5"/>
        <v>0.1427255440346962</v>
      </c>
      <c r="AD40" s="3">
        <f t="shared" si="6"/>
        <v>0.93283624584599922</v>
      </c>
      <c r="AE40" s="3">
        <f t="shared" si="7"/>
        <v>0.79011070181130305</v>
      </c>
      <c r="AF40">
        <f t="shared" si="8"/>
        <v>0.82454773813110882</v>
      </c>
      <c r="AG40">
        <f t="shared" si="9"/>
        <v>0.17545226186889118</v>
      </c>
      <c r="AH40">
        <f t="shared" si="10"/>
        <v>0.78526843977014171</v>
      </c>
      <c r="AI40">
        <f t="shared" si="11"/>
        <v>0.21473156022985829</v>
      </c>
      <c r="AJ40">
        <f t="shared" si="12"/>
        <v>0.99946014577375952</v>
      </c>
      <c r="AK40">
        <f t="shared" si="13"/>
        <v>224.87853279909589</v>
      </c>
      <c r="AL40">
        <f t="shared" si="14"/>
        <v>1</v>
      </c>
      <c r="AM40">
        <f t="shared" si="15"/>
        <v>254.3</v>
      </c>
      <c r="AN40">
        <f t="shared" si="16"/>
        <v>33.092475217796306</v>
      </c>
      <c r="AO40">
        <f t="shared" si="17"/>
        <v>-1.9075247822036943</v>
      </c>
      <c r="AP40">
        <f t="shared" si="18"/>
        <v>0.82454773813110882</v>
      </c>
      <c r="AQ40">
        <f t="shared" si="19"/>
        <v>7.1138394702140563E-3</v>
      </c>
      <c r="AR40">
        <f t="shared" si="20"/>
        <v>-0.17636905822456383</v>
      </c>
      <c r="AS40">
        <f t="shared" si="21"/>
        <v>0.21577959117998835</v>
      </c>
      <c r="AT40">
        <f t="shared" si="22"/>
        <v>0.19071721575606024</v>
      </c>
      <c r="AU40">
        <f t="shared" si="23"/>
        <v>3.6710080168921948</v>
      </c>
      <c r="AV40">
        <f t="shared" si="24"/>
        <v>-3.4789919831078056</v>
      </c>
      <c r="AW40">
        <f t="shared" si="25"/>
        <v>-0.17545226186889118</v>
      </c>
      <c r="AX40">
        <f t="shared" si="26"/>
        <v>7.1138394702140563E-3</v>
      </c>
      <c r="AY40">
        <f t="shared" si="27"/>
        <v>-0.17188940617677306</v>
      </c>
      <c r="AZ40">
        <f t="shared" si="28"/>
        <v>0.21577959117998835</v>
      </c>
      <c r="BA40">
        <f t="shared" si="29"/>
        <v>-5.2151599666963318E-2</v>
      </c>
    </row>
    <row r="41" spans="3:53">
      <c r="C41" t="str">
        <f>RTD("tos.rtd", , "IMPL_VOL", ".TSLA160520C230")</f>
        <v>51.32%</v>
      </c>
      <c r="D41" t="str">
        <f>RTD("tos.rtd", , "PROB_OTM", ".TSLA160520C230")</f>
        <v>29.91%</v>
      </c>
      <c r="E41">
        <f>RTD("tos.rtd", , "DELTA", ".TSLA160520C230")</f>
        <v>0.76</v>
      </c>
      <c r="F41">
        <f>RTD("tos.rtd", , "BID", ".TSLA160520C230")</f>
        <v>30.8</v>
      </c>
      <c r="G41" t="str">
        <f>RTD("tos.rtd", , "BX", ".TSLA160520C230")</f>
        <v>C</v>
      </c>
      <c r="H41">
        <f>RTD("tos.rtd", , "ASK", ".TSLA160520C230")</f>
        <v>31.3</v>
      </c>
      <c r="I41" t="str">
        <f>RTD("tos.rtd", , "AX", ".TSLA160520C230")</f>
        <v>C</v>
      </c>
      <c r="J41" t="str">
        <f>RTD("tos.rtd", , "EXPIRATION_DAY", ".TSLA160520C230")</f>
        <v>2016-05-21</v>
      </c>
      <c r="K41">
        <f>RTD("tos.rtd", , "STRIKE", ".TSLA160520C230")</f>
        <v>230</v>
      </c>
      <c r="L41">
        <f>RTD("tos.rtd", , "BID", ".TSLA160520P230")</f>
        <v>8.25</v>
      </c>
      <c r="M41" t="str">
        <f>RTD("tos.rtd", , "BX", ".TSLA160520P230")</f>
        <v>C</v>
      </c>
      <c r="N41">
        <f>RTD("tos.rtd", , "ASK", ".TSLA160520P230")</f>
        <v>8.5500000000000007</v>
      </c>
      <c r="O41" t="str">
        <f>RTD("tos.rtd", , "AX", ".TSLA160520P230")</f>
        <v>X</v>
      </c>
      <c r="P41" t="str">
        <f>RTD("tos.rtd", , "IMPL_VOL", ".TSLA160520P230")</f>
        <v>58.05%</v>
      </c>
      <c r="Q41" t="str">
        <f>RTD("tos.rtd", , "PROB_OTM", ".TSLA160520P230")</f>
        <v>67.20%</v>
      </c>
      <c r="R41">
        <f>RTD("tos.rtd", , "DELTA", ".TSLA160520P230")</f>
        <v>-0.26</v>
      </c>
      <c r="T41">
        <f t="shared" si="0"/>
        <v>254.3</v>
      </c>
      <c r="U41">
        <f t="shared" si="1"/>
        <v>230</v>
      </c>
      <c r="V41" s="1">
        <v>0.43430000000000002</v>
      </c>
      <c r="W41" s="1">
        <v>5.0000000000000001E-3</v>
      </c>
      <c r="X41" s="1">
        <v>0</v>
      </c>
      <c r="Y41" s="2">
        <v>27</v>
      </c>
      <c r="Z41" s="1">
        <f t="shared" si="2"/>
        <v>0.108</v>
      </c>
      <c r="AA41" s="3">
        <f t="shared" si="3"/>
        <v>0.10043536350487869</v>
      </c>
      <c r="AB41" s="3">
        <f t="shared" si="4"/>
        <v>1.0725290460000002E-2</v>
      </c>
      <c r="AC41" s="3">
        <f t="shared" si="5"/>
        <v>0.1427255440346962</v>
      </c>
      <c r="AD41" s="3">
        <f t="shared" si="6"/>
        <v>0.77884204062207563</v>
      </c>
      <c r="AE41" s="3">
        <f t="shared" si="7"/>
        <v>0.63611649658737945</v>
      </c>
      <c r="AF41">
        <f t="shared" si="8"/>
        <v>0.78196361527126146</v>
      </c>
      <c r="AG41">
        <f t="shared" si="9"/>
        <v>0.21803638472873854</v>
      </c>
      <c r="AH41">
        <f t="shared" si="10"/>
        <v>0.73764975298700497</v>
      </c>
      <c r="AI41">
        <f t="shared" si="11"/>
        <v>0.26235024701299503</v>
      </c>
      <c r="AJ41">
        <f t="shared" si="12"/>
        <v>0.99946014577375952</v>
      </c>
      <c r="AK41">
        <f t="shared" si="13"/>
        <v>229.87583352796469</v>
      </c>
      <c r="AL41">
        <f t="shared" si="14"/>
        <v>1</v>
      </c>
      <c r="AM41">
        <f t="shared" si="15"/>
        <v>254.3</v>
      </c>
      <c r="AN41">
        <f t="shared" si="16"/>
        <v>29.285495543896758</v>
      </c>
      <c r="AO41">
        <f t="shared" si="17"/>
        <v>-2.0145044561032428</v>
      </c>
      <c r="AP41">
        <f t="shared" si="18"/>
        <v>0.78196361527126146</v>
      </c>
      <c r="AQ41">
        <f t="shared" si="19"/>
        <v>8.1159915158299026E-3</v>
      </c>
      <c r="AR41">
        <f t="shared" si="20"/>
        <v>-0.20057936029613632</v>
      </c>
      <c r="AS41">
        <f t="shared" si="21"/>
        <v>0.24617723504145006</v>
      </c>
      <c r="AT41">
        <f t="shared" si="22"/>
        <v>0.18313327996515183</v>
      </c>
      <c r="AU41">
        <f t="shared" si="23"/>
        <v>4.8613290718614408</v>
      </c>
      <c r="AV41">
        <f t="shared" si="24"/>
        <v>-3.6886709281385599</v>
      </c>
      <c r="AW41">
        <f t="shared" si="25"/>
        <v>-0.21803638472873854</v>
      </c>
      <c r="AX41">
        <f t="shared" si="26"/>
        <v>8.1159915158299026E-3</v>
      </c>
      <c r="AY41">
        <f t="shared" si="27"/>
        <v>-0.19600016042506133</v>
      </c>
      <c r="AZ41">
        <f t="shared" si="28"/>
        <v>0.24617723504145006</v>
      </c>
      <c r="BA41">
        <f t="shared" si="29"/>
        <v>-6.5132620245050038E-2</v>
      </c>
    </row>
    <row r="42" spans="3:53">
      <c r="C42" t="str">
        <f>RTD("tos.rtd", , "IMPL_VOL", ".TSLA160520C235")</f>
        <v>51.00%</v>
      </c>
      <c r="D42" t="str">
        <f>RTD("tos.rtd", , "PROB_OTM", ".TSLA160520C235")</f>
        <v>34.43%</v>
      </c>
      <c r="E42">
        <f>RTD("tos.rtd", , "DELTA", ".TSLA160520C235")</f>
        <v>0.71</v>
      </c>
      <c r="F42">
        <f>RTD("tos.rtd", , "BID", ".TSLA160520C235")</f>
        <v>27.35</v>
      </c>
      <c r="G42" t="str">
        <f>RTD("tos.rtd", , "BX", ".TSLA160520C235")</f>
        <v>C</v>
      </c>
      <c r="H42">
        <f>RTD("tos.rtd", , "ASK", ".TSLA160520C235")</f>
        <v>27.8</v>
      </c>
      <c r="I42" t="str">
        <f>RTD("tos.rtd", , "AX", ".TSLA160520C235")</f>
        <v>C</v>
      </c>
      <c r="J42" t="str">
        <f>RTD("tos.rtd", , "EXPIRATION_DAY", ".TSLA160520C235")</f>
        <v>2016-05-21</v>
      </c>
      <c r="K42">
        <f>RTD("tos.rtd", , "STRIKE", ".TSLA160520C235")</f>
        <v>235</v>
      </c>
      <c r="L42">
        <f>RTD("tos.rtd", , "BID", ".TSLA160520P235")</f>
        <v>9.85</v>
      </c>
      <c r="M42" t="str">
        <f>RTD("tos.rtd", , "BX", ".TSLA160520P235")</f>
        <v>X</v>
      </c>
      <c r="N42">
        <f>RTD("tos.rtd", , "ASK", ".TSLA160520P235")</f>
        <v>10.1</v>
      </c>
      <c r="O42" t="str">
        <f>RTD("tos.rtd", , "AX", ".TSLA160520P235")</f>
        <v>X</v>
      </c>
      <c r="P42" t="str">
        <f>RTD("tos.rtd", , "IMPL_VOL", ".TSLA160520P235")</f>
        <v>57.45%</v>
      </c>
      <c r="Q42" t="str">
        <f>RTD("tos.rtd", , "PROB_OTM", ".TSLA160520P235")</f>
        <v>63.16%</v>
      </c>
      <c r="R42">
        <f>RTD("tos.rtd", , "DELTA", ".TSLA160520P235")</f>
        <v>-0.3</v>
      </c>
      <c r="T42">
        <f t="shared" si="0"/>
        <v>254.3</v>
      </c>
      <c r="U42">
        <f t="shared" si="1"/>
        <v>235</v>
      </c>
      <c r="V42" s="1">
        <v>0.43430000000000002</v>
      </c>
      <c r="W42" s="1">
        <v>5.0000000000000001E-3</v>
      </c>
      <c r="X42" s="1">
        <v>0</v>
      </c>
      <c r="Y42" s="2">
        <v>27</v>
      </c>
      <c r="Z42" s="1">
        <f t="shared" si="2"/>
        <v>0.108</v>
      </c>
      <c r="AA42" s="3">
        <f t="shared" si="3"/>
        <v>7.8929158283915113E-2</v>
      </c>
      <c r="AB42" s="3">
        <f t="shared" si="4"/>
        <v>1.0725290460000002E-2</v>
      </c>
      <c r="AC42" s="3">
        <f t="shared" si="5"/>
        <v>0.1427255440346962</v>
      </c>
      <c r="AD42" s="3">
        <f t="shared" si="6"/>
        <v>0.62815979683440804</v>
      </c>
      <c r="AE42" s="3">
        <f t="shared" si="7"/>
        <v>0.48543425279971186</v>
      </c>
      <c r="AF42">
        <f t="shared" si="8"/>
        <v>0.73505036799702128</v>
      </c>
      <c r="AG42">
        <f t="shared" si="9"/>
        <v>0.26494963200297872</v>
      </c>
      <c r="AH42">
        <f t="shared" si="10"/>
        <v>0.68631582999676177</v>
      </c>
      <c r="AI42">
        <f t="shared" si="11"/>
        <v>0.31368417000323823</v>
      </c>
      <c r="AJ42">
        <f t="shared" si="12"/>
        <v>0.99946014577375952</v>
      </c>
      <c r="AK42">
        <f t="shared" si="13"/>
        <v>234.87313425683348</v>
      </c>
      <c r="AL42">
        <f t="shared" si="14"/>
        <v>1</v>
      </c>
      <c r="AM42">
        <f t="shared" si="15"/>
        <v>254.3</v>
      </c>
      <c r="AN42">
        <f t="shared" si="16"/>
        <v>25.726158500222994</v>
      </c>
      <c r="AO42">
        <f t="shared" si="17"/>
        <v>-2.0738414997770072</v>
      </c>
      <c r="AP42">
        <f t="shared" si="18"/>
        <v>0.73505036799702128</v>
      </c>
      <c r="AQ42">
        <f t="shared" si="19"/>
        <v>9.0235829093904801E-3</v>
      </c>
      <c r="AR42">
        <f t="shared" si="20"/>
        <v>-0.22246517418896217</v>
      </c>
      <c r="AS42">
        <f t="shared" si="21"/>
        <v>0.27370663047987204</v>
      </c>
      <c r="AT42">
        <f t="shared" si="22"/>
        <v>0.17409292208793312</v>
      </c>
      <c r="AU42">
        <f t="shared" si="23"/>
        <v>6.299292757056449</v>
      </c>
      <c r="AV42">
        <f t="shared" si="24"/>
        <v>-3.8007072429435507</v>
      </c>
      <c r="AW42">
        <f t="shared" si="25"/>
        <v>-0.26494963200297872</v>
      </c>
      <c r="AX42">
        <f t="shared" si="26"/>
        <v>9.0235829093904801E-3</v>
      </c>
      <c r="AY42">
        <f t="shared" si="27"/>
        <v>-0.21778642649460295</v>
      </c>
      <c r="AZ42">
        <f t="shared" si="28"/>
        <v>0.27370663047987204</v>
      </c>
      <c r="BA42">
        <f t="shared" si="29"/>
        <v>-7.957006290944707E-2</v>
      </c>
    </row>
    <row r="43" spans="3:53">
      <c r="C43" t="str">
        <f>RTD("tos.rtd", , "IMPL_VOL", ".TSLA160520C240")</f>
        <v>50.77%</v>
      </c>
      <c r="D43" t="str">
        <f>RTD("tos.rtd", , "PROB_OTM", ".TSLA160520C240")</f>
        <v>39.18%</v>
      </c>
      <c r="E43">
        <f>RTD("tos.rtd", , "DELTA", ".TSLA160520C240")</f>
        <v>0.67</v>
      </c>
      <c r="F43">
        <f>RTD("tos.rtd", , "BID", ".TSLA160520C240")</f>
        <v>24.15</v>
      </c>
      <c r="G43" t="str">
        <f>RTD("tos.rtd", , "BX", ".TSLA160520C240")</f>
        <v>C</v>
      </c>
      <c r="H43">
        <f>RTD("tos.rtd", , "ASK", ".TSLA160520C240")</f>
        <v>24.55</v>
      </c>
      <c r="I43" t="str">
        <f>RTD("tos.rtd", , "AX", ".TSLA160520C240")</f>
        <v>C</v>
      </c>
      <c r="J43" t="str">
        <f>RTD("tos.rtd", , "EXPIRATION_DAY", ".TSLA160520C240")</f>
        <v>2016-05-21</v>
      </c>
      <c r="K43">
        <f>RTD("tos.rtd", , "STRIKE", ".TSLA160520C240")</f>
        <v>240</v>
      </c>
      <c r="L43">
        <f>RTD("tos.rtd", , "BID", ".TSLA160520P240")</f>
        <v>11.65</v>
      </c>
      <c r="M43" t="str">
        <f>RTD("tos.rtd", , "BX", ".TSLA160520P240")</f>
        <v>C</v>
      </c>
      <c r="N43">
        <f>RTD("tos.rtd", , "ASK", ".TSLA160520P240")</f>
        <v>11.95</v>
      </c>
      <c r="O43" t="str">
        <f>RTD("tos.rtd", , "AX", ".TSLA160520P240")</f>
        <v>C</v>
      </c>
      <c r="P43" t="str">
        <f>RTD("tos.rtd", , "IMPL_VOL", ".TSLA160520P240")</f>
        <v>57.04%</v>
      </c>
      <c r="Q43" t="str">
        <f>RTD("tos.rtd", , "PROB_OTM", ".TSLA160520P240")</f>
        <v>58.92%</v>
      </c>
      <c r="R43">
        <f>RTD("tos.rtd", , "DELTA", ".TSLA160520P240")</f>
        <v>-0.34</v>
      </c>
      <c r="T43">
        <f t="shared" si="0"/>
        <v>254.3</v>
      </c>
      <c r="U43">
        <f t="shared" si="1"/>
        <v>240</v>
      </c>
      <c r="V43" s="1">
        <v>0.43430000000000002</v>
      </c>
      <c r="W43" s="1">
        <v>5.0000000000000001E-3</v>
      </c>
      <c r="X43" s="1">
        <v>0</v>
      </c>
      <c r="Y43" s="2">
        <v>27</v>
      </c>
      <c r="Z43" s="1">
        <f t="shared" si="2"/>
        <v>0.108</v>
      </c>
      <c r="AA43" s="3">
        <f t="shared" si="3"/>
        <v>5.7875749086082638E-2</v>
      </c>
      <c r="AB43" s="3">
        <f t="shared" si="4"/>
        <v>1.0725290460000002E-2</v>
      </c>
      <c r="AC43" s="3">
        <f t="shared" si="5"/>
        <v>0.1427255440346962</v>
      </c>
      <c r="AD43" s="3">
        <f t="shared" si="6"/>
        <v>0.48065004768456804</v>
      </c>
      <c r="AE43" s="3">
        <f t="shared" si="7"/>
        <v>0.33792450364987181</v>
      </c>
      <c r="AF43">
        <f t="shared" si="8"/>
        <v>0.68461738051191023</v>
      </c>
      <c r="AG43">
        <f t="shared" si="9"/>
        <v>0.31538261948808977</v>
      </c>
      <c r="AH43">
        <f t="shared" si="10"/>
        <v>0.63228995928685872</v>
      </c>
      <c r="AI43">
        <f t="shared" si="11"/>
        <v>0.36771004071314128</v>
      </c>
      <c r="AJ43">
        <f t="shared" si="12"/>
        <v>0.99946014577375952</v>
      </c>
      <c r="AK43">
        <f t="shared" si="13"/>
        <v>239.87043498570227</v>
      </c>
      <c r="AL43">
        <f t="shared" si="14"/>
        <v>1</v>
      </c>
      <c r="AM43">
        <f t="shared" si="15"/>
        <v>254.3</v>
      </c>
      <c r="AN43">
        <f t="shared" si="16"/>
        <v>22.430532292947987</v>
      </c>
      <c r="AO43">
        <f t="shared" si="17"/>
        <v>-2.1194677070520136</v>
      </c>
      <c r="AP43">
        <f t="shared" si="18"/>
        <v>0.68461738051191023</v>
      </c>
      <c r="AQ43">
        <f t="shared" si="19"/>
        <v>9.7925471803029778E-3</v>
      </c>
      <c r="AR43">
        <f t="shared" si="20"/>
        <v>-0.24095955744433334</v>
      </c>
      <c r="AS43">
        <f t="shared" si="21"/>
        <v>0.29703113712698703</v>
      </c>
      <c r="AT43">
        <f t="shared" si="22"/>
        <v>0.16380108097692925</v>
      </c>
      <c r="AU43">
        <f t="shared" si="23"/>
        <v>8.0009672786502648</v>
      </c>
      <c r="AV43">
        <f t="shared" si="24"/>
        <v>-3.9490327213497345</v>
      </c>
      <c r="AW43">
        <f t="shared" si="25"/>
        <v>-0.31538261948808977</v>
      </c>
      <c r="AX43">
        <f t="shared" si="26"/>
        <v>9.7925471803029778E-3</v>
      </c>
      <c r="AY43">
        <f t="shared" si="27"/>
        <v>-0.23618126192668989</v>
      </c>
      <c r="AZ43">
        <f t="shared" si="28"/>
        <v>0.29703113712698703</v>
      </c>
      <c r="BA43">
        <f t="shared" si="29"/>
        <v>-9.5258988807629216E-2</v>
      </c>
    </row>
    <row r="44" spans="3:53">
      <c r="C44" t="str">
        <f>RTD("tos.rtd", , "IMPL_VOL", ".TSLA160520C245")</f>
        <v>50.59%</v>
      </c>
      <c r="D44" t="str">
        <f>RTD("tos.rtd", , "PROB_OTM", ".TSLA160520C245")</f>
        <v>44.04%</v>
      </c>
      <c r="E44">
        <f>RTD("tos.rtd", , "DELTA", ".TSLA160520C245")</f>
        <v>0.62</v>
      </c>
      <c r="F44">
        <f>RTD("tos.rtd", , "BID", ".TSLA160520C245")</f>
        <v>21.15</v>
      </c>
      <c r="G44" t="str">
        <f>RTD("tos.rtd", , "BX", ".TSLA160520C245")</f>
        <v>C</v>
      </c>
      <c r="H44">
        <f>RTD("tos.rtd", , "ASK", ".TSLA160520C245")</f>
        <v>21.6</v>
      </c>
      <c r="I44" t="str">
        <f>RTD("tos.rtd", , "AX", ".TSLA160520C245")</f>
        <v>C</v>
      </c>
      <c r="J44" t="str">
        <f>RTD("tos.rtd", , "EXPIRATION_DAY", ".TSLA160520C245")</f>
        <v>2016-05-21</v>
      </c>
      <c r="K44">
        <f>RTD("tos.rtd", , "STRIKE", ".TSLA160520C245")</f>
        <v>245</v>
      </c>
      <c r="L44">
        <f>RTD("tos.rtd", , "BID", ".TSLA160520P245")</f>
        <v>13.65</v>
      </c>
      <c r="M44" t="str">
        <f>RTD("tos.rtd", , "BX", ".TSLA160520P245")</f>
        <v>C</v>
      </c>
      <c r="N44">
        <f>RTD("tos.rtd", , "ASK", ".TSLA160520P245")</f>
        <v>14</v>
      </c>
      <c r="O44" t="str">
        <f>RTD("tos.rtd", , "AX", ".TSLA160520P245")</f>
        <v>X</v>
      </c>
      <c r="P44" t="str">
        <f>RTD("tos.rtd", , "IMPL_VOL", ".TSLA160520P245")</f>
        <v>56.60%</v>
      </c>
      <c r="Q44" t="str">
        <f>RTD("tos.rtd", , "PROB_OTM", ".TSLA160520P245")</f>
        <v>54.60%</v>
      </c>
      <c r="R44">
        <f>RTD("tos.rtd", , "DELTA", ".TSLA160520P245")</f>
        <v>-0.38</v>
      </c>
      <c r="T44">
        <f t="shared" si="0"/>
        <v>254.3</v>
      </c>
      <c r="U44">
        <f t="shared" si="1"/>
        <v>245</v>
      </c>
      <c r="V44" s="1">
        <v>0.43430000000000002</v>
      </c>
      <c r="W44" s="1">
        <v>5.0000000000000001E-3</v>
      </c>
      <c r="X44" s="1">
        <v>0</v>
      </c>
      <c r="Y44" s="2">
        <v>27</v>
      </c>
      <c r="Z44" s="1">
        <f t="shared" si="2"/>
        <v>0.108</v>
      </c>
      <c r="AA44" s="3">
        <f t="shared" si="3"/>
        <v>3.7256461883346977E-2</v>
      </c>
      <c r="AB44" s="3">
        <f t="shared" si="4"/>
        <v>1.0725290460000002E-2</v>
      </c>
      <c r="AC44" s="3">
        <f t="shared" si="5"/>
        <v>0.1427255440346962</v>
      </c>
      <c r="AD44" s="3">
        <f t="shared" si="6"/>
        <v>0.33618195444876176</v>
      </c>
      <c r="AE44" s="3">
        <f t="shared" si="7"/>
        <v>0.19345641041406555</v>
      </c>
      <c r="AF44">
        <f t="shared" si="8"/>
        <v>0.63163316996957686</v>
      </c>
      <c r="AG44">
        <f t="shared" si="9"/>
        <v>0.36836683003042314</v>
      </c>
      <c r="AH44">
        <f t="shared" si="10"/>
        <v>0.57669922969845788</v>
      </c>
      <c r="AI44">
        <f t="shared" si="11"/>
        <v>0.42330077030154212</v>
      </c>
      <c r="AJ44">
        <f t="shared" si="12"/>
        <v>0.99946014577375952</v>
      </c>
      <c r="AK44">
        <f t="shared" si="13"/>
        <v>244.8677357145711</v>
      </c>
      <c r="AL44">
        <f t="shared" si="14"/>
        <v>1</v>
      </c>
      <c r="AM44">
        <f t="shared" si="15"/>
        <v>254.3</v>
      </c>
      <c r="AN44">
        <f t="shared" si="16"/>
        <v>19.409280558664705</v>
      </c>
      <c r="AO44">
        <f t="shared" si="17"/>
        <v>-2.1907194413352968</v>
      </c>
      <c r="AP44">
        <f t="shared" si="18"/>
        <v>0.63163316996957686</v>
      </c>
      <c r="AQ44">
        <f t="shared" si="19"/>
        <v>1.0387723596352705E-2</v>
      </c>
      <c r="AR44">
        <f t="shared" si="20"/>
        <v>-0.25521287209143406</v>
      </c>
      <c r="AS44">
        <f t="shared" si="21"/>
        <v>0.31508424674140967</v>
      </c>
      <c r="AT44">
        <f t="shared" si="22"/>
        <v>0.1525122373297666</v>
      </c>
      <c r="AU44">
        <f t="shared" si="23"/>
        <v>9.9770162732357761</v>
      </c>
      <c r="AV44">
        <f t="shared" si="24"/>
        <v>-4.0229837267642239</v>
      </c>
      <c r="AW44">
        <f t="shared" si="25"/>
        <v>-0.36836683003042314</v>
      </c>
      <c r="AX44">
        <f t="shared" si="26"/>
        <v>1.0387723596352705E-2</v>
      </c>
      <c r="AY44">
        <f t="shared" si="27"/>
        <v>-0.25033502875050634</v>
      </c>
      <c r="AZ44">
        <f t="shared" si="28"/>
        <v>0.31508424674140967</v>
      </c>
      <c r="BA44">
        <f t="shared" si="29"/>
        <v>-0.11194491724197016</v>
      </c>
    </row>
    <row r="45" spans="3:53">
      <c r="C45" t="str">
        <f>RTD("tos.rtd", , "IMPL_VOL", ".TSLA160520C250")</f>
        <v>50.12%</v>
      </c>
      <c r="D45" t="str">
        <f>RTD("tos.rtd", , "PROB_OTM", ".TSLA160520C250")</f>
        <v>48.89%</v>
      </c>
      <c r="E45">
        <f>RTD("tos.rtd", , "DELTA", ".TSLA160520C250")</f>
        <v>0.57999999999999996</v>
      </c>
      <c r="F45">
        <f>RTD("tos.rtd", , "BID", ".TSLA160520C250")</f>
        <v>18.399999999999999</v>
      </c>
      <c r="G45" t="str">
        <f>RTD("tos.rtd", , "BX", ".TSLA160520C250")</f>
        <v>B</v>
      </c>
      <c r="H45">
        <f>RTD("tos.rtd", , "ASK", ".TSLA160520C250")</f>
        <v>18.7</v>
      </c>
      <c r="I45" t="str">
        <f>RTD("tos.rtd", , "AX", ".TSLA160520C250")</f>
        <v>C</v>
      </c>
      <c r="J45" t="str">
        <f>RTD("tos.rtd", , "EXPIRATION_DAY", ".TSLA160520C250")</f>
        <v>2016-05-21</v>
      </c>
      <c r="K45">
        <f>RTD("tos.rtd", , "STRIKE", ".TSLA160520C250")</f>
        <v>250</v>
      </c>
      <c r="L45">
        <f>RTD("tos.rtd", , "BID", ".TSLA160520P250")</f>
        <v>15.95</v>
      </c>
      <c r="M45" t="str">
        <f>RTD("tos.rtd", , "BX", ".TSLA160520P250")</f>
        <v>T</v>
      </c>
      <c r="N45">
        <f>RTD("tos.rtd", , "ASK", ".TSLA160520P250")</f>
        <v>16.3</v>
      </c>
      <c r="O45" t="str">
        <f>RTD("tos.rtd", , "AX", ".TSLA160520P250")</f>
        <v>X</v>
      </c>
      <c r="P45" t="str">
        <f>RTD("tos.rtd", , "IMPL_VOL", ".TSLA160520P250")</f>
        <v>56.35%</v>
      </c>
      <c r="Q45" t="str">
        <f>RTD("tos.rtd", , "PROB_OTM", ".TSLA160520P250")</f>
        <v>50.23%</v>
      </c>
      <c r="R45">
        <f>RTD("tos.rtd", , "DELTA", ".TSLA160520P250")</f>
        <v>-0.43</v>
      </c>
      <c r="T45">
        <f t="shared" si="0"/>
        <v>254.3</v>
      </c>
      <c r="U45">
        <f t="shared" si="1"/>
        <v>250</v>
      </c>
      <c r="V45" s="1">
        <v>0.43430000000000002</v>
      </c>
      <c r="W45" s="1">
        <v>5.0000000000000001E-3</v>
      </c>
      <c r="X45" s="1">
        <v>0</v>
      </c>
      <c r="Y45" s="2">
        <v>27</v>
      </c>
      <c r="Z45" s="1">
        <f t="shared" si="2"/>
        <v>0.108</v>
      </c>
      <c r="AA45" s="3">
        <f t="shared" si="3"/>
        <v>1.7053754565827622E-2</v>
      </c>
      <c r="AB45" s="3">
        <f t="shared" si="4"/>
        <v>1.0725290460000002E-2</v>
      </c>
      <c r="AC45" s="3">
        <f t="shared" si="5"/>
        <v>0.1427255440346962</v>
      </c>
      <c r="AD45" s="3">
        <f t="shared" si="6"/>
        <v>0.19463260913599748</v>
      </c>
      <c r="AE45" s="3">
        <f t="shared" si="7"/>
        <v>5.1907065101301275E-2</v>
      </c>
      <c r="AF45">
        <f t="shared" si="8"/>
        <v>0.57715971358821971</v>
      </c>
      <c r="AG45">
        <f t="shared" si="9"/>
        <v>0.42284028641178029</v>
      </c>
      <c r="AH45">
        <f t="shared" si="10"/>
        <v>0.52069862763487529</v>
      </c>
      <c r="AI45">
        <f t="shared" si="11"/>
        <v>0.47930137236512471</v>
      </c>
      <c r="AJ45">
        <f t="shared" si="12"/>
        <v>0.99946014577375952</v>
      </c>
      <c r="AK45">
        <f t="shared" si="13"/>
        <v>249.86503644343989</v>
      </c>
      <c r="AL45">
        <f t="shared" si="14"/>
        <v>1</v>
      </c>
      <c r="AM45">
        <f t="shared" si="15"/>
        <v>254.3</v>
      </c>
      <c r="AN45">
        <f t="shared" si="16"/>
        <v>16.667333595447019</v>
      </c>
      <c r="AO45">
        <f t="shared" si="17"/>
        <v>-2.0326664045529803</v>
      </c>
      <c r="AP45">
        <f t="shared" si="18"/>
        <v>0.57715971358821971</v>
      </c>
      <c r="AQ45">
        <f t="shared" si="19"/>
        <v>1.0785395089925116E-2</v>
      </c>
      <c r="AR45">
        <f t="shared" si="20"/>
        <v>-0.26465412478136852</v>
      </c>
      <c r="AS45">
        <f t="shared" si="21"/>
        <v>0.32714656451878965</v>
      </c>
      <c r="AT45">
        <f t="shared" si="22"/>
        <v>0.14051273209564022</v>
      </c>
      <c r="AU45">
        <f t="shared" si="23"/>
        <v>12.232370038886913</v>
      </c>
      <c r="AV45">
        <f t="shared" si="24"/>
        <v>-4.0676299611130879</v>
      </c>
      <c r="AW45">
        <f t="shared" si="25"/>
        <v>-0.42284028641178029</v>
      </c>
      <c r="AX45">
        <f t="shared" si="26"/>
        <v>1.0785395089925116E-2</v>
      </c>
      <c r="AY45">
        <f t="shared" si="27"/>
        <v>-0.25967673361715654</v>
      </c>
      <c r="AZ45">
        <f t="shared" si="28"/>
        <v>0.32714656451878965</v>
      </c>
      <c r="BA45">
        <f t="shared" si="29"/>
        <v>-0.12934150726327484</v>
      </c>
    </row>
    <row r="46" spans="3:53">
      <c r="C46" t="str">
        <f>RTD("tos.rtd", , "IMPL_VOL", ".TSLA160520C255")</f>
        <v>50.06%</v>
      </c>
      <c r="D46" t="str">
        <f>RTD("tos.rtd", , "PROB_OTM", ".TSLA160520C255")</f>
        <v>53.77%</v>
      </c>
      <c r="E46">
        <f>RTD("tos.rtd", , "DELTA", ".TSLA160520C255")</f>
        <v>0.53</v>
      </c>
      <c r="F46">
        <f>RTD("tos.rtd", , "BID", ".TSLA160520C255")</f>
        <v>15.95</v>
      </c>
      <c r="G46" t="str">
        <f>RTD("tos.rtd", , "BX", ".TSLA160520C255")</f>
        <v>Z</v>
      </c>
      <c r="H46">
        <f>RTD("tos.rtd", , "ASK", ".TSLA160520C255")</f>
        <v>16.25</v>
      </c>
      <c r="I46" t="str">
        <f>RTD("tos.rtd", , "AX", ".TSLA160520C255")</f>
        <v>B</v>
      </c>
      <c r="J46" t="str">
        <f>RTD("tos.rtd", , "EXPIRATION_DAY", ".TSLA160520C255")</f>
        <v>2016-05-21</v>
      </c>
      <c r="K46">
        <f>RTD("tos.rtd", , "STRIKE", ".TSLA160520C255")</f>
        <v>255</v>
      </c>
      <c r="L46">
        <f>RTD("tos.rtd", , "BID", ".TSLA160520P255")</f>
        <v>18.5</v>
      </c>
      <c r="M46" t="str">
        <f>RTD("tos.rtd", , "BX", ".TSLA160520P255")</f>
        <v>C</v>
      </c>
      <c r="N46">
        <f>RTD("tos.rtd", , "ASK", ".TSLA160520P255")</f>
        <v>18.850000000000001</v>
      </c>
      <c r="O46" t="str">
        <f>RTD("tos.rtd", , "AX", ".TSLA160520P255")</f>
        <v>X</v>
      </c>
      <c r="P46" t="str">
        <f>RTD("tos.rtd", , "IMPL_VOL", ".TSLA160520P255")</f>
        <v>56.21%</v>
      </c>
      <c r="Q46" t="str">
        <f>RTD("tos.rtd", , "PROB_OTM", ".TSLA160520P255")</f>
        <v>45.90%</v>
      </c>
      <c r="R46">
        <f>RTD("tos.rtd", , "DELTA", ".TSLA160520P255")</f>
        <v>-0.47</v>
      </c>
      <c r="T46">
        <f t="shared" si="0"/>
        <v>254.3</v>
      </c>
      <c r="U46">
        <f t="shared" si="1"/>
        <v>255</v>
      </c>
      <c r="V46" s="1">
        <v>0.43430000000000002</v>
      </c>
      <c r="W46" s="1">
        <v>5.0000000000000001E-3</v>
      </c>
      <c r="X46" s="1">
        <v>0</v>
      </c>
      <c r="Y46" s="2">
        <v>27</v>
      </c>
      <c r="Z46" s="1">
        <f t="shared" si="2"/>
        <v>0.108</v>
      </c>
      <c r="AA46" s="3">
        <f t="shared" si="3"/>
        <v>-2.7488727303521397E-3</v>
      </c>
      <c r="AB46" s="3">
        <f t="shared" si="4"/>
        <v>1.0725290460000002E-2</v>
      </c>
      <c r="AC46" s="3">
        <f t="shared" si="5"/>
        <v>0.1427255440346962</v>
      </c>
      <c r="AD46" s="3">
        <f t="shared" si="6"/>
        <v>5.5886406204265833E-2</v>
      </c>
      <c r="AE46" s="3">
        <f t="shared" si="7"/>
        <v>-8.6839137830430374E-2</v>
      </c>
      <c r="AF46">
        <f t="shared" si="8"/>
        <v>0.52228384990882759</v>
      </c>
      <c r="AG46">
        <f t="shared" si="9"/>
        <v>0.47771615009117241</v>
      </c>
      <c r="AH46">
        <f t="shared" si="10"/>
        <v>0.46539968881189631</v>
      </c>
      <c r="AI46">
        <f t="shared" si="11"/>
        <v>0.53460031118810369</v>
      </c>
      <c r="AJ46">
        <f t="shared" si="12"/>
        <v>0.99946014577375952</v>
      </c>
      <c r="AK46">
        <f t="shared" si="13"/>
        <v>254.86233717230868</v>
      </c>
      <c r="AL46">
        <f t="shared" si="14"/>
        <v>1</v>
      </c>
      <c r="AM46">
        <f t="shared" si="15"/>
        <v>254.3</v>
      </c>
      <c r="AN46">
        <f t="shared" si="16"/>
        <v>14.203930621949794</v>
      </c>
      <c r="AO46">
        <f t="shared" si="17"/>
        <v>-2.0460693780502055</v>
      </c>
      <c r="AP46">
        <f t="shared" si="18"/>
        <v>0.52228384990882759</v>
      </c>
      <c r="AQ46">
        <f t="shared" si="19"/>
        <v>1.0974475786807623E-2</v>
      </c>
      <c r="AR46">
        <f t="shared" si="20"/>
        <v>-0.26901947289302075</v>
      </c>
      <c r="AS46">
        <f t="shared" si="21"/>
        <v>0.33288182965151647</v>
      </c>
      <c r="AT46">
        <f t="shared" si="22"/>
        <v>0.12810188060265426</v>
      </c>
      <c r="AU46">
        <f t="shared" si="23"/>
        <v>14.766267794258496</v>
      </c>
      <c r="AV46">
        <f t="shared" si="24"/>
        <v>-4.0837322057415051</v>
      </c>
      <c r="AW46">
        <f t="shared" si="25"/>
        <v>-0.47771615009117241</v>
      </c>
      <c r="AX46">
        <f t="shared" si="26"/>
        <v>1.0974475786807623E-2</v>
      </c>
      <c r="AY46">
        <f t="shared" si="27"/>
        <v>-0.26394253390552452</v>
      </c>
      <c r="AZ46">
        <f t="shared" si="28"/>
        <v>0.33288182965151647</v>
      </c>
      <c r="BA46">
        <f t="shared" si="29"/>
        <v>-0.14714944354343912</v>
      </c>
    </row>
    <row r="47" spans="3:53">
      <c r="C47" t="str">
        <f>RTD("tos.rtd", , "IMPL_VOL", ".TSLA160520C260")</f>
        <v>49.88%</v>
      </c>
      <c r="D47" t="str">
        <f>RTD("tos.rtd", , "PROB_OTM", ".TSLA160520C260")</f>
        <v>58.51%</v>
      </c>
      <c r="E47">
        <f>RTD("tos.rtd", , "DELTA", ".TSLA160520C260")</f>
        <v>0.48</v>
      </c>
      <c r="F47">
        <f>RTD("tos.rtd", , "BID", ".TSLA160520C260")</f>
        <v>13.7</v>
      </c>
      <c r="G47" t="str">
        <f>RTD("tos.rtd", , "BX", ".TSLA160520C260")</f>
        <v>Z</v>
      </c>
      <c r="H47">
        <f>RTD("tos.rtd", , "ASK", ".TSLA160520C260")</f>
        <v>14</v>
      </c>
      <c r="I47" t="str">
        <f>RTD("tos.rtd", , "AX", ".TSLA160520C260")</f>
        <v>C</v>
      </c>
      <c r="J47" t="str">
        <f>RTD("tos.rtd", , "EXPIRATION_DAY", ".TSLA160520C260")</f>
        <v>2016-05-21</v>
      </c>
      <c r="K47">
        <f>RTD("tos.rtd", , "STRIKE", ".TSLA160520C260")</f>
        <v>260</v>
      </c>
      <c r="L47">
        <f>RTD("tos.rtd", , "BID", ".TSLA160520P260")</f>
        <v>21.3</v>
      </c>
      <c r="M47" t="str">
        <f>RTD("tos.rtd", , "BX", ".TSLA160520P260")</f>
        <v>N</v>
      </c>
      <c r="N47">
        <f>RTD("tos.rtd", , "ASK", ".TSLA160520P260")</f>
        <v>21.6</v>
      </c>
      <c r="O47" t="str">
        <f>RTD("tos.rtd", , "AX", ".TSLA160520P260")</f>
        <v>X</v>
      </c>
      <c r="P47" t="str">
        <f>RTD("tos.rtd", , "IMPL_VOL", ".TSLA160520P260")</f>
        <v>56.11%</v>
      </c>
      <c r="Q47" t="str">
        <f>RTD("tos.rtd", , "PROB_OTM", ".TSLA160520P260")</f>
        <v>41.68%</v>
      </c>
      <c r="R47">
        <f>RTD("tos.rtd", , "DELTA", ".TSLA160520P260")</f>
        <v>-0.51</v>
      </c>
      <c r="T47">
        <f t="shared" si="0"/>
        <v>254.3</v>
      </c>
      <c r="U47">
        <f t="shared" si="1"/>
        <v>260</v>
      </c>
      <c r="V47" s="1">
        <v>0.43430000000000002</v>
      </c>
      <c r="W47" s="1">
        <v>5.0000000000000001E-3</v>
      </c>
      <c r="X47" s="1">
        <v>0</v>
      </c>
      <c r="Y47" s="2">
        <v>27</v>
      </c>
      <c r="Z47" s="1">
        <f t="shared" si="2"/>
        <v>0.108</v>
      </c>
      <c r="AA47" s="3">
        <f t="shared" si="3"/>
        <v>-2.2166958587453787E-2</v>
      </c>
      <c r="AB47" s="3">
        <f t="shared" si="4"/>
        <v>1.0725290460000002E-2</v>
      </c>
      <c r="AC47" s="3">
        <f t="shared" si="5"/>
        <v>0.1427255440346962</v>
      </c>
      <c r="AD47" s="3">
        <f t="shared" si="6"/>
        <v>-8.0165524712747613E-2</v>
      </c>
      <c r="AE47" s="3">
        <f t="shared" si="7"/>
        <v>-0.2228910687474438</v>
      </c>
      <c r="AF47">
        <f t="shared" si="8"/>
        <v>0.46805280458940635</v>
      </c>
      <c r="AG47">
        <f t="shared" si="9"/>
        <v>0.53194719541059365</v>
      </c>
      <c r="AH47">
        <f t="shared" si="10"/>
        <v>0.41181014382808045</v>
      </c>
      <c r="AI47">
        <f t="shared" si="11"/>
        <v>0.58818985617191955</v>
      </c>
      <c r="AJ47">
        <f t="shared" si="12"/>
        <v>0.99946014577375952</v>
      </c>
      <c r="AK47">
        <f t="shared" si="13"/>
        <v>259.85963790117745</v>
      </c>
      <c r="AL47">
        <f t="shared" si="14"/>
        <v>1</v>
      </c>
      <c r="AM47">
        <f t="shared" si="15"/>
        <v>254.3</v>
      </c>
      <c r="AN47">
        <f t="shared" si="16"/>
        <v>12.01299334788925</v>
      </c>
      <c r="AO47">
        <f t="shared" si="17"/>
        <v>-1.9870066521107503</v>
      </c>
      <c r="AP47">
        <f t="shared" si="18"/>
        <v>0.46805280458940635</v>
      </c>
      <c r="AQ47">
        <f t="shared" si="19"/>
        <v>1.0956365187562914E-2</v>
      </c>
      <c r="AR47">
        <f t="shared" si="20"/>
        <v>-0.26834834739626962</v>
      </c>
      <c r="AS47">
        <f t="shared" si="21"/>
        <v>0.33233249230458722</v>
      </c>
      <c r="AT47">
        <f t="shared" si="22"/>
        <v>0.11557386164793254</v>
      </c>
      <c r="AU47">
        <f t="shared" si="23"/>
        <v>17.572631249066688</v>
      </c>
      <c r="AV47">
        <f t="shared" si="24"/>
        <v>-4.0273687509333129</v>
      </c>
      <c r="AW47">
        <f t="shared" si="25"/>
        <v>-0.53194719541059365</v>
      </c>
      <c r="AX47">
        <f t="shared" si="26"/>
        <v>1.0956365187562914E-2</v>
      </c>
      <c r="AY47">
        <f t="shared" si="27"/>
        <v>-0.26317186058548919</v>
      </c>
      <c r="AZ47">
        <f t="shared" si="28"/>
        <v>0.33233249230458722</v>
      </c>
      <c r="BA47">
        <f t="shared" si="29"/>
        <v>-0.1650745472853391</v>
      </c>
    </row>
    <row r="48" spans="3:53">
      <c r="C48" t="str">
        <f>RTD("tos.rtd", , "IMPL_VOL", ".TSLA160520C265")</f>
        <v>49.75%</v>
      </c>
      <c r="D48" t="str">
        <f>RTD("tos.rtd", , "PROB_OTM", ".TSLA160520C265")</f>
        <v>63.07%</v>
      </c>
      <c r="E48">
        <f>RTD("tos.rtd", , "DELTA", ".TSLA160520C265")</f>
        <v>0.43</v>
      </c>
      <c r="F48">
        <f>RTD("tos.rtd", , "BID", ".TSLA160520C265")</f>
        <v>11.7</v>
      </c>
      <c r="G48" t="str">
        <f>RTD("tos.rtd", , "BX", ".TSLA160520C265")</f>
        <v>C</v>
      </c>
      <c r="H48">
        <f>RTD("tos.rtd", , "ASK", ".TSLA160520C265")</f>
        <v>12</v>
      </c>
      <c r="I48" t="str">
        <f>RTD("tos.rtd", , "AX", ".TSLA160520C265")</f>
        <v>C</v>
      </c>
      <c r="J48" t="str">
        <f>RTD("tos.rtd", , "EXPIRATION_DAY", ".TSLA160520C265")</f>
        <v>2016-05-21</v>
      </c>
      <c r="K48">
        <f>RTD("tos.rtd", , "STRIKE", ".TSLA160520C265")</f>
        <v>265</v>
      </c>
      <c r="L48">
        <f>RTD("tos.rtd", , "BID", ".TSLA160520P265")</f>
        <v>24.2</v>
      </c>
      <c r="M48" t="str">
        <f>RTD("tos.rtd", , "BX", ".TSLA160520P265")</f>
        <v>X</v>
      </c>
      <c r="N48">
        <f>RTD("tos.rtd", , "ASK", ".TSLA160520P265")</f>
        <v>24.65</v>
      </c>
      <c r="O48" t="str">
        <f>RTD("tos.rtd", , "AX", ".TSLA160520P265")</f>
        <v>X</v>
      </c>
      <c r="P48" t="str">
        <f>RTD("tos.rtd", , "IMPL_VOL", ".TSLA160520P265")</f>
        <v>55.98%</v>
      </c>
      <c r="Q48" t="str">
        <f>RTD("tos.rtd", , "PROB_OTM", ".TSLA160520P265")</f>
        <v>37.61%</v>
      </c>
      <c r="R48">
        <f>RTD("tos.rtd", , "DELTA", ".TSLA160520P265")</f>
        <v>-0.55000000000000004</v>
      </c>
      <c r="T48">
        <f t="shared" si="0"/>
        <v>254.3</v>
      </c>
      <c r="U48">
        <f t="shared" si="1"/>
        <v>265</v>
      </c>
      <c r="V48" s="1">
        <v>0.43430000000000002</v>
      </c>
      <c r="W48" s="1">
        <v>5.0000000000000001E-3</v>
      </c>
      <c r="X48" s="1">
        <v>0</v>
      </c>
      <c r="Y48" s="2">
        <v>27</v>
      </c>
      <c r="Z48" s="1">
        <f t="shared" si="2"/>
        <v>0.108</v>
      </c>
      <c r="AA48" s="3">
        <f t="shared" si="3"/>
        <v>-4.1215153558148226E-2</v>
      </c>
      <c r="AB48" s="3">
        <f t="shared" si="4"/>
        <v>1.0725290460000002E-2</v>
      </c>
      <c r="AC48" s="3">
        <f t="shared" si="5"/>
        <v>0.1427255440346962</v>
      </c>
      <c r="AD48" s="3">
        <f t="shared" si="6"/>
        <v>-0.21362583204262456</v>
      </c>
      <c r="AE48" s="3">
        <f t="shared" si="7"/>
        <v>-0.35635137607732076</v>
      </c>
      <c r="AF48">
        <f t="shared" si="8"/>
        <v>0.41541942666486287</v>
      </c>
      <c r="AG48">
        <f t="shared" si="9"/>
        <v>0.58458057333513713</v>
      </c>
      <c r="AH48">
        <f t="shared" si="10"/>
        <v>0.36078871930458167</v>
      </c>
      <c r="AI48">
        <f t="shared" si="11"/>
        <v>0.63921128069541833</v>
      </c>
      <c r="AJ48">
        <f t="shared" si="12"/>
        <v>0.99946014577375952</v>
      </c>
      <c r="AK48">
        <f t="shared" si="13"/>
        <v>264.85693863004627</v>
      </c>
      <c r="AL48">
        <f t="shared" si="14"/>
        <v>1</v>
      </c>
      <c r="AM48">
        <f t="shared" si="15"/>
        <v>254.3</v>
      </c>
      <c r="AN48">
        <f t="shared" si="16"/>
        <v>10.08376451360806</v>
      </c>
      <c r="AO48">
        <f t="shared" si="17"/>
        <v>-1.9162354863919404</v>
      </c>
      <c r="AP48">
        <f t="shared" si="18"/>
        <v>0.41541942666486287</v>
      </c>
      <c r="AQ48">
        <f t="shared" si="19"/>
        <v>1.0743660295570697E-2</v>
      </c>
      <c r="AR48">
        <f t="shared" si="20"/>
        <v>-0.26295187013496557</v>
      </c>
      <c r="AS48">
        <f t="shared" si="21"/>
        <v>0.32588064941043166</v>
      </c>
      <c r="AT48">
        <f t="shared" si="22"/>
        <v>0.10320198734224791</v>
      </c>
      <c r="AU48">
        <f t="shared" si="23"/>
        <v>20.640703143654292</v>
      </c>
      <c r="AV48">
        <f t="shared" si="24"/>
        <v>-4.0092968563457063</v>
      </c>
      <c r="AW48">
        <f t="shared" si="25"/>
        <v>-0.58458057333513713</v>
      </c>
      <c r="AX48">
        <f t="shared" si="26"/>
        <v>1.0743660295570697E-2</v>
      </c>
      <c r="AY48">
        <f t="shared" si="27"/>
        <v>-0.2576758355009009</v>
      </c>
      <c r="AZ48">
        <f t="shared" si="28"/>
        <v>0.32588064941043166</v>
      </c>
      <c r="BA48">
        <f t="shared" si="29"/>
        <v>-0.18284350637820207</v>
      </c>
    </row>
    <row r="49" spans="3:53">
      <c r="C49" t="str">
        <f>RTD("tos.rtd", , "IMPL_VOL", ".TSLA160520C270")</f>
        <v>49.63%</v>
      </c>
      <c r="D49" t="str">
        <f>RTD("tos.rtd", , "PROB_OTM", ".TSLA160520C270")</f>
        <v>67.40%</v>
      </c>
      <c r="E49">
        <f>RTD("tos.rtd", , "DELTA", ".TSLA160520C270")</f>
        <v>0.39</v>
      </c>
      <c r="F49">
        <f>RTD("tos.rtd", , "BID", ".TSLA160520C270")</f>
        <v>9.9499999999999993</v>
      </c>
      <c r="G49" t="str">
        <f>RTD("tos.rtd", , "BX", ".TSLA160520C270")</f>
        <v>Z</v>
      </c>
      <c r="H49">
        <f>RTD("tos.rtd", , "ASK", ".TSLA160520C270")</f>
        <v>10.199999999999999</v>
      </c>
      <c r="I49" t="str">
        <f>RTD("tos.rtd", , "AX", ".TSLA160520C270")</f>
        <v>C</v>
      </c>
      <c r="J49" t="str">
        <f>RTD("tos.rtd", , "EXPIRATION_DAY", ".TSLA160520C270")</f>
        <v>2016-05-21</v>
      </c>
      <c r="K49">
        <f>RTD("tos.rtd", , "STRIKE", ".TSLA160520C270")</f>
        <v>270</v>
      </c>
      <c r="L49">
        <f>RTD("tos.rtd", , "BID", ".TSLA160520P270")</f>
        <v>27.45</v>
      </c>
      <c r="M49" t="str">
        <f>RTD("tos.rtd", , "BX", ".TSLA160520P270")</f>
        <v>E</v>
      </c>
      <c r="N49">
        <f>RTD("tos.rtd", , "ASK", ".TSLA160520P270")</f>
        <v>27.9</v>
      </c>
      <c r="O49" t="str">
        <f>RTD("tos.rtd", , "AX", ".TSLA160520P270")</f>
        <v>N</v>
      </c>
      <c r="P49" t="str">
        <f>RTD("tos.rtd", , "IMPL_VOL", ".TSLA160520P270")</f>
        <v>56.10%</v>
      </c>
      <c r="Q49" t="str">
        <f>RTD("tos.rtd", , "PROB_OTM", ".TSLA160520P270")</f>
        <v>33.77%</v>
      </c>
      <c r="R49">
        <f>RTD("tos.rtd", , "DELTA", ".TSLA160520P270")</f>
        <v>-0.59</v>
      </c>
      <c r="T49">
        <f t="shared" si="0"/>
        <v>254.3</v>
      </c>
      <c r="U49">
        <f t="shared" si="1"/>
        <v>270</v>
      </c>
      <c r="V49" s="1">
        <v>0.43430000000000002</v>
      </c>
      <c r="W49" s="1">
        <v>5.0000000000000001E-3</v>
      </c>
      <c r="X49" s="1">
        <v>0</v>
      </c>
      <c r="Y49" s="2">
        <v>27</v>
      </c>
      <c r="Z49" s="1">
        <f t="shared" si="2"/>
        <v>0.108</v>
      </c>
      <c r="AA49" s="3">
        <f t="shared" si="3"/>
        <v>-5.9907286570300713E-2</v>
      </c>
      <c r="AB49" s="3">
        <f t="shared" si="4"/>
        <v>1.0725290460000002E-2</v>
      </c>
      <c r="AC49" s="3">
        <f t="shared" si="5"/>
        <v>0.1427255440346962</v>
      </c>
      <c r="AD49" s="3">
        <f t="shared" si="6"/>
        <v>-0.34459140753630407</v>
      </c>
      <c r="AE49" s="3">
        <f t="shared" si="7"/>
        <v>-0.4873169515710003</v>
      </c>
      <c r="AF49">
        <f t="shared" si="8"/>
        <v>0.36520078319073157</v>
      </c>
      <c r="AG49">
        <f t="shared" si="9"/>
        <v>0.63479921680926843</v>
      </c>
      <c r="AH49">
        <f t="shared" si="10"/>
        <v>0.31301686829225817</v>
      </c>
      <c r="AI49">
        <f t="shared" si="11"/>
        <v>0.68698313170774183</v>
      </c>
      <c r="AJ49">
        <f t="shared" si="12"/>
        <v>0.99946014577375952</v>
      </c>
      <c r="AK49">
        <f t="shared" si="13"/>
        <v>269.85423935891509</v>
      </c>
      <c r="AL49">
        <f t="shared" si="14"/>
        <v>1</v>
      </c>
      <c r="AM49">
        <f t="shared" si="15"/>
        <v>254.3</v>
      </c>
      <c r="AN49">
        <f t="shared" si="16"/>
        <v>8.4016302658859985</v>
      </c>
      <c r="AO49">
        <f t="shared" si="17"/>
        <v>-1.7983697341140008</v>
      </c>
      <c r="AP49">
        <f t="shared" si="18"/>
        <v>0.36520078319073157</v>
      </c>
      <c r="AQ49">
        <f t="shared" si="19"/>
        <v>1.0358031608977657E-2</v>
      </c>
      <c r="AR49">
        <f t="shared" si="20"/>
        <v>-0.25336101877041528</v>
      </c>
      <c r="AS49">
        <f t="shared" si="21"/>
        <v>0.31418361847675241</v>
      </c>
      <c r="AT49">
        <f t="shared" si="22"/>
        <v>9.1226443211478381E-2</v>
      </c>
      <c r="AU49">
        <f t="shared" si="23"/>
        <v>23.955869624801096</v>
      </c>
      <c r="AV49">
        <f t="shared" si="24"/>
        <v>-3.9441303751989025</v>
      </c>
      <c r="AW49">
        <f t="shared" si="25"/>
        <v>-0.63479921680926843</v>
      </c>
      <c r="AX49">
        <f t="shared" si="26"/>
        <v>1.0358031608977657E-2</v>
      </c>
      <c r="AY49">
        <f t="shared" si="27"/>
        <v>-0.24798543631306641</v>
      </c>
      <c r="AZ49">
        <f t="shared" si="28"/>
        <v>0.31418361847675241</v>
      </c>
      <c r="BA49">
        <f t="shared" si="29"/>
        <v>-0.2002161352961499</v>
      </c>
    </row>
    <row r="50" spans="3:53">
      <c r="C50" t="str">
        <f>RTD("tos.rtd", , "IMPL_VOL", ".TSLA160520C275")</f>
        <v>49.56%</v>
      </c>
      <c r="D50" t="str">
        <f>RTD("tos.rtd", , "PROB_OTM", ".TSLA160520C275")</f>
        <v>71.44%</v>
      </c>
      <c r="E50">
        <f>RTD("tos.rtd", , "DELTA", ".TSLA160520C275")</f>
        <v>0.34</v>
      </c>
      <c r="F50">
        <f>RTD("tos.rtd", , "BID", ".TSLA160520C275")</f>
        <v>8.4</v>
      </c>
      <c r="G50" t="str">
        <f>RTD("tos.rtd", , "BX", ".TSLA160520C275")</f>
        <v>C</v>
      </c>
      <c r="H50">
        <f>RTD("tos.rtd", , "ASK", ".TSLA160520C275")</f>
        <v>8.65</v>
      </c>
      <c r="I50" t="str">
        <f>RTD("tos.rtd", , "AX", ".TSLA160520C275")</f>
        <v>C</v>
      </c>
      <c r="J50" t="str">
        <f>RTD("tos.rtd", , "EXPIRATION_DAY", ".TSLA160520C275")</f>
        <v>2016-05-21</v>
      </c>
      <c r="K50">
        <f>RTD("tos.rtd", , "STRIKE", ".TSLA160520C275")</f>
        <v>275</v>
      </c>
      <c r="L50">
        <f>RTD("tos.rtd", , "BID", ".TSLA160520P275")</f>
        <v>30.9</v>
      </c>
      <c r="M50" t="str">
        <f>RTD("tos.rtd", , "BX", ".TSLA160520P275")</f>
        <v>C</v>
      </c>
      <c r="N50">
        <f>RTD("tos.rtd", , "ASK", ".TSLA160520P275")</f>
        <v>31.4</v>
      </c>
      <c r="O50" t="str">
        <f>RTD("tos.rtd", , "AX", ".TSLA160520P275")</f>
        <v>N</v>
      </c>
      <c r="P50" t="str">
        <f>RTD("tos.rtd", , "IMPL_VOL", ".TSLA160520P275")</f>
        <v>56.35%</v>
      </c>
      <c r="Q50" t="str">
        <f>RTD("tos.rtd", , "PROB_OTM", ".TSLA160520P275")</f>
        <v>30.20%</v>
      </c>
      <c r="R50">
        <f>RTD("tos.rtd", , "DELTA", ".TSLA160520P275")</f>
        <v>-0.63</v>
      </c>
      <c r="T50">
        <f t="shared" si="0"/>
        <v>254.3</v>
      </c>
      <c r="U50">
        <f t="shared" si="1"/>
        <v>275</v>
      </c>
      <c r="V50" s="1">
        <v>0.43430000000000002</v>
      </c>
      <c r="W50" s="1">
        <v>5.0000000000000001E-3</v>
      </c>
      <c r="X50" s="1">
        <v>0</v>
      </c>
      <c r="Y50" s="2">
        <v>27</v>
      </c>
      <c r="Z50" s="1">
        <f t="shared" si="2"/>
        <v>0.108</v>
      </c>
      <c r="AA50" s="3">
        <f t="shared" si="3"/>
        <v>-7.8256425238497337E-2</v>
      </c>
      <c r="AB50" s="3">
        <f t="shared" si="4"/>
        <v>1.0725290460000002E-2</v>
      </c>
      <c r="AC50" s="3">
        <f t="shared" si="5"/>
        <v>0.1427255440346962</v>
      </c>
      <c r="AD50" s="3">
        <f t="shared" si="6"/>
        <v>-0.47315380883803604</v>
      </c>
      <c r="AE50" s="3">
        <f t="shared" si="7"/>
        <v>-0.61587935287273221</v>
      </c>
      <c r="AF50">
        <f t="shared" si="8"/>
        <v>0.31805172483700883</v>
      </c>
      <c r="AG50">
        <f t="shared" si="9"/>
        <v>0.68194827516299117</v>
      </c>
      <c r="AH50">
        <f t="shared" si="10"/>
        <v>0.26898707477302497</v>
      </c>
      <c r="AI50">
        <f t="shared" si="11"/>
        <v>0.73101292522697503</v>
      </c>
      <c r="AJ50">
        <f t="shared" si="12"/>
        <v>0.99946014577375952</v>
      </c>
      <c r="AK50">
        <f t="shared" si="13"/>
        <v>274.85154008778386</v>
      </c>
      <c r="AL50">
        <f t="shared" si="14"/>
        <v>1</v>
      </c>
      <c r="AM50">
        <f t="shared" si="15"/>
        <v>254.3</v>
      </c>
      <c r="AN50">
        <f t="shared" si="16"/>
        <v>6.9490418609775588</v>
      </c>
      <c r="AO50">
        <f t="shared" si="17"/>
        <v>-1.7009581390224415</v>
      </c>
      <c r="AP50">
        <f t="shared" si="18"/>
        <v>0.31805172483700883</v>
      </c>
      <c r="AQ50">
        <f t="shared" si="19"/>
        <v>9.8276179011938802E-3</v>
      </c>
      <c r="AR50">
        <f t="shared" si="20"/>
        <v>-0.24026317315946774</v>
      </c>
      <c r="AS50">
        <f t="shared" si="21"/>
        <v>0.29809491511184488</v>
      </c>
      <c r="AT50">
        <f t="shared" si="22"/>
        <v>7.9846032706279685E-2</v>
      </c>
      <c r="AU50">
        <f t="shared" si="23"/>
        <v>27.500581948761408</v>
      </c>
      <c r="AV50">
        <f t="shared" si="24"/>
        <v>-3.899418051238591</v>
      </c>
      <c r="AW50">
        <f t="shared" si="25"/>
        <v>-0.68194827516299117</v>
      </c>
      <c r="AX50">
        <f t="shared" si="26"/>
        <v>9.8276179011938802E-3</v>
      </c>
      <c r="AY50">
        <f t="shared" si="27"/>
        <v>-0.23478804287883459</v>
      </c>
      <c r="AZ50">
        <f t="shared" si="28"/>
        <v>0.29809491511184488</v>
      </c>
      <c r="BA50">
        <f t="shared" si="29"/>
        <v>-0.21699363058852689</v>
      </c>
    </row>
    <row r="51" spans="3:53">
      <c r="C51" t="str">
        <f>RTD("tos.rtd", , "IMPL_VOL", ".TSLA160520C280")</f>
        <v>49.50%</v>
      </c>
      <c r="D51" t="str">
        <f>RTD("tos.rtd", , "PROB_OTM", ".TSLA160520C280")</f>
        <v>75.16%</v>
      </c>
      <c r="E51">
        <f>RTD("tos.rtd", , "DELTA", ".TSLA160520C280")</f>
        <v>0.3</v>
      </c>
      <c r="F51">
        <f>RTD("tos.rtd", , "BID", ".TSLA160520C280")</f>
        <v>7.05</v>
      </c>
      <c r="G51" t="str">
        <f>RTD("tos.rtd", , "BX", ".TSLA160520C280")</f>
        <v>C</v>
      </c>
      <c r="H51">
        <f>RTD("tos.rtd", , "ASK", ".TSLA160520C280")</f>
        <v>7.3</v>
      </c>
      <c r="I51" t="str">
        <f>RTD("tos.rtd", , "AX", ".TSLA160520C280")</f>
        <v>C</v>
      </c>
      <c r="J51" t="str">
        <f>RTD("tos.rtd", , "EXPIRATION_DAY", ".TSLA160520C280")</f>
        <v>2016-05-21</v>
      </c>
      <c r="K51">
        <f>RTD("tos.rtd", , "STRIKE", ".TSLA160520C280")</f>
        <v>280</v>
      </c>
      <c r="L51">
        <f>RTD("tos.rtd", , "BID", ".TSLA160520P280")</f>
        <v>34.549999999999997</v>
      </c>
      <c r="M51" t="str">
        <f>RTD("tos.rtd", , "BX", ".TSLA160520P280")</f>
        <v>C</v>
      </c>
      <c r="N51">
        <f>RTD("tos.rtd", , "ASK", ".TSLA160520P280")</f>
        <v>35.1</v>
      </c>
      <c r="O51" t="str">
        <f>RTD("tos.rtd", , "AX", ".TSLA160520P280")</f>
        <v>T</v>
      </c>
      <c r="P51" t="str">
        <f>RTD("tos.rtd", , "IMPL_VOL", ".TSLA160520P280")</f>
        <v>56.71%</v>
      </c>
      <c r="Q51" t="str">
        <f>RTD("tos.rtd", , "PROB_OTM", ".TSLA160520P280")</f>
        <v>26.93%</v>
      </c>
      <c r="R51">
        <f>RTD("tos.rtd", , "DELTA", ".TSLA160520P280")</f>
        <v>-0.67</v>
      </c>
      <c r="T51">
        <f t="shared" si="0"/>
        <v>254.3</v>
      </c>
      <c r="U51">
        <f t="shared" si="1"/>
        <v>280</v>
      </c>
      <c r="V51" s="1">
        <v>0.43430000000000002</v>
      </c>
      <c r="W51" s="1">
        <v>5.0000000000000001E-3</v>
      </c>
      <c r="X51" s="1">
        <v>0</v>
      </c>
      <c r="Y51" s="2">
        <v>27</v>
      </c>
      <c r="Z51" s="1">
        <f t="shared" si="2"/>
        <v>0.108</v>
      </c>
      <c r="AA51" s="3">
        <f t="shared" si="3"/>
        <v>-9.6274930741175616E-2</v>
      </c>
      <c r="AB51" s="3">
        <f t="shared" si="4"/>
        <v>1.0725290460000002E-2</v>
      </c>
      <c r="AC51" s="3">
        <f t="shared" si="5"/>
        <v>0.1427255440346962</v>
      </c>
      <c r="AD51" s="3">
        <f t="shared" si="6"/>
        <v>-0.59939964397948786</v>
      </c>
      <c r="AE51" s="3">
        <f t="shared" si="7"/>
        <v>-0.74212518801418403</v>
      </c>
      <c r="AF51">
        <f t="shared" si="8"/>
        <v>0.27445320716988675</v>
      </c>
      <c r="AG51">
        <f t="shared" si="9"/>
        <v>0.72554679283011325</v>
      </c>
      <c r="AH51">
        <f t="shared" si="10"/>
        <v>0.22900574510124572</v>
      </c>
      <c r="AI51">
        <f t="shared" si="11"/>
        <v>0.77099425489875428</v>
      </c>
      <c r="AJ51">
        <f t="shared" si="12"/>
        <v>0.99946014577375952</v>
      </c>
      <c r="AK51">
        <f t="shared" si="13"/>
        <v>279.84884081665268</v>
      </c>
      <c r="AL51">
        <f t="shared" si="14"/>
        <v>1</v>
      </c>
      <c r="AM51">
        <f t="shared" si="15"/>
        <v>254.3</v>
      </c>
      <c r="AN51">
        <f t="shared" si="16"/>
        <v>5.7064582763647564</v>
      </c>
      <c r="AO51">
        <f t="shared" si="17"/>
        <v>-1.5935417236352434</v>
      </c>
      <c r="AP51">
        <f t="shared" si="18"/>
        <v>0.27445320716988675</v>
      </c>
      <c r="AQ51">
        <f t="shared" si="19"/>
        <v>9.1842850072799739E-3</v>
      </c>
      <c r="AR51">
        <f t="shared" si="20"/>
        <v>-0.22443543169385449</v>
      </c>
      <c r="AS51">
        <f t="shared" si="21"/>
        <v>0.27858110552665261</v>
      </c>
      <c r="AT51">
        <f t="shared" si="22"/>
        <v>6.9213951691492429E-2</v>
      </c>
      <c r="AU51">
        <f t="shared" si="23"/>
        <v>31.255299093017442</v>
      </c>
      <c r="AV51">
        <f t="shared" si="24"/>
        <v>-3.8447009069825597</v>
      </c>
      <c r="AW51">
        <f t="shared" si="25"/>
        <v>-0.72554679283011325</v>
      </c>
      <c r="AX51">
        <f t="shared" si="26"/>
        <v>9.1842850072799739E-3</v>
      </c>
      <c r="AY51">
        <f t="shared" si="27"/>
        <v>-0.21886075358993712</v>
      </c>
      <c r="AZ51">
        <f t="shared" si="28"/>
        <v>0.27858110552665261</v>
      </c>
      <c r="BA51">
        <f t="shared" si="29"/>
        <v>-0.23302279639049242</v>
      </c>
    </row>
    <row r="52" spans="3:53">
      <c r="C52" t="str">
        <f>RTD("tos.rtd", , "IMPL_VOL", ".TSLA160520C285")</f>
        <v>49.52%</v>
      </c>
      <c r="D52" t="str">
        <f>RTD("tos.rtd", , "PROB_OTM", ".TSLA160520C285")</f>
        <v>78.53%</v>
      </c>
      <c r="E52">
        <f>RTD("tos.rtd", , "DELTA", ".TSLA160520C285")</f>
        <v>0.26</v>
      </c>
      <c r="F52">
        <f>RTD("tos.rtd", , "BID", ".TSLA160520C285")</f>
        <v>5.9</v>
      </c>
      <c r="G52" t="str">
        <f>RTD("tos.rtd", , "BX", ".TSLA160520C285")</f>
        <v>C</v>
      </c>
      <c r="H52">
        <f>RTD("tos.rtd", , "ASK", ".TSLA160520C285")</f>
        <v>6.15</v>
      </c>
      <c r="I52" t="str">
        <f>RTD("tos.rtd", , "AX", ".TSLA160520C285")</f>
        <v>C</v>
      </c>
      <c r="J52" t="str">
        <f>RTD("tos.rtd", , "EXPIRATION_DAY", ".TSLA160520C285")</f>
        <v>2016-05-21</v>
      </c>
      <c r="K52">
        <f>RTD("tos.rtd", , "STRIKE", ".TSLA160520C285")</f>
        <v>285</v>
      </c>
      <c r="L52">
        <f>RTD("tos.rtd", , "BID", ".TSLA160520P285")</f>
        <v>38.4</v>
      </c>
      <c r="M52" t="str">
        <f>RTD("tos.rtd", , "BX", ".TSLA160520P285")</f>
        <v>X</v>
      </c>
      <c r="N52">
        <f>RTD("tos.rtd", , "ASK", ".TSLA160520P285")</f>
        <v>38.950000000000003</v>
      </c>
      <c r="O52" t="str">
        <f>RTD("tos.rtd", , "AX", ".TSLA160520P285")</f>
        <v>T</v>
      </c>
      <c r="P52" t="str">
        <f>RTD("tos.rtd", , "IMPL_VOL", ".TSLA160520P285")</f>
        <v>57.16%</v>
      </c>
      <c r="Q52" t="str">
        <f>RTD("tos.rtd", , "PROB_OTM", ".TSLA160520P285")</f>
        <v>23.96%</v>
      </c>
      <c r="R52">
        <f>RTD("tos.rtd", , "DELTA", ".TSLA160520P285")</f>
        <v>-0.7</v>
      </c>
      <c r="T52">
        <f t="shared" si="0"/>
        <v>254.3</v>
      </c>
      <c r="U52">
        <f t="shared" si="1"/>
        <v>285</v>
      </c>
      <c r="V52" s="1">
        <v>0.43430000000000002</v>
      </c>
      <c r="W52" s="1">
        <v>5.0000000000000001E-3</v>
      </c>
      <c r="X52" s="1">
        <v>0</v>
      </c>
      <c r="Y52" s="2">
        <v>27</v>
      </c>
      <c r="Z52" s="1">
        <f t="shared" si="2"/>
        <v>0.108</v>
      </c>
      <c r="AA52" s="3">
        <f t="shared" si="3"/>
        <v>-0.11397450784057653</v>
      </c>
      <c r="AB52" s="3">
        <f t="shared" si="4"/>
        <v>1.0725290460000002E-2</v>
      </c>
      <c r="AC52" s="3">
        <f t="shared" si="5"/>
        <v>0.1427255440346962</v>
      </c>
      <c r="AD52" s="3">
        <f t="shared" si="6"/>
        <v>-0.72341092184225209</v>
      </c>
      <c r="AE52" s="3">
        <f t="shared" si="7"/>
        <v>-0.86613646587694826</v>
      </c>
      <c r="AF52">
        <f t="shared" si="8"/>
        <v>0.23471373156618958</v>
      </c>
      <c r="AG52">
        <f t="shared" si="9"/>
        <v>0.76528626843381042</v>
      </c>
      <c r="AH52">
        <f t="shared" si="10"/>
        <v>0.19320766487354768</v>
      </c>
      <c r="AI52">
        <f t="shared" si="11"/>
        <v>0.80679233512645232</v>
      </c>
      <c r="AJ52">
        <f t="shared" si="12"/>
        <v>0.99946014577375952</v>
      </c>
      <c r="AK52">
        <f t="shared" si="13"/>
        <v>284.84614154552145</v>
      </c>
      <c r="AL52">
        <f t="shared" si="14"/>
        <v>1</v>
      </c>
      <c r="AM52">
        <f t="shared" si="15"/>
        <v>254.3</v>
      </c>
      <c r="AN52">
        <f t="shared" si="16"/>
        <v>4.6532440810317794</v>
      </c>
      <c r="AO52">
        <f t="shared" si="17"/>
        <v>-1.4967559189682209</v>
      </c>
      <c r="AP52">
        <f t="shared" si="18"/>
        <v>0.23471373156618958</v>
      </c>
      <c r="AQ52">
        <f t="shared" si="19"/>
        <v>8.4610405101552041E-3</v>
      </c>
      <c r="AR52">
        <f t="shared" si="20"/>
        <v>-0.2066817830289821</v>
      </c>
      <c r="AS52">
        <f t="shared" si="21"/>
        <v>0.25664338784744517</v>
      </c>
      <c r="AT52">
        <f t="shared" si="22"/>
        <v>5.9437214484750263E-2</v>
      </c>
      <c r="AU52">
        <f t="shared" si="23"/>
        <v>35.199385626553209</v>
      </c>
      <c r="AV52">
        <f t="shared" si="24"/>
        <v>-3.750614373446794</v>
      </c>
      <c r="AW52">
        <f t="shared" si="25"/>
        <v>-0.76528626843381042</v>
      </c>
      <c r="AX52">
        <f t="shared" si="26"/>
        <v>8.4610405101552041E-3</v>
      </c>
      <c r="AY52">
        <f t="shared" si="27"/>
        <v>-0.20100755710178048</v>
      </c>
      <c r="AZ52">
        <f t="shared" si="28"/>
        <v>0.25664338784744517</v>
      </c>
      <c r="BA52">
        <f t="shared" si="29"/>
        <v>-0.24819661838441295</v>
      </c>
    </row>
    <row r="53" spans="3:53">
      <c r="C53" t="str">
        <f>RTD("tos.rtd", , "IMPL_VOL", ".TSLA160520C290")</f>
        <v>49.50%</v>
      </c>
      <c r="D53" t="str">
        <f>RTD("tos.rtd", , "PROB_OTM", ".TSLA160520C290")</f>
        <v>81.58%</v>
      </c>
      <c r="E53">
        <f>RTD("tos.rtd", , "DELTA", ".TSLA160520C290")</f>
        <v>0.23</v>
      </c>
      <c r="F53">
        <f>RTD("tos.rtd", , "BID", ".TSLA160520C290")</f>
        <v>4.9000000000000004</v>
      </c>
      <c r="G53" t="str">
        <f>RTD("tos.rtd", , "BX", ".TSLA160520C290")</f>
        <v>X</v>
      </c>
      <c r="H53">
        <f>RTD("tos.rtd", , "ASK", ".TSLA160520C290")</f>
        <v>5.15</v>
      </c>
      <c r="I53" t="str">
        <f>RTD("tos.rtd", , "AX", ".TSLA160520C290")</f>
        <v>X</v>
      </c>
      <c r="J53" t="str">
        <f>RTD("tos.rtd", , "EXPIRATION_DAY", ".TSLA160520C290")</f>
        <v>2016-05-21</v>
      </c>
      <c r="K53">
        <f>RTD("tos.rtd", , "STRIKE", ".TSLA160520C290")</f>
        <v>290</v>
      </c>
      <c r="L53">
        <f>RTD("tos.rtd", , "BID", ".TSLA160520P290")</f>
        <v>42.4</v>
      </c>
      <c r="M53" t="str">
        <f>RTD("tos.rtd", , "BX", ".TSLA160520P290")</f>
        <v>C</v>
      </c>
      <c r="N53">
        <f>RTD("tos.rtd", , "ASK", ".TSLA160520P290")</f>
        <v>42.9</v>
      </c>
      <c r="O53" t="str">
        <f>RTD("tos.rtd", , "AX", ".TSLA160520P290")</f>
        <v>N</v>
      </c>
      <c r="P53" t="str">
        <f>RTD("tos.rtd", , "IMPL_VOL", ".TSLA160520P290")</f>
        <v>57.59%</v>
      </c>
      <c r="Q53" t="str">
        <f>RTD("tos.rtd", , "PROB_OTM", ".TSLA160520P290")</f>
        <v>21.26%</v>
      </c>
      <c r="R53">
        <f>RTD("tos.rtd", , "DELTA", ".TSLA160520P290")</f>
        <v>-0.73</v>
      </c>
      <c r="T53">
        <f t="shared" si="0"/>
        <v>254.3</v>
      </c>
      <c r="U53">
        <f t="shared" si="1"/>
        <v>290</v>
      </c>
      <c r="V53" s="1">
        <v>0.43430000000000002</v>
      </c>
      <c r="W53" s="1">
        <v>5.0000000000000001E-3</v>
      </c>
      <c r="X53" s="1">
        <v>0</v>
      </c>
      <c r="Y53" s="2">
        <v>27</v>
      </c>
      <c r="Z53" s="1">
        <f t="shared" si="2"/>
        <v>0.108</v>
      </c>
      <c r="AA53" s="3">
        <f t="shared" si="3"/>
        <v>-0.13136625055244575</v>
      </c>
      <c r="AB53" s="3">
        <f t="shared" si="4"/>
        <v>1.0725290460000002E-2</v>
      </c>
      <c r="AC53" s="3">
        <f t="shared" si="5"/>
        <v>0.1427255440346962</v>
      </c>
      <c r="AD53" s="3">
        <f t="shared" si="6"/>
        <v>-0.84526537214052055</v>
      </c>
      <c r="AE53" s="3">
        <f t="shared" si="7"/>
        <v>-0.98799091617521673</v>
      </c>
      <c r="AF53">
        <f t="shared" si="8"/>
        <v>0.19898134512248522</v>
      </c>
      <c r="AG53">
        <f t="shared" si="9"/>
        <v>0.80101865487751478</v>
      </c>
      <c r="AH53">
        <f t="shared" si="10"/>
        <v>0.16157854850334152</v>
      </c>
      <c r="AI53">
        <f t="shared" si="11"/>
        <v>0.83842145149665848</v>
      </c>
      <c r="AJ53">
        <f t="shared" si="12"/>
        <v>0.99946014577375952</v>
      </c>
      <c r="AK53">
        <f t="shared" si="13"/>
        <v>289.84344227439027</v>
      </c>
      <c r="AL53">
        <f t="shared" si="14"/>
        <v>1</v>
      </c>
      <c r="AM53">
        <f t="shared" si="15"/>
        <v>254.3</v>
      </c>
      <c r="AN53">
        <f t="shared" si="16"/>
        <v>3.7684733687399614</v>
      </c>
      <c r="AO53">
        <f t="shared" si="17"/>
        <v>-1.3815266312600389</v>
      </c>
      <c r="AP53">
        <f t="shared" si="18"/>
        <v>0.19898134512248522</v>
      </c>
      <c r="AQ53">
        <f t="shared" si="19"/>
        <v>7.6898175994560853E-3</v>
      </c>
      <c r="AR53">
        <f t="shared" si="20"/>
        <v>-0.1877793032915922</v>
      </c>
      <c r="AS53">
        <f t="shared" si="21"/>
        <v>0.23325037130889664</v>
      </c>
      <c r="AT53">
        <f t="shared" si="22"/>
        <v>5.0579081311580676E-2</v>
      </c>
      <c r="AU53">
        <f t="shared" si="23"/>
        <v>39.31191564313022</v>
      </c>
      <c r="AV53">
        <f t="shared" si="24"/>
        <v>-3.5880843568697784</v>
      </c>
      <c r="AW53">
        <f t="shared" si="25"/>
        <v>-0.80101865487751478</v>
      </c>
      <c r="AX53">
        <f t="shared" si="26"/>
        <v>7.6898175994560853E-3</v>
      </c>
      <c r="AY53">
        <f t="shared" si="27"/>
        <v>-0.18200552954110635</v>
      </c>
      <c r="AZ53">
        <f t="shared" si="28"/>
        <v>0.23325037130889664</v>
      </c>
      <c r="BA53">
        <f t="shared" si="29"/>
        <v>-0.26245183634476082</v>
      </c>
    </row>
    <row r="54" spans="3:53">
      <c r="C54" t="str">
        <f>RTD("tos.rtd", , "IMPL_VOL", ".TSLA160520C295")</f>
        <v>49.62%</v>
      </c>
      <c r="D54" t="str">
        <f>RTD("tos.rtd", , "PROB_OTM", ".TSLA160520C295")</f>
        <v>84.24%</v>
      </c>
      <c r="E54">
        <f>RTD("tos.rtd", , "DELTA", ".TSLA160520C295")</f>
        <v>0.2</v>
      </c>
      <c r="F54">
        <f>RTD("tos.rtd", , "BID", ".TSLA160520C295")</f>
        <v>4.0999999999999996</v>
      </c>
      <c r="G54" t="str">
        <f>RTD("tos.rtd", , "BX", ".TSLA160520C295")</f>
        <v>X</v>
      </c>
      <c r="H54">
        <f>RTD("tos.rtd", , "ASK", ".TSLA160520C295")</f>
        <v>4.3</v>
      </c>
      <c r="I54" t="str">
        <f>RTD("tos.rtd", , "AX", ".TSLA160520C295")</f>
        <v>X</v>
      </c>
      <c r="J54" t="str">
        <f>RTD("tos.rtd", , "EXPIRATION_DAY", ".TSLA160520C295")</f>
        <v>2016-05-21</v>
      </c>
      <c r="K54">
        <f>RTD("tos.rtd", , "STRIKE", ".TSLA160520C295")</f>
        <v>295</v>
      </c>
      <c r="L54">
        <f>RTD("tos.rtd", , "BID", ".TSLA160520P295")</f>
        <v>46.6</v>
      </c>
      <c r="M54" t="str">
        <f>RTD("tos.rtd", , "BX", ".TSLA160520P295")</f>
        <v>C</v>
      </c>
      <c r="N54">
        <f>RTD("tos.rtd", , "ASK", ".TSLA160520P295")</f>
        <v>47.1</v>
      </c>
      <c r="O54" t="str">
        <f>RTD("tos.rtd", , "AX", ".TSLA160520P295")</f>
        <v>N</v>
      </c>
      <c r="P54" t="str">
        <f>RTD("tos.rtd", , "IMPL_VOL", ".TSLA160520P295")</f>
        <v>58.42%</v>
      </c>
      <c r="Q54" t="str">
        <f>RTD("tos.rtd", , "PROB_OTM", ".TSLA160520P295")</f>
        <v>18.96%</v>
      </c>
      <c r="R54">
        <f>RTD("tos.rtd", , "DELTA", ".TSLA160520P295")</f>
        <v>-0.75</v>
      </c>
      <c r="T54">
        <f t="shared" si="0"/>
        <v>254.3</v>
      </c>
      <c r="U54">
        <f t="shared" si="1"/>
        <v>295</v>
      </c>
      <c r="V54" s="1">
        <v>0.43430000000000002</v>
      </c>
      <c r="W54" s="1">
        <v>5.0000000000000001E-3</v>
      </c>
      <c r="X54" s="1">
        <v>0</v>
      </c>
      <c r="Y54" s="2">
        <v>27</v>
      </c>
      <c r="Z54" s="1">
        <f t="shared" si="2"/>
        <v>0.108</v>
      </c>
      <c r="AA54" s="3">
        <f t="shared" si="3"/>
        <v>-0.1484606839117458</v>
      </c>
      <c r="AB54" s="3">
        <f t="shared" si="4"/>
        <v>1.0725290460000002E-2</v>
      </c>
      <c r="AC54" s="3">
        <f t="shared" si="5"/>
        <v>0.1427255440346962</v>
      </c>
      <c r="AD54" s="3">
        <f t="shared" si="6"/>
        <v>-0.96503673805063717</v>
      </c>
      <c r="AE54" s="3">
        <f t="shared" si="7"/>
        <v>-1.1077622820853334</v>
      </c>
      <c r="AF54">
        <f t="shared" si="8"/>
        <v>0.16726320551624363</v>
      </c>
      <c r="AG54">
        <f t="shared" si="9"/>
        <v>0.83273679448375637</v>
      </c>
      <c r="AH54">
        <f t="shared" si="10"/>
        <v>0.13398224670321945</v>
      </c>
      <c r="AI54">
        <f t="shared" si="11"/>
        <v>0.86601775329678055</v>
      </c>
      <c r="AJ54">
        <f t="shared" si="12"/>
        <v>0.99946014577375952</v>
      </c>
      <c r="AK54">
        <f t="shared" si="13"/>
        <v>294.84074300325904</v>
      </c>
      <c r="AL54">
        <f t="shared" si="14"/>
        <v>1</v>
      </c>
      <c r="AM54">
        <f t="shared" si="15"/>
        <v>254.3</v>
      </c>
      <c r="AN54">
        <f t="shared" si="16"/>
        <v>3.0316079955575788</v>
      </c>
      <c r="AO54">
        <f t="shared" si="17"/>
        <v>-1.2683920044424211</v>
      </c>
      <c r="AP54">
        <f t="shared" si="18"/>
        <v>0.16726320551624363</v>
      </c>
      <c r="AQ54">
        <f t="shared" si="19"/>
        <v>6.8997548764913727E-3</v>
      </c>
      <c r="AR54">
        <f t="shared" si="20"/>
        <v>-0.16843644455985998</v>
      </c>
      <c r="AS54">
        <f t="shared" si="21"/>
        <v>0.20928589866628525</v>
      </c>
      <c r="AT54">
        <f t="shared" si="22"/>
        <v>4.2663699180601034E-2</v>
      </c>
      <c r="AU54">
        <f t="shared" si="23"/>
        <v>43.572350998816603</v>
      </c>
      <c r="AV54">
        <f t="shared" si="24"/>
        <v>-3.5276490011833985</v>
      </c>
      <c r="AW54">
        <f t="shared" si="25"/>
        <v>-0.83273679448375637</v>
      </c>
      <c r="AX54">
        <f t="shared" si="26"/>
        <v>6.8997548764913727E-3</v>
      </c>
      <c r="AY54">
        <f t="shared" si="27"/>
        <v>-0.16256312298608988</v>
      </c>
      <c r="AZ54">
        <f t="shared" si="28"/>
        <v>0.20928589866628525</v>
      </c>
      <c r="BA54">
        <f t="shared" si="29"/>
        <v>-0.27576430326291873</v>
      </c>
    </row>
    <row r="55" spans="3:53">
      <c r="C55" t="str">
        <f>RTD("tos.rtd", , "IMPL_VOL", ".TSLA160520C300")</f>
        <v>49.86%</v>
      </c>
      <c r="D55" t="str">
        <f>RTD("tos.rtd", , "PROB_OTM", ".TSLA160520C300")</f>
        <v>86.54%</v>
      </c>
      <c r="E55">
        <f>RTD("tos.rtd", , "DELTA", ".TSLA160520C300")</f>
        <v>0.17</v>
      </c>
      <c r="F55">
        <f>RTD("tos.rtd", , "BID", ".TSLA160520C300")</f>
        <v>3.45</v>
      </c>
      <c r="G55" t="str">
        <f>RTD("tos.rtd", , "BX", ".TSLA160520C300")</f>
        <v>E</v>
      </c>
      <c r="H55">
        <f>RTD("tos.rtd", , "ASK", ".TSLA160520C300")</f>
        <v>3.6</v>
      </c>
      <c r="I55" t="str">
        <f>RTD("tos.rtd", , "AX", ".TSLA160520C300")</f>
        <v>X</v>
      </c>
      <c r="J55" t="str">
        <f>RTD("tos.rtd", , "EXPIRATION_DAY", ".TSLA160520C300")</f>
        <v>2016-05-21</v>
      </c>
      <c r="K55">
        <f>RTD("tos.rtd", , "STRIKE", ".TSLA160520C300")</f>
        <v>300</v>
      </c>
      <c r="L55">
        <f>RTD("tos.rtd", , "BID", ".TSLA160520P300")</f>
        <v>50.9</v>
      </c>
      <c r="M55" t="str">
        <f>RTD("tos.rtd", , "BX", ".TSLA160520P300")</f>
        <v>C</v>
      </c>
      <c r="N55">
        <f>RTD("tos.rtd", , "ASK", ".TSLA160520P300")</f>
        <v>51.4</v>
      </c>
      <c r="O55" t="str">
        <f>RTD("tos.rtd", , "AX", ".TSLA160520P300")</f>
        <v>N</v>
      </c>
      <c r="P55" t="str">
        <f>RTD("tos.rtd", , "IMPL_VOL", ".TSLA160520P300")</f>
        <v>59.29%</v>
      </c>
      <c r="Q55" t="str">
        <f>RTD("tos.rtd", , "PROB_OTM", ".TSLA160520P300")</f>
        <v>16.93%</v>
      </c>
      <c r="R55">
        <f>RTD("tos.rtd", , "DELTA", ".TSLA160520P300")</f>
        <v>-0.77</v>
      </c>
      <c r="T55">
        <f t="shared" si="0"/>
        <v>254.3</v>
      </c>
      <c r="U55">
        <f t="shared" si="1"/>
        <v>300</v>
      </c>
      <c r="V55" s="1">
        <v>0.43430000000000002</v>
      </c>
      <c r="W55" s="1">
        <v>5.0000000000000001E-3</v>
      </c>
      <c r="X55" s="1">
        <v>0</v>
      </c>
      <c r="Y55" s="2">
        <v>27</v>
      </c>
      <c r="Z55" s="1">
        <f t="shared" si="2"/>
        <v>0.108</v>
      </c>
      <c r="AA55" s="3">
        <f t="shared" si="3"/>
        <v>-0.16526780222812709</v>
      </c>
      <c r="AB55" s="3">
        <f t="shared" si="4"/>
        <v>1.0725290460000002E-2</v>
      </c>
      <c r="AC55" s="3">
        <f t="shared" si="5"/>
        <v>0.1427255440346962</v>
      </c>
      <c r="AD55" s="3">
        <f t="shared" si="6"/>
        <v>-1.0827950442463068</v>
      </c>
      <c r="AE55" s="3">
        <f t="shared" si="7"/>
        <v>-1.225520588281003</v>
      </c>
      <c r="AF55">
        <f t="shared" si="8"/>
        <v>0.13944970286428449</v>
      </c>
      <c r="AG55">
        <f t="shared" si="9"/>
        <v>0.86055029713571551</v>
      </c>
      <c r="AH55">
        <f t="shared" si="10"/>
        <v>0.11018956888014975</v>
      </c>
      <c r="AI55">
        <f t="shared" si="11"/>
        <v>0.88981043111985025</v>
      </c>
      <c r="AJ55">
        <f t="shared" si="12"/>
        <v>0.99946014577375952</v>
      </c>
      <c r="AK55">
        <f t="shared" si="13"/>
        <v>299.83804373212786</v>
      </c>
      <c r="AL55">
        <f t="shared" si="14"/>
        <v>1</v>
      </c>
      <c r="AM55">
        <f t="shared" si="15"/>
        <v>254.3</v>
      </c>
      <c r="AN55">
        <f t="shared" si="16"/>
        <v>2.4230346656768944</v>
      </c>
      <c r="AO55">
        <f t="shared" si="17"/>
        <v>-1.1769653343231057</v>
      </c>
      <c r="AP55">
        <f t="shared" si="18"/>
        <v>0.13944970286428449</v>
      </c>
      <c r="AQ55">
        <f t="shared" si="19"/>
        <v>6.1160183280325039E-3</v>
      </c>
      <c r="AR55">
        <f t="shared" si="20"/>
        <v>-0.14926452280159694</v>
      </c>
      <c r="AS55">
        <f t="shared" si="21"/>
        <v>0.18551331387190545</v>
      </c>
      <c r="AT55">
        <f t="shared" si="22"/>
        <v>3.5682146754527501E-2</v>
      </c>
      <c r="AU55">
        <f t="shared" si="23"/>
        <v>47.961078397804727</v>
      </c>
      <c r="AV55">
        <f t="shared" si="24"/>
        <v>-3.438921602195272</v>
      </c>
      <c r="AW55">
        <f t="shared" si="25"/>
        <v>-0.86055029713571551</v>
      </c>
      <c r="AX55">
        <f t="shared" si="26"/>
        <v>6.1160183280325039E-3</v>
      </c>
      <c r="AY55">
        <f t="shared" si="27"/>
        <v>-0.14329165340454258</v>
      </c>
      <c r="AZ55">
        <f t="shared" si="28"/>
        <v>0.18551331387190545</v>
      </c>
      <c r="BA55">
        <f t="shared" si="29"/>
        <v>-0.28814294047617056</v>
      </c>
    </row>
    <row r="56" spans="3:53">
      <c r="C56" t="str">
        <f>RTD("tos.rtd", , "IMPL_VOL", ".TSLA160520C305")</f>
        <v>50.07%</v>
      </c>
      <c r="D56" t="str">
        <f>RTD("tos.rtd", , "PROB_OTM", ".TSLA160520C305")</f>
        <v>88.55%</v>
      </c>
      <c r="E56">
        <f>RTD("tos.rtd", , "DELTA", ".TSLA160520C305")</f>
        <v>0.15</v>
      </c>
      <c r="F56">
        <f>RTD("tos.rtd", , "BID", ".TSLA160520C305")</f>
        <v>2.89</v>
      </c>
      <c r="G56" t="str">
        <f>RTD("tos.rtd", , "BX", ".TSLA160520C305")</f>
        <v>Z</v>
      </c>
      <c r="H56">
        <f>RTD("tos.rtd", , "ASK", ".TSLA160520C305")</f>
        <v>3</v>
      </c>
      <c r="I56" t="str">
        <f>RTD("tos.rtd", , "AX", ".TSLA160520C305")</f>
        <v>C</v>
      </c>
      <c r="J56" t="str">
        <f>RTD("tos.rtd", , "EXPIRATION_DAY", ".TSLA160520C305")</f>
        <v>2016-05-21</v>
      </c>
      <c r="K56">
        <f>RTD("tos.rtd", , "STRIKE", ".TSLA160520C305")</f>
        <v>305</v>
      </c>
      <c r="L56">
        <f>RTD("tos.rtd", , "BID", ".TSLA160520P305")</f>
        <v>55.25</v>
      </c>
      <c r="M56" t="str">
        <f>RTD("tos.rtd", , "BX", ".TSLA160520P305")</f>
        <v>X</v>
      </c>
      <c r="N56">
        <f>RTD("tos.rtd", , "ASK", ".TSLA160520P305")</f>
        <v>55.95</v>
      </c>
      <c r="O56" t="str">
        <f>RTD("tos.rtd", , "AX", ".TSLA160520P305")</f>
        <v>I</v>
      </c>
      <c r="P56" t="str">
        <f>RTD("tos.rtd", , "IMPL_VOL", ".TSLA160520P305")</f>
        <v>60.47%</v>
      </c>
      <c r="Q56" t="str">
        <f>RTD("tos.rtd", , "PROB_OTM", ".TSLA160520P305")</f>
        <v>15.22%</v>
      </c>
      <c r="R56">
        <f>RTD("tos.rtd", , "DELTA", ".TSLA160520P305")</f>
        <v>-0.79</v>
      </c>
      <c r="T56">
        <f t="shared" si="0"/>
        <v>254.3</v>
      </c>
      <c r="U56">
        <f t="shared" si="1"/>
        <v>305</v>
      </c>
      <c r="V56" s="1">
        <v>0.43430000000000002</v>
      </c>
      <c r="W56" s="1">
        <v>5.0000000000000001E-3</v>
      </c>
      <c r="X56" s="1">
        <v>0</v>
      </c>
      <c r="Y56" s="2">
        <v>27</v>
      </c>
      <c r="Z56" s="1">
        <f t="shared" si="2"/>
        <v>0.108</v>
      </c>
      <c r="AA56" s="3">
        <f t="shared" si="3"/>
        <v>-0.18179710417933756</v>
      </c>
      <c r="AB56" s="3">
        <f t="shared" si="4"/>
        <v>1.0725290460000002E-2</v>
      </c>
      <c r="AC56" s="3">
        <f t="shared" si="5"/>
        <v>0.1427255440346962</v>
      </c>
      <c r="AD56" s="3">
        <f t="shared" si="6"/>
        <v>-1.1986068427789665</v>
      </c>
      <c r="AE56" s="3">
        <f t="shared" si="7"/>
        <v>-1.3413323868136626</v>
      </c>
      <c r="AF56">
        <f t="shared" si="8"/>
        <v>0.11534042810079903</v>
      </c>
      <c r="AG56">
        <f t="shared" si="9"/>
        <v>0.88465957189920097</v>
      </c>
      <c r="AH56">
        <f t="shared" si="10"/>
        <v>8.9906279547687928E-2</v>
      </c>
      <c r="AI56">
        <f t="shared" si="11"/>
        <v>0.91009372045231207</v>
      </c>
      <c r="AJ56">
        <f t="shared" si="12"/>
        <v>0.99946014577375952</v>
      </c>
      <c r="AK56">
        <f t="shared" si="13"/>
        <v>304.83534446099668</v>
      </c>
      <c r="AL56">
        <f t="shared" si="14"/>
        <v>1</v>
      </c>
      <c r="AM56">
        <f t="shared" si="15"/>
        <v>254.3</v>
      </c>
      <c r="AN56">
        <f t="shared" si="16"/>
        <v>1.9244591709070846</v>
      </c>
      <c r="AO56">
        <f t="shared" si="17"/>
        <v>-1.0755408290929154</v>
      </c>
      <c r="AP56">
        <f t="shared" si="18"/>
        <v>0.11534042810079903</v>
      </c>
      <c r="AQ56">
        <f t="shared" si="19"/>
        <v>5.3591461227836014E-3</v>
      </c>
      <c r="AR56">
        <f t="shared" si="20"/>
        <v>-0.13076192150287244</v>
      </c>
      <c r="AS56">
        <f t="shared" si="21"/>
        <v>0.16255558820099</v>
      </c>
      <c r="AT56">
        <f t="shared" si="22"/>
        <v>2.9599140630736195E-2</v>
      </c>
      <c r="AU56">
        <f t="shared" si="23"/>
        <v>52.459803631903753</v>
      </c>
      <c r="AV56">
        <f t="shared" si="24"/>
        <v>-3.4901963680962496</v>
      </c>
      <c r="AW56">
        <f t="shared" si="25"/>
        <v>-0.88465957189920097</v>
      </c>
      <c r="AX56">
        <f t="shared" si="26"/>
        <v>5.3591461227836014E-3</v>
      </c>
      <c r="AY56">
        <f t="shared" si="27"/>
        <v>-0.12468950428253386</v>
      </c>
      <c r="AZ56">
        <f t="shared" si="28"/>
        <v>0.16255558820099</v>
      </c>
      <c r="BA56">
        <f t="shared" si="29"/>
        <v>-0.29962303138714019</v>
      </c>
    </row>
    <row r="57" spans="3:53">
      <c r="C57" t="str">
        <f>RTD("tos.rtd", , "IMPL_VOL", ".TSLA160520C310")</f>
        <v>50.28%</v>
      </c>
      <c r="D57" t="str">
        <f>RTD("tos.rtd", , "PROB_OTM", ".TSLA160520C310")</f>
        <v>90.31%</v>
      </c>
      <c r="E57">
        <f>RTD("tos.rtd", , "DELTA", ".TSLA160520C310")</f>
        <v>0.13</v>
      </c>
      <c r="F57">
        <f>RTD("tos.rtd", , "BID", ".TSLA160520C310")</f>
        <v>2.4</v>
      </c>
      <c r="G57" t="str">
        <f>RTD("tos.rtd", , "BX", ".TSLA160520C310")</f>
        <v>Z</v>
      </c>
      <c r="H57">
        <f>RTD("tos.rtd", , "ASK", ".TSLA160520C310")</f>
        <v>2.5099999999999998</v>
      </c>
      <c r="I57" t="str">
        <f>RTD("tos.rtd", , "AX", ".TSLA160520C310")</f>
        <v>Z</v>
      </c>
      <c r="J57" t="str">
        <f>RTD("tos.rtd", , "EXPIRATION_DAY", ".TSLA160520C310")</f>
        <v>2016-05-21</v>
      </c>
      <c r="K57">
        <f>RTD("tos.rtd", , "STRIKE", ".TSLA160520C310")</f>
        <v>310</v>
      </c>
      <c r="L57">
        <f>RTD("tos.rtd", , "BID", ".TSLA160520P310")</f>
        <v>59.8</v>
      </c>
      <c r="M57" t="str">
        <f>RTD("tos.rtd", , "BX", ".TSLA160520P310")</f>
        <v>C</v>
      </c>
      <c r="N57">
        <f>RTD("tos.rtd", , "ASK", ".TSLA160520P310")</f>
        <v>60.55</v>
      </c>
      <c r="O57" t="str">
        <f>RTD("tos.rtd", , "AX", ".TSLA160520P310")</f>
        <v>N</v>
      </c>
      <c r="P57" t="str">
        <f>RTD("tos.rtd", , "IMPL_VOL", ".TSLA160520P310")</f>
        <v>61.95%</v>
      </c>
      <c r="Q57" t="str">
        <f>RTD("tos.rtd", , "PROB_OTM", ".TSLA160520P310")</f>
        <v>13.82%</v>
      </c>
      <c r="R57">
        <f>RTD("tos.rtd", , "DELTA", ".TSLA160520P310")</f>
        <v>-0.8</v>
      </c>
      <c r="T57">
        <f t="shared" si="0"/>
        <v>254.3</v>
      </c>
      <c r="U57">
        <f t="shared" si="1"/>
        <v>310</v>
      </c>
      <c r="V57" s="1">
        <v>0.43430000000000002</v>
      </c>
      <c r="W57" s="1">
        <v>5.0000000000000001E-3</v>
      </c>
      <c r="X57" s="1">
        <v>0</v>
      </c>
      <c r="Y57" s="2">
        <v>27</v>
      </c>
      <c r="Z57" s="1">
        <f t="shared" si="2"/>
        <v>0.108</v>
      </c>
      <c r="AA57" s="3">
        <f t="shared" si="3"/>
        <v>-0.19805762505111799</v>
      </c>
      <c r="AB57" s="3">
        <f t="shared" si="4"/>
        <v>1.0725290460000002E-2</v>
      </c>
      <c r="AC57" s="3">
        <f t="shared" si="5"/>
        <v>0.1427255440346962</v>
      </c>
      <c r="AD57" s="3">
        <f t="shared" si="6"/>
        <v>-1.3125354389651371</v>
      </c>
      <c r="AE57" s="3">
        <f t="shared" si="7"/>
        <v>-1.4552609829998333</v>
      </c>
      <c r="AF57">
        <f t="shared" si="8"/>
        <v>9.4669768392607323E-2</v>
      </c>
      <c r="AG57">
        <f t="shared" si="9"/>
        <v>0.90533023160739268</v>
      </c>
      <c r="AH57">
        <f t="shared" si="10"/>
        <v>7.2798511918074071E-2</v>
      </c>
      <c r="AI57">
        <f t="shared" si="11"/>
        <v>0.92720148808192593</v>
      </c>
      <c r="AJ57">
        <f t="shared" si="12"/>
        <v>0.99946014577375952</v>
      </c>
      <c r="AK57">
        <f t="shared" si="13"/>
        <v>309.83264518986545</v>
      </c>
      <c r="AL57">
        <f t="shared" si="14"/>
        <v>1</v>
      </c>
      <c r="AM57">
        <f t="shared" si="15"/>
        <v>254.3</v>
      </c>
      <c r="AN57">
        <f t="shared" si="16"/>
        <v>1.5191665887772068</v>
      </c>
      <c r="AO57">
        <f t="shared" si="17"/>
        <v>-0.990833411222793</v>
      </c>
      <c r="AP57">
        <f t="shared" si="18"/>
        <v>9.4669768392607323E-2</v>
      </c>
      <c r="AQ57">
        <f t="shared" si="19"/>
        <v>4.6448505596746051E-3</v>
      </c>
      <c r="AR57">
        <f t="shared" si="20"/>
        <v>-0.11330940390472888</v>
      </c>
      <c r="AS57">
        <f t="shared" si="21"/>
        <v>0.14088931287460835</v>
      </c>
      <c r="AT57">
        <f t="shared" si="22"/>
        <v>2.435978395453986E-2</v>
      </c>
      <c r="AU57">
        <f t="shared" si="23"/>
        <v>57.051811778642673</v>
      </c>
      <c r="AV57">
        <f t="shared" si="24"/>
        <v>-3.4981882213573243</v>
      </c>
      <c r="AW57">
        <f t="shared" si="25"/>
        <v>-0.90533023160739268</v>
      </c>
      <c r="AX57">
        <f t="shared" si="26"/>
        <v>4.6448505596746051E-3</v>
      </c>
      <c r="AY57">
        <f t="shared" si="27"/>
        <v>-0.10713743886110606</v>
      </c>
      <c r="AZ57">
        <f t="shared" si="28"/>
        <v>0.14088931287460835</v>
      </c>
      <c r="BA57">
        <f t="shared" si="29"/>
        <v>-0.31025947285051481</v>
      </c>
    </row>
    <row r="58" spans="3:53">
      <c r="C58" t="str">
        <f>RTD("tos.rtd", , "IMPL_VOL", ".TSLA160520C315")</f>
        <v>50.63%</v>
      </c>
      <c r="D58" t="str">
        <f>RTD("tos.rtd", , "PROB_OTM", ".TSLA160520C315")</f>
        <v>91.76%</v>
      </c>
      <c r="E58">
        <f>RTD("tos.rtd", , "DELTA", ".TSLA160520C315")</f>
        <v>0.11</v>
      </c>
      <c r="F58">
        <f>RTD("tos.rtd", , "BID", ".TSLA160520C315")</f>
        <v>2.0299999999999998</v>
      </c>
      <c r="G58" t="str">
        <f>RTD("tos.rtd", , "BX", ".TSLA160520C315")</f>
        <v>Q</v>
      </c>
      <c r="H58">
        <f>RTD("tos.rtd", , "ASK", ".TSLA160520C315")</f>
        <v>2.1</v>
      </c>
      <c r="I58" t="str">
        <f>RTD("tos.rtd", , "AX", ".TSLA160520C315")</f>
        <v>Z</v>
      </c>
      <c r="J58" t="str">
        <f>RTD("tos.rtd", , "EXPIRATION_DAY", ".TSLA160520C315")</f>
        <v>2016-05-21</v>
      </c>
      <c r="K58">
        <f>RTD("tos.rtd", , "STRIKE", ".TSLA160520C315")</f>
        <v>315</v>
      </c>
      <c r="L58">
        <f>RTD("tos.rtd", , "BID", ".TSLA160520P315")</f>
        <v>64</v>
      </c>
      <c r="M58" t="str">
        <f>RTD("tos.rtd", , "BX", ".TSLA160520P315")</f>
        <v>C</v>
      </c>
      <c r="N58">
        <f>RTD("tos.rtd", , "ASK", ".TSLA160520P315")</f>
        <v>65.45</v>
      </c>
      <c r="O58" t="str">
        <f>RTD("tos.rtd", , "AX", ".TSLA160520P315")</f>
        <v>C</v>
      </c>
      <c r="P58" t="str">
        <f>RTD("tos.rtd", , "IMPL_VOL", ".TSLA160520P315")</f>
        <v>63.10%</v>
      </c>
      <c r="Q58" t="str">
        <f>RTD("tos.rtd", , "PROB_OTM", ".TSLA160520P315")</f>
        <v>12.49%</v>
      </c>
      <c r="R58">
        <f>RTD("tos.rtd", , "DELTA", ".TSLA160520P315")</f>
        <v>-0.82</v>
      </c>
      <c r="T58">
        <f t="shared" si="0"/>
        <v>254.3</v>
      </c>
      <c r="U58">
        <f t="shared" si="1"/>
        <v>315</v>
      </c>
      <c r="V58" s="1">
        <v>0.43430000000000002</v>
      </c>
      <c r="W58" s="1">
        <v>5.0000000000000001E-3</v>
      </c>
      <c r="X58" s="1">
        <v>0</v>
      </c>
      <c r="Y58" s="2">
        <v>27</v>
      </c>
      <c r="Z58" s="1">
        <f t="shared" si="2"/>
        <v>0.108</v>
      </c>
      <c r="AA58" s="3">
        <f t="shared" si="3"/>
        <v>-0.21405796639755911</v>
      </c>
      <c r="AB58" s="3">
        <f t="shared" si="4"/>
        <v>1.0725290460000002E-2</v>
      </c>
      <c r="AC58" s="3">
        <f t="shared" si="5"/>
        <v>0.1427255440346962</v>
      </c>
      <c r="AD58" s="3">
        <f t="shared" si="6"/>
        <v>-1.4246410992003609</v>
      </c>
      <c r="AE58" s="3">
        <f t="shared" si="7"/>
        <v>-1.567366643235057</v>
      </c>
      <c r="AF58">
        <f t="shared" si="8"/>
        <v>7.7130486640016538E-2</v>
      </c>
      <c r="AG58">
        <f t="shared" si="9"/>
        <v>0.92286951335998346</v>
      </c>
      <c r="AH58">
        <f t="shared" si="10"/>
        <v>5.8514508090191653E-2</v>
      </c>
      <c r="AI58">
        <f t="shared" si="11"/>
        <v>0.94148549190980835</v>
      </c>
      <c r="AJ58">
        <f t="shared" si="12"/>
        <v>0.99946014577375952</v>
      </c>
      <c r="AK58">
        <f t="shared" si="13"/>
        <v>314.82994591873427</v>
      </c>
      <c r="AL58">
        <f t="shared" si="14"/>
        <v>1</v>
      </c>
      <c r="AM58">
        <f t="shared" si="15"/>
        <v>254.3</v>
      </c>
      <c r="AN58">
        <f t="shared" si="16"/>
        <v>1.1921633350598313</v>
      </c>
      <c r="AO58">
        <f t="shared" si="17"/>
        <v>-0.90783666494016879</v>
      </c>
      <c r="AP58">
        <f t="shared" si="18"/>
        <v>7.7130486640016538E-2</v>
      </c>
      <c r="AQ58">
        <f t="shared" si="19"/>
        <v>3.984184735318988E-3</v>
      </c>
      <c r="AR58">
        <f t="shared" si="20"/>
        <v>-9.717427928949067E-2</v>
      </c>
      <c r="AS58">
        <f t="shared" si="21"/>
        <v>0.12084975447819779</v>
      </c>
      <c r="AT58">
        <f t="shared" si="22"/>
        <v>1.9895888970896086E-2</v>
      </c>
      <c r="AU58">
        <f t="shared" si="23"/>
        <v>61.722109253794059</v>
      </c>
      <c r="AV58">
        <f t="shared" si="24"/>
        <v>-3.7278907462059436</v>
      </c>
      <c r="AW58">
        <f t="shared" si="25"/>
        <v>-0.92286951335998346</v>
      </c>
      <c r="AX58">
        <f t="shared" si="26"/>
        <v>3.984184735318988E-3</v>
      </c>
      <c r="AY58">
        <f t="shared" si="27"/>
        <v>-9.0902766422583617E-2</v>
      </c>
      <c r="AZ58">
        <f t="shared" si="28"/>
        <v>0.12084975447819779</v>
      </c>
      <c r="BA58">
        <f t="shared" si="29"/>
        <v>-0.32012045262133687</v>
      </c>
    </row>
    <row r="59" spans="3:53">
      <c r="C59" t="str">
        <f>RTD("tos.rtd", , "IMPL_VOL", ".TSLA160520C320")</f>
        <v>50.89%</v>
      </c>
      <c r="D59" t="str">
        <f>RTD("tos.rtd", , "PROB_OTM", ".TSLA160520C320")</f>
        <v>93.04%</v>
      </c>
      <c r="E59">
        <f>RTD("tos.rtd", , "DELTA", ".TSLA160520C320")</f>
        <v>0.09</v>
      </c>
      <c r="F59">
        <f>RTD("tos.rtd", , "BID", ".TSLA160520C320")</f>
        <v>1.69</v>
      </c>
      <c r="G59" t="str">
        <f>RTD("tos.rtd", , "BX", ".TSLA160520C320")</f>
        <v>E</v>
      </c>
      <c r="H59">
        <f>RTD("tos.rtd", , "ASK", ".TSLA160520C320")</f>
        <v>1.76</v>
      </c>
      <c r="I59" t="str">
        <f>RTD("tos.rtd", , "AX", ".TSLA160520C320")</f>
        <v>T</v>
      </c>
      <c r="J59" t="str">
        <f>RTD("tos.rtd", , "EXPIRATION_DAY", ".TSLA160520C320")</f>
        <v>2016-05-21</v>
      </c>
      <c r="K59">
        <f>RTD("tos.rtd", , "STRIKE", ".TSLA160520C320")</f>
        <v>320</v>
      </c>
      <c r="L59">
        <f>RTD("tos.rtd", , "BID", ".TSLA160520P320")</f>
        <v>68.2</v>
      </c>
      <c r="M59" t="str">
        <f>RTD("tos.rtd", , "BX", ".TSLA160520P320")</f>
        <v>C</v>
      </c>
      <c r="N59">
        <f>RTD("tos.rtd", , "ASK", ".TSLA160520P320")</f>
        <v>70.849999999999994</v>
      </c>
      <c r="O59" t="str">
        <f>RTD("tos.rtd", , "AX", ".TSLA160520P320")</f>
        <v>C</v>
      </c>
      <c r="P59" t="str">
        <f>RTD("tos.rtd", , "IMPL_VOL", ".TSLA160520P320")</f>
        <v>65.28%</v>
      </c>
      <c r="Q59" t="str">
        <f>RTD("tos.rtd", , "PROB_OTM", ".TSLA160520P320")</f>
        <v>11.62%</v>
      </c>
      <c r="R59">
        <f>RTD("tos.rtd", , "DELTA", ".TSLA160520P320")</f>
        <v>-0.83</v>
      </c>
      <c r="T59">
        <f t="shared" si="0"/>
        <v>254.3</v>
      </c>
      <c r="U59">
        <f t="shared" si="1"/>
        <v>320</v>
      </c>
      <c r="V59" s="1">
        <v>0.43430000000000002</v>
      </c>
      <c r="W59" s="1">
        <v>5.0000000000000001E-3</v>
      </c>
      <c r="X59" s="1">
        <v>0</v>
      </c>
      <c r="Y59" s="2">
        <v>27</v>
      </c>
      <c r="Z59" s="1">
        <f t="shared" si="2"/>
        <v>0.108</v>
      </c>
      <c r="AA59" s="3">
        <f t="shared" si="3"/>
        <v>-0.22980632336569828</v>
      </c>
      <c r="AB59" s="3">
        <f t="shared" si="4"/>
        <v>1.0725290460000002E-2</v>
      </c>
      <c r="AC59" s="3">
        <f t="shared" si="5"/>
        <v>0.1427255440346962</v>
      </c>
      <c r="AD59" s="3">
        <f t="shared" si="6"/>
        <v>-1.5349812424077378</v>
      </c>
      <c r="AE59" s="3">
        <f t="shared" si="7"/>
        <v>-1.677706786442434</v>
      </c>
      <c r="AF59">
        <f t="shared" si="8"/>
        <v>6.239421782377863E-2</v>
      </c>
      <c r="AG59">
        <f t="shared" si="9"/>
        <v>0.93760578217622137</v>
      </c>
      <c r="AH59">
        <f t="shared" si="10"/>
        <v>4.6702176975204734E-2</v>
      </c>
      <c r="AI59">
        <f t="shared" si="11"/>
        <v>0.95329782302479527</v>
      </c>
      <c r="AJ59">
        <f t="shared" si="12"/>
        <v>0.99946014577375952</v>
      </c>
      <c r="AK59">
        <f t="shared" si="13"/>
        <v>319.82724664760303</v>
      </c>
      <c r="AL59">
        <f t="shared" si="14"/>
        <v>1</v>
      </c>
      <c r="AM59">
        <f t="shared" si="15"/>
        <v>254.3</v>
      </c>
      <c r="AN59">
        <f t="shared" si="16"/>
        <v>0.93022091815809382</v>
      </c>
      <c r="AO59">
        <f t="shared" si="17"/>
        <v>-0.82977908184190619</v>
      </c>
      <c r="AP59">
        <f t="shared" si="18"/>
        <v>6.239421782377863E-2</v>
      </c>
      <c r="AQ59">
        <f t="shared" si="19"/>
        <v>3.3839718780749564E-3</v>
      </c>
      <c r="AR59">
        <f t="shared" si="20"/>
        <v>-8.252093785246907E-2</v>
      </c>
      <c r="AS59">
        <f t="shared" si="21"/>
        <v>0.10264387767996962</v>
      </c>
      <c r="AT59">
        <f t="shared" si="22"/>
        <v>1.6131558968383121E-2</v>
      </c>
      <c r="AU59">
        <f t="shared" si="23"/>
        <v>66.457467565761135</v>
      </c>
      <c r="AV59">
        <f t="shared" si="24"/>
        <v>-4.3925324342388592</v>
      </c>
      <c r="AW59">
        <f t="shared" si="25"/>
        <v>-0.93760578217622137</v>
      </c>
      <c r="AX59">
        <f t="shared" si="26"/>
        <v>3.3839718780749564E-3</v>
      </c>
      <c r="AY59">
        <f t="shared" si="27"/>
        <v>-7.6149877162277765E-2</v>
      </c>
      <c r="AZ59">
        <f t="shared" si="28"/>
        <v>0.10264387767996962</v>
      </c>
      <c r="BA59">
        <f t="shared" si="29"/>
        <v>-0.32928186741102822</v>
      </c>
    </row>
    <row r="60" spans="3:53">
      <c r="C60" t="str">
        <f>RTD("tos.rtd", , "IMPL_VOL", ".TSLA160520C325")</f>
        <v>51.16%</v>
      </c>
      <c r="D60" t="str">
        <f>RTD("tos.rtd", , "PROB_OTM", ".TSLA160520C325")</f>
        <v>94.13%</v>
      </c>
      <c r="E60">
        <f>RTD("tos.rtd", , "DELTA", ".TSLA160520C325")</f>
        <v>0.08</v>
      </c>
      <c r="F60">
        <f>RTD("tos.rtd", , "BID", ".TSLA160520C325")</f>
        <v>1.41</v>
      </c>
      <c r="G60" t="str">
        <f>RTD("tos.rtd", , "BX", ".TSLA160520C325")</f>
        <v>E</v>
      </c>
      <c r="H60">
        <f>RTD("tos.rtd", , "ASK", ".TSLA160520C325")</f>
        <v>1.47</v>
      </c>
      <c r="I60" t="str">
        <f>RTD("tos.rtd", , "AX", ".TSLA160520C325")</f>
        <v>Q</v>
      </c>
      <c r="J60" t="str">
        <f>RTD("tos.rtd", , "EXPIRATION_DAY", ".TSLA160520C325")</f>
        <v>2016-05-21</v>
      </c>
      <c r="K60">
        <f>RTD("tos.rtd", , "STRIKE", ".TSLA160520C325")</f>
        <v>325</v>
      </c>
      <c r="L60">
        <f>RTD("tos.rtd", , "BID", ".TSLA160520P325")</f>
        <v>72.900000000000006</v>
      </c>
      <c r="M60" t="str">
        <f>RTD("tos.rtd", , "BX", ".TSLA160520P325")</f>
        <v>H</v>
      </c>
      <c r="N60">
        <f>RTD("tos.rtd", , "ASK", ".TSLA160520P325")</f>
        <v>75.650000000000006</v>
      </c>
      <c r="O60" t="str">
        <f>RTD("tos.rtd", , "AX", ".TSLA160520P325")</f>
        <v>H</v>
      </c>
      <c r="P60" t="str">
        <f>RTD("tos.rtd", , "IMPL_VOL", ".TSLA160520P325")</f>
        <v>67.11%</v>
      </c>
      <c r="Q60" t="str">
        <f>RTD("tos.rtd", , "PROB_OTM", ".TSLA160520P325")</f>
        <v>10.77%</v>
      </c>
      <c r="R60">
        <f>RTD("tos.rtd", , "DELTA", ".TSLA160520P325")</f>
        <v>-0.83</v>
      </c>
      <c r="T60">
        <f t="shared" si="0"/>
        <v>254.3</v>
      </c>
      <c r="U60">
        <f t="shared" si="1"/>
        <v>325</v>
      </c>
      <c r="V60" s="1">
        <v>0.43430000000000002</v>
      </c>
      <c r="W60" s="1">
        <v>5.0000000000000001E-3</v>
      </c>
      <c r="X60" s="1">
        <v>0</v>
      </c>
      <c r="Y60" s="2">
        <v>27</v>
      </c>
      <c r="Z60" s="1">
        <f t="shared" si="2"/>
        <v>0.108</v>
      </c>
      <c r="AA60" s="3">
        <f t="shared" si="3"/>
        <v>-0.24531050990166342</v>
      </c>
      <c r="AB60" s="3">
        <f t="shared" si="4"/>
        <v>1.0725290460000002E-2</v>
      </c>
      <c r="AC60" s="3">
        <f t="shared" si="5"/>
        <v>0.1427255440346962</v>
      </c>
      <c r="AD60" s="3">
        <f t="shared" si="6"/>
        <v>-1.6436106166436217</v>
      </c>
      <c r="AE60" s="3">
        <f t="shared" si="7"/>
        <v>-1.7863361606783179</v>
      </c>
      <c r="AF60">
        <f t="shared" si="8"/>
        <v>5.0128329775965375E-2</v>
      </c>
      <c r="AG60">
        <f t="shared" si="9"/>
        <v>0.94987167022403463</v>
      </c>
      <c r="AH60">
        <f t="shared" si="10"/>
        <v>3.7022422660390353E-2</v>
      </c>
      <c r="AI60">
        <f t="shared" si="11"/>
        <v>0.96297757733960965</v>
      </c>
      <c r="AJ60">
        <f t="shared" si="12"/>
        <v>0.99946014577375952</v>
      </c>
      <c r="AK60">
        <f t="shared" si="13"/>
        <v>324.82454737647186</v>
      </c>
      <c r="AL60">
        <f t="shared" si="14"/>
        <v>1</v>
      </c>
      <c r="AM60">
        <f t="shared" si="15"/>
        <v>254.3</v>
      </c>
      <c r="AN60">
        <f t="shared" si="16"/>
        <v>0.72184257858626388</v>
      </c>
      <c r="AO60">
        <f t="shared" si="17"/>
        <v>-0.74815742141373609</v>
      </c>
      <c r="AP60">
        <f t="shared" si="18"/>
        <v>5.0128329775965375E-2</v>
      </c>
      <c r="AQ60">
        <f t="shared" si="19"/>
        <v>2.8473988950677501E-3</v>
      </c>
      <c r="AR60">
        <f t="shared" si="20"/>
        <v>-6.9425358722335018E-2</v>
      </c>
      <c r="AS60">
        <f t="shared" si="21"/>
        <v>8.6368348917154003E-2</v>
      </c>
      <c r="AT60">
        <f t="shared" si="22"/>
        <v>1.2987855018117072E-2</v>
      </c>
      <c r="AU60">
        <f t="shared" si="23"/>
        <v>71.246389955058078</v>
      </c>
      <c r="AV60">
        <f t="shared" si="24"/>
        <v>-4.403610044941928</v>
      </c>
      <c r="AW60">
        <f t="shared" si="25"/>
        <v>-0.94987167022403463</v>
      </c>
      <c r="AX60">
        <f t="shared" si="26"/>
        <v>2.8473988950677501E-3</v>
      </c>
      <c r="AY60">
        <f t="shared" si="27"/>
        <v>-6.2954750208859475E-2</v>
      </c>
      <c r="AZ60">
        <f t="shared" si="28"/>
        <v>8.6368348917154003E-2</v>
      </c>
      <c r="BA60">
        <f t="shared" si="29"/>
        <v>-0.33782265614847257</v>
      </c>
    </row>
    <row r="61" spans="3:53">
      <c r="C61" t="str">
        <f>RTD("tos.rtd", , "IMPL_VOL", ".TSLA160520C330")</f>
        <v>51.51%</v>
      </c>
      <c r="D61" t="str">
        <f>RTD("tos.rtd", , "PROB_OTM", ".TSLA160520C330")</f>
        <v>95.04%</v>
      </c>
      <c r="E61">
        <f>RTD("tos.rtd", , "DELTA", ".TSLA160520C330")</f>
        <v>7.0000000000000007E-2</v>
      </c>
      <c r="F61">
        <f>RTD("tos.rtd", , "BID", ".TSLA160520C330")</f>
        <v>1.1499999999999999</v>
      </c>
      <c r="G61" t="str">
        <f>RTD("tos.rtd", , "BX", ".TSLA160520C330")</f>
        <v>C</v>
      </c>
      <c r="H61">
        <f>RTD("tos.rtd", , "ASK", ".TSLA160520C330")</f>
        <v>1.27</v>
      </c>
      <c r="I61" t="str">
        <f>RTD("tos.rtd", , "AX", ".TSLA160520C330")</f>
        <v>N</v>
      </c>
      <c r="J61" t="str">
        <f>RTD("tos.rtd", , "EXPIRATION_DAY", ".TSLA160520C330")</f>
        <v>2016-05-21</v>
      </c>
      <c r="K61">
        <f>RTD("tos.rtd", , "STRIKE", ".TSLA160520C330")</f>
        <v>330</v>
      </c>
      <c r="L61">
        <f>RTD("tos.rtd", , "BID", ".TSLA160520P330")</f>
        <v>77.3</v>
      </c>
      <c r="M61" t="str">
        <f>RTD("tos.rtd", , "BX", ".TSLA160520P330")</f>
        <v>I</v>
      </c>
      <c r="N61">
        <f>RTD("tos.rtd", , "ASK", ".TSLA160520P330")</f>
        <v>80.25</v>
      </c>
      <c r="O61" t="str">
        <f>RTD("tos.rtd", , "AX", ".TSLA160520P330")</f>
        <v>M</v>
      </c>
      <c r="P61" t="str">
        <f>RTD("tos.rtd", , "IMPL_VOL", ".TSLA160520P330")</f>
        <v>67.50%</v>
      </c>
      <c r="Q61" t="str">
        <f>RTD("tos.rtd", , "PROB_OTM", ".TSLA160520P330")</f>
        <v>9.62%</v>
      </c>
      <c r="R61">
        <f>RTD("tos.rtd", , "DELTA", ".TSLA160520P330")</f>
        <v>-0.84</v>
      </c>
      <c r="T61">
        <f t="shared" si="0"/>
        <v>254.3</v>
      </c>
      <c r="U61">
        <f t="shared" si="1"/>
        <v>330</v>
      </c>
      <c r="V61" s="1">
        <v>0.43430000000000002</v>
      </c>
      <c r="W61" s="1">
        <v>5.0000000000000001E-3</v>
      </c>
      <c r="X61" s="1">
        <v>0</v>
      </c>
      <c r="Y61" s="2">
        <v>27</v>
      </c>
      <c r="Z61" s="1">
        <f t="shared" si="2"/>
        <v>0.108</v>
      </c>
      <c r="AA61" s="3">
        <f t="shared" si="3"/>
        <v>-0.26057798203245192</v>
      </c>
      <c r="AB61" s="3">
        <f t="shared" si="4"/>
        <v>1.0725290460000002E-2</v>
      </c>
      <c r="AC61" s="3">
        <f t="shared" si="5"/>
        <v>0.1427255440346962</v>
      </c>
      <c r="AD61" s="3">
        <f t="shared" si="6"/>
        <v>-1.7505814622203393</v>
      </c>
      <c r="AE61" s="3">
        <f t="shared" si="7"/>
        <v>-1.8933070062550355</v>
      </c>
      <c r="AF61">
        <f t="shared" si="8"/>
        <v>4.0009015380555901E-2</v>
      </c>
      <c r="AG61">
        <f t="shared" si="9"/>
        <v>0.9599909846194441</v>
      </c>
      <c r="AH61">
        <f t="shared" si="10"/>
        <v>2.9158526987954403E-2</v>
      </c>
      <c r="AI61">
        <f t="shared" si="11"/>
        <v>0.9708414730120456</v>
      </c>
      <c r="AJ61">
        <f t="shared" si="12"/>
        <v>0.99946014577375952</v>
      </c>
      <c r="AK61">
        <f t="shared" si="13"/>
        <v>329.82184810534062</v>
      </c>
      <c r="AL61">
        <f t="shared" si="14"/>
        <v>1</v>
      </c>
      <c r="AM61">
        <f t="shared" si="15"/>
        <v>254.3</v>
      </c>
      <c r="AN61">
        <f t="shared" si="16"/>
        <v>0.55717335207879337</v>
      </c>
      <c r="AO61">
        <f t="shared" si="17"/>
        <v>-0.71282664792120665</v>
      </c>
      <c r="AP61">
        <f t="shared" si="18"/>
        <v>4.0009015380555901E-2</v>
      </c>
      <c r="AQ61">
        <f t="shared" si="19"/>
        <v>2.3746881195631556E-3</v>
      </c>
      <c r="AR61">
        <f t="shared" si="20"/>
        <v>-5.7891500121895666E-2</v>
      </c>
      <c r="AS61">
        <f t="shared" si="21"/>
        <v>7.2029912084014797E-2</v>
      </c>
      <c r="AT61">
        <f t="shared" si="22"/>
        <v>1.0386488799932298E-2</v>
      </c>
      <c r="AU61">
        <f t="shared" si="23"/>
        <v>76.079021457419429</v>
      </c>
      <c r="AV61">
        <f t="shared" si="24"/>
        <v>-4.1709785425805705</v>
      </c>
      <c r="AW61">
        <f t="shared" si="25"/>
        <v>-0.9599909846194441</v>
      </c>
      <c r="AX61">
        <f t="shared" si="26"/>
        <v>2.3746881195631556E-3</v>
      </c>
      <c r="AY61">
        <f t="shared" si="27"/>
        <v>-5.1321343785135892E-2</v>
      </c>
      <c r="AZ61">
        <f t="shared" si="28"/>
        <v>7.2029912084014797E-2</v>
      </c>
      <c r="BA61">
        <f t="shared" si="29"/>
        <v>-0.34582110715383557</v>
      </c>
    </row>
    <row r="62" spans="3:53">
      <c r="C62" t="str">
        <f>RTD("tos.rtd", , "IMPL_VOL", ".TSLA160520C335")</f>
        <v>50.55%</v>
      </c>
      <c r="D62" t="str">
        <f>RTD("tos.rtd", , "PROB_OTM", ".TSLA160520C335")</f>
        <v>96.15%</v>
      </c>
      <c r="E62">
        <f>RTD("tos.rtd", , "DELTA", ".TSLA160520C335")</f>
        <v>0.05</v>
      </c>
      <c r="F62">
        <f>RTD("tos.rtd", , "BID", ".TSLA160520C335")</f>
        <v>0.7</v>
      </c>
      <c r="G62" t="str">
        <f>RTD("tos.rtd", , "BX", ".TSLA160520C335")</f>
        <v>X</v>
      </c>
      <c r="H62">
        <f>RTD("tos.rtd", , "ASK", ".TSLA160520C335")</f>
        <v>1.0900000000000001</v>
      </c>
      <c r="I62" t="str">
        <f>RTD("tos.rtd", , "AX", ".TSLA160520C335")</f>
        <v>C</v>
      </c>
      <c r="J62" t="str">
        <f>RTD("tos.rtd", , "EXPIRATION_DAY", ".TSLA160520C335")</f>
        <v>2016-05-21</v>
      </c>
      <c r="K62">
        <f>RTD("tos.rtd", , "STRIKE", ".TSLA160520C335")</f>
        <v>335</v>
      </c>
      <c r="L62">
        <f>RTD("tos.rtd", , "BID", ".TSLA160520P335")</f>
        <v>82.25</v>
      </c>
      <c r="M62" t="str">
        <f>RTD("tos.rtd", , "BX", ".TSLA160520P335")</f>
        <v>M</v>
      </c>
      <c r="N62">
        <f>RTD("tos.rtd", , "ASK", ".TSLA160520P335")</f>
        <v>85.3</v>
      </c>
      <c r="O62" t="str">
        <f>RTD("tos.rtd", , "AX", ".TSLA160520P335")</f>
        <v>I</v>
      </c>
      <c r="P62" t="str">
        <f>RTD("tos.rtd", , "IMPL_VOL", ".TSLA160520P335")</f>
        <v>70.47%</v>
      </c>
      <c r="Q62" t="str">
        <f>RTD("tos.rtd", , "PROB_OTM", ".TSLA160520P335")</f>
        <v>9.28%</v>
      </c>
      <c r="R62">
        <f>RTD("tos.rtd", , "DELTA", ".TSLA160520P335")</f>
        <v>-0.84</v>
      </c>
      <c r="T62">
        <f t="shared" si="0"/>
        <v>254.3</v>
      </c>
      <c r="U62">
        <f t="shared" si="1"/>
        <v>335</v>
      </c>
      <c r="V62" s="1">
        <v>0.43430000000000002</v>
      </c>
      <c r="W62" s="1">
        <v>5.0000000000000001E-3</v>
      </c>
      <c r="X62" s="1">
        <v>0</v>
      </c>
      <c r="Y62" s="2">
        <v>27</v>
      </c>
      <c r="Z62" s="1">
        <f t="shared" si="2"/>
        <v>0.108</v>
      </c>
      <c r="AA62" s="3">
        <f t="shared" si="3"/>
        <v>-0.27561585939699246</v>
      </c>
      <c r="AB62" s="3">
        <f t="shared" si="4"/>
        <v>1.0725290460000002E-2</v>
      </c>
      <c r="AC62" s="3">
        <f t="shared" si="5"/>
        <v>0.1427255440346962</v>
      </c>
      <c r="AD62" s="3">
        <f t="shared" si="6"/>
        <v>-1.8559436625625914</v>
      </c>
      <c r="AE62" s="3">
        <f t="shared" si="7"/>
        <v>-1.9986692065972875</v>
      </c>
      <c r="AF62">
        <f t="shared" si="8"/>
        <v>3.1730794299936971E-2</v>
      </c>
      <c r="AG62">
        <f t="shared" si="9"/>
        <v>0.96826920570006303</v>
      </c>
      <c r="AH62">
        <f t="shared" si="10"/>
        <v>2.2822078452459316E-2</v>
      </c>
      <c r="AI62">
        <f t="shared" si="11"/>
        <v>0.97717792154754068</v>
      </c>
      <c r="AJ62">
        <f t="shared" si="12"/>
        <v>0.99946014577375952</v>
      </c>
      <c r="AK62">
        <f t="shared" si="13"/>
        <v>334.81914883420944</v>
      </c>
      <c r="AL62">
        <f t="shared" si="14"/>
        <v>1</v>
      </c>
      <c r="AM62">
        <f t="shared" si="15"/>
        <v>254.3</v>
      </c>
      <c r="AN62">
        <f t="shared" si="16"/>
        <v>0.42787210839399226</v>
      </c>
      <c r="AO62">
        <f t="shared" si="17"/>
        <v>-0.66212789160600782</v>
      </c>
      <c r="AP62">
        <f t="shared" si="18"/>
        <v>3.1730794299936971E-2</v>
      </c>
      <c r="AQ62">
        <f t="shared" si="19"/>
        <v>1.9637784526438606E-3</v>
      </c>
      <c r="AR62">
        <f t="shared" si="20"/>
        <v>-4.786790035971953E-2</v>
      </c>
      <c r="AS62">
        <f t="shared" si="21"/>
        <v>5.9566049171308026E-2</v>
      </c>
      <c r="AT62">
        <f t="shared" si="22"/>
        <v>8.252570392646378E-3</v>
      </c>
      <c r="AU62">
        <f t="shared" si="23"/>
        <v>80.947020942603416</v>
      </c>
      <c r="AV62">
        <f t="shared" si="24"/>
        <v>-4.3529790573965812</v>
      </c>
      <c r="AW62">
        <f t="shared" si="25"/>
        <v>-0.96826920570006303</v>
      </c>
      <c r="AX62">
        <f t="shared" si="26"/>
        <v>1.9637784526438606E-3</v>
      </c>
      <c r="AY62">
        <f t="shared" si="27"/>
        <v>-4.1198196199675512E-2</v>
      </c>
      <c r="AZ62">
        <f t="shared" si="28"/>
        <v>5.9566049171308026E-2</v>
      </c>
      <c r="BA62">
        <f t="shared" si="29"/>
        <v>-0.35335211034829983</v>
      </c>
    </row>
    <row r="63" spans="3:53">
      <c r="C63" t="str">
        <f>RTD("tos.rtd", , "IMPL_VOL", ".TSLA160520C340")</f>
        <v>49.19%</v>
      </c>
      <c r="D63" t="str">
        <f>RTD("tos.rtd", , "PROB_OTM", ".TSLA160520C340")</f>
        <v>97.17%</v>
      </c>
      <c r="E63">
        <f>RTD("tos.rtd", , "DELTA", ".TSLA160520C340")</f>
        <v>0.04</v>
      </c>
      <c r="F63">
        <f>RTD("tos.rtd", , "BID", ".TSLA160520C340")</f>
        <v>0.3</v>
      </c>
      <c r="G63" t="str">
        <f>RTD("tos.rtd", , "BX", ".TSLA160520C340")</f>
        <v>A</v>
      </c>
      <c r="H63">
        <f>RTD("tos.rtd", , "ASK", ".TSLA160520C340")</f>
        <v>0.94</v>
      </c>
      <c r="I63" t="str">
        <f>RTD("tos.rtd", , "AX", ".TSLA160520C340")</f>
        <v>C</v>
      </c>
      <c r="J63" t="str">
        <f>RTD("tos.rtd", , "EXPIRATION_DAY", ".TSLA160520C340")</f>
        <v>2016-05-21</v>
      </c>
      <c r="K63">
        <f>RTD("tos.rtd", , "STRIKE", ".TSLA160520C340")</f>
        <v>340</v>
      </c>
      <c r="L63">
        <f>RTD("tos.rtd", , "BID", ".TSLA160520P340")</f>
        <v>87.25</v>
      </c>
      <c r="M63" t="str">
        <f>RTD("tos.rtd", , "BX", ".TSLA160520P340")</f>
        <v>M</v>
      </c>
      <c r="N63">
        <f>RTD("tos.rtd", , "ASK", ".TSLA160520P340")</f>
        <v>90.15</v>
      </c>
      <c r="O63" t="str">
        <f>RTD("tos.rtd", , "AX", ".TSLA160520P340")</f>
        <v>H</v>
      </c>
      <c r="P63" t="str">
        <f>RTD("tos.rtd", , "IMPL_VOL", ".TSLA160520P340")</f>
        <v>73.01%</v>
      </c>
      <c r="Q63" t="str">
        <f>RTD("tos.rtd", , "PROB_OTM", ".TSLA160520P340")</f>
        <v>8.87%</v>
      </c>
      <c r="R63">
        <f>RTD("tos.rtd", , "DELTA", ".TSLA160520P340")</f>
        <v>-0.85</v>
      </c>
      <c r="T63">
        <f t="shared" si="0"/>
        <v>254.3</v>
      </c>
      <c r="U63">
        <f t="shared" si="1"/>
        <v>340</v>
      </c>
      <c r="V63" s="1">
        <v>0.43430000000000002</v>
      </c>
      <c r="W63" s="1">
        <v>5.0000000000000001E-3</v>
      </c>
      <c r="X63" s="1">
        <v>0</v>
      </c>
      <c r="Y63" s="2">
        <v>27</v>
      </c>
      <c r="Z63" s="1">
        <f t="shared" si="2"/>
        <v>0.108</v>
      </c>
      <c r="AA63" s="3">
        <f t="shared" si="3"/>
        <v>-0.29043094518213314</v>
      </c>
      <c r="AB63" s="3">
        <f t="shared" si="4"/>
        <v>1.0725290460000002E-2</v>
      </c>
      <c r="AC63" s="3">
        <f t="shared" si="5"/>
        <v>0.1427255440346962</v>
      </c>
      <c r="AD63" s="3">
        <f t="shared" si="6"/>
        <v>-1.9597448838880407</v>
      </c>
      <c r="AE63" s="3">
        <f t="shared" si="7"/>
        <v>-2.1024704279227371</v>
      </c>
      <c r="AF63">
        <f t="shared" si="8"/>
        <v>2.5012808102689688E-2</v>
      </c>
      <c r="AG63">
        <f t="shared" si="9"/>
        <v>0.97498719189731031</v>
      </c>
      <c r="AH63">
        <f t="shared" si="10"/>
        <v>1.7756043736612881E-2</v>
      </c>
      <c r="AI63">
        <f t="shared" si="11"/>
        <v>0.98224395626338712</v>
      </c>
      <c r="AJ63">
        <f t="shared" si="12"/>
        <v>0.99946014577375952</v>
      </c>
      <c r="AK63">
        <f t="shared" si="13"/>
        <v>339.81644956307827</v>
      </c>
      <c r="AL63">
        <f t="shared" si="14"/>
        <v>1</v>
      </c>
      <c r="AM63">
        <f t="shared" si="15"/>
        <v>254.3</v>
      </c>
      <c r="AN63">
        <f t="shared" si="16"/>
        <v>0.32696135965146489</v>
      </c>
      <c r="AO63">
        <f t="shared" si="17"/>
        <v>-0.61303864034853506</v>
      </c>
      <c r="AP63">
        <f t="shared" si="18"/>
        <v>2.5012808102689688E-2</v>
      </c>
      <c r="AQ63">
        <f t="shared" si="19"/>
        <v>1.6109657336891312E-3</v>
      </c>
      <c r="AR63">
        <f t="shared" si="20"/>
        <v>-3.9263272366532764E-2</v>
      </c>
      <c r="AS63">
        <f t="shared" si="21"/>
        <v>4.8864404218830509E-2</v>
      </c>
      <c r="AT63">
        <f t="shared" si="22"/>
        <v>6.5164994001315245E-3</v>
      </c>
      <c r="AU63">
        <f t="shared" si="23"/>
        <v>85.843410922729731</v>
      </c>
      <c r="AV63">
        <f t="shared" si="24"/>
        <v>-4.3065890772702744</v>
      </c>
      <c r="AW63">
        <f t="shared" si="25"/>
        <v>-0.97498719189731031</v>
      </c>
      <c r="AX63">
        <f t="shared" si="26"/>
        <v>1.6109657336891312E-3</v>
      </c>
      <c r="AY63">
        <f t="shared" si="27"/>
        <v>-3.2494020383204515E-2</v>
      </c>
      <c r="AZ63">
        <f t="shared" si="28"/>
        <v>4.8864404218830509E-2</v>
      </c>
      <c r="BA63">
        <f t="shared" si="29"/>
        <v>-0.36048526612799298</v>
      </c>
    </row>
    <row r="64" spans="3:53">
      <c r="C64" t="str">
        <f>RTD("tos.rtd", , "IMPL_VOL", ".TSLA160520C345")</f>
        <v>51.59%</v>
      </c>
      <c r="D64" t="str">
        <f>RTD("tos.rtd", , "PROB_OTM", ".TSLA160520C345")</f>
        <v>97.21%</v>
      </c>
      <c r="E64">
        <f>RTD("tos.rtd", , "DELTA", ".TSLA160520C345")</f>
        <v>0.04</v>
      </c>
      <c r="F64">
        <f>RTD("tos.rtd", , "BID", ".TSLA160520C345")</f>
        <v>0.47</v>
      </c>
      <c r="G64" t="str">
        <f>RTD("tos.rtd", , "BX", ".TSLA160520C345")</f>
        <v>X</v>
      </c>
      <c r="H64">
        <f>RTD("tos.rtd", , "ASK", ".TSLA160520C345")</f>
        <v>0.83</v>
      </c>
      <c r="I64" t="str">
        <f>RTD("tos.rtd", , "AX", ".TSLA160520C345")</f>
        <v>C</v>
      </c>
      <c r="J64" t="str">
        <f>RTD("tos.rtd", , "EXPIRATION_DAY", ".TSLA160520C345")</f>
        <v>2016-05-21</v>
      </c>
      <c r="K64">
        <f>RTD("tos.rtd", , "STRIKE", ".TSLA160520C345")</f>
        <v>345</v>
      </c>
      <c r="L64">
        <f>RTD("tos.rtd", , "BID", ".TSLA160520P345")</f>
        <v>91.8</v>
      </c>
      <c r="M64" t="str">
        <f>RTD("tos.rtd", , "BX", ".TSLA160520P345")</f>
        <v>E</v>
      </c>
      <c r="N64">
        <f>RTD("tos.rtd", , "ASK", ".TSLA160520P345")</f>
        <v>95.05</v>
      </c>
      <c r="O64" t="str">
        <f>RTD("tos.rtd", , "AX", ".TSLA160520P345")</f>
        <v>M</v>
      </c>
      <c r="P64" t="str">
        <f>RTD("tos.rtd", , "IMPL_VOL", ".TSLA160520P345")</f>
        <v>74.38%</v>
      </c>
      <c r="Q64" t="str">
        <f>RTD("tos.rtd", , "PROB_OTM", ".TSLA160520P345")</f>
        <v>8.24%</v>
      </c>
      <c r="R64">
        <f>RTD("tos.rtd", , "DELTA", ".TSLA160520P345")</f>
        <v>-0.85</v>
      </c>
      <c r="T64">
        <f t="shared" si="0"/>
        <v>254.3</v>
      </c>
      <c r="U64">
        <f t="shared" si="1"/>
        <v>345</v>
      </c>
      <c r="V64" s="1">
        <v>0.43430000000000002</v>
      </c>
      <c r="W64" s="1">
        <v>5.0000000000000001E-3</v>
      </c>
      <c r="X64" s="1">
        <v>0</v>
      </c>
      <c r="Y64" s="2">
        <v>27</v>
      </c>
      <c r="Z64" s="1">
        <f t="shared" si="2"/>
        <v>0.108</v>
      </c>
      <c r="AA64" s="3">
        <f t="shared" si="3"/>
        <v>-0.30502974460328575</v>
      </c>
      <c r="AB64" s="3">
        <f t="shared" si="4"/>
        <v>1.0725290460000002E-2</v>
      </c>
      <c r="AC64" s="3">
        <f t="shared" si="5"/>
        <v>0.1427255440346962</v>
      </c>
      <c r="AD64" s="3">
        <f t="shared" si="6"/>
        <v>-2.0620307046911037</v>
      </c>
      <c r="AE64" s="3">
        <f t="shared" si="7"/>
        <v>-2.2047562487258001</v>
      </c>
      <c r="AF64">
        <f t="shared" si="8"/>
        <v>1.9602406399596317E-2</v>
      </c>
      <c r="AG64">
        <f t="shared" si="9"/>
        <v>0.98039759360040368</v>
      </c>
      <c r="AH64">
        <f t="shared" si="10"/>
        <v>1.3735601839758527E-2</v>
      </c>
      <c r="AI64">
        <f t="shared" si="11"/>
        <v>0.98626439816024147</v>
      </c>
      <c r="AJ64">
        <f t="shared" si="12"/>
        <v>0.99946014577375952</v>
      </c>
      <c r="AK64">
        <f t="shared" si="13"/>
        <v>344.81375029194703</v>
      </c>
      <c r="AL64">
        <f t="shared" si="14"/>
        <v>1</v>
      </c>
      <c r="AM64">
        <f t="shared" si="15"/>
        <v>254.3</v>
      </c>
      <c r="AN64">
        <f t="shared" si="16"/>
        <v>0.24866756453323902</v>
      </c>
      <c r="AO64">
        <f t="shared" si="17"/>
        <v>-0.58133243546676094</v>
      </c>
      <c r="AP64">
        <f t="shared" si="18"/>
        <v>1.9602406399596317E-2</v>
      </c>
      <c r="AQ64">
        <f t="shared" si="19"/>
        <v>1.3114698422081387E-3</v>
      </c>
      <c r="AR64">
        <f t="shared" si="20"/>
        <v>-3.1960304423980172E-2</v>
      </c>
      <c r="AS64">
        <f t="shared" si="21"/>
        <v>3.9779984856481564E-2</v>
      </c>
      <c r="AT64">
        <f t="shared" si="22"/>
        <v>5.1151223335148335E-3</v>
      </c>
      <c r="AU64">
        <f t="shared" si="23"/>
        <v>90.762417856480226</v>
      </c>
      <c r="AV64">
        <f t="shared" si="24"/>
        <v>-4.2875821435197707</v>
      </c>
      <c r="AW64">
        <f t="shared" si="25"/>
        <v>-0.98039759360040368</v>
      </c>
      <c r="AX64">
        <f t="shared" si="26"/>
        <v>1.3114698422081387E-3</v>
      </c>
      <c r="AY64">
        <f t="shared" si="27"/>
        <v>-2.5091504617367685E-2</v>
      </c>
      <c r="AZ64">
        <f t="shared" si="28"/>
        <v>3.9779984856481564E-2</v>
      </c>
      <c r="BA64">
        <f t="shared" si="29"/>
        <v>-0.36728372798178799</v>
      </c>
    </row>
    <row r="65" spans="3:53">
      <c r="C65" t="str">
        <f>RTD("tos.rtd", , "IMPL_VOL", ".TSLA160520C350")</f>
        <v>52.63%</v>
      </c>
      <c r="D65" t="str">
        <f>RTD("tos.rtd", , "PROB_OTM", ".TSLA160520C350")</f>
        <v>97.52%</v>
      </c>
      <c r="E65">
        <f>RTD("tos.rtd", , "DELTA", ".TSLA160520C350")</f>
        <v>0.04</v>
      </c>
      <c r="F65">
        <f>RTD("tos.rtd", , "BID", ".TSLA160520C350")</f>
        <v>0.47</v>
      </c>
      <c r="G65" t="str">
        <f>RTD("tos.rtd", , "BX", ".TSLA160520C350")</f>
        <v>X</v>
      </c>
      <c r="H65">
        <f>RTD("tos.rtd", , "ASK", ".TSLA160520C350")</f>
        <v>0.71</v>
      </c>
      <c r="I65" t="str">
        <f>RTD("tos.rtd", , "AX", ".TSLA160520C350")</f>
        <v>C</v>
      </c>
      <c r="J65" t="str">
        <f>RTD("tos.rtd", , "EXPIRATION_DAY", ".TSLA160520C350")</f>
        <v>2016-05-21</v>
      </c>
      <c r="K65">
        <f>RTD("tos.rtd", , "STRIKE", ".TSLA160520C350")</f>
        <v>350</v>
      </c>
      <c r="L65">
        <f>RTD("tos.rtd", , "BID", ".TSLA160520P350")</f>
        <v>96.75</v>
      </c>
      <c r="M65" t="str">
        <f>RTD("tos.rtd", , "BX", ".TSLA160520P350")</f>
        <v>I</v>
      </c>
      <c r="N65">
        <f>RTD("tos.rtd", , "ASK", ".TSLA160520P350")</f>
        <v>99.75</v>
      </c>
      <c r="O65" t="str">
        <f>RTD("tos.rtd", , "AX", ".TSLA160520P350")</f>
        <v>I</v>
      </c>
      <c r="P65" t="str">
        <f>RTD("tos.rtd", , "IMPL_VOL", ".TSLA160520P350")</f>
        <v>76.27%</v>
      </c>
      <c r="Q65" t="str">
        <f>RTD("tos.rtd", , "PROB_OTM", ".TSLA160520P350")</f>
        <v>7.79%</v>
      </c>
      <c r="R65">
        <f>RTD("tos.rtd", , "DELTA", ".TSLA160520P350")</f>
        <v>-0.85</v>
      </c>
      <c r="T65">
        <f t="shared" si="0"/>
        <v>254.3</v>
      </c>
      <c r="U65">
        <f t="shared" si="1"/>
        <v>350</v>
      </c>
      <c r="V65" s="1">
        <v>0.43430000000000002</v>
      </c>
      <c r="W65" s="1">
        <v>5.0000000000000001E-3</v>
      </c>
      <c r="X65" s="1">
        <v>0</v>
      </c>
      <c r="Y65" s="2">
        <v>27</v>
      </c>
      <c r="Z65" s="1">
        <f t="shared" si="2"/>
        <v>0.108</v>
      </c>
      <c r="AA65" s="3">
        <f t="shared" si="3"/>
        <v>-0.31941848205538531</v>
      </c>
      <c r="AB65" s="3">
        <f t="shared" si="4"/>
        <v>1.0725290460000002E-2</v>
      </c>
      <c r="AC65" s="3">
        <f t="shared" si="5"/>
        <v>0.1427255440346962</v>
      </c>
      <c r="AD65" s="3">
        <f t="shared" si="6"/>
        <v>-2.1628447359103626</v>
      </c>
      <c r="AE65" s="3">
        <f t="shared" si="7"/>
        <v>-2.305570279945059</v>
      </c>
      <c r="AF65">
        <f t="shared" si="8"/>
        <v>1.5276561751247364E-2</v>
      </c>
      <c r="AG65">
        <f t="shared" si="9"/>
        <v>0.98472343824875264</v>
      </c>
      <c r="AH65">
        <f t="shared" si="10"/>
        <v>1.0567327768495005E-2</v>
      </c>
      <c r="AI65">
        <f t="shared" si="11"/>
        <v>0.98943267223150499</v>
      </c>
      <c r="AJ65">
        <f t="shared" si="12"/>
        <v>0.99946014577375952</v>
      </c>
      <c r="AK65">
        <f t="shared" si="13"/>
        <v>349.81105102081585</v>
      </c>
      <c r="AL65">
        <f t="shared" si="14"/>
        <v>1</v>
      </c>
      <c r="AM65">
        <f t="shared" si="15"/>
        <v>254.3</v>
      </c>
      <c r="AN65">
        <f t="shared" si="16"/>
        <v>0.18826162016351411</v>
      </c>
      <c r="AO65">
        <f t="shared" si="17"/>
        <v>-0.52173837983648585</v>
      </c>
      <c r="AP65">
        <f t="shared" si="18"/>
        <v>1.5276561751247364E-2</v>
      </c>
      <c r="AQ65">
        <f t="shared" si="19"/>
        <v>1.0599112337711662E-3</v>
      </c>
      <c r="AR65">
        <f t="shared" si="20"/>
        <v>-2.5827249329939683E-2</v>
      </c>
      <c r="AS65">
        <f t="shared" si="21"/>
        <v>3.2149616767123572E-2</v>
      </c>
      <c r="AT65">
        <f t="shared" si="22"/>
        <v>3.9922934758329851E-3</v>
      </c>
      <c r="AU65">
        <f t="shared" si="23"/>
        <v>95.699312640979372</v>
      </c>
      <c r="AV65">
        <f t="shared" si="24"/>
        <v>-4.0506873590206283</v>
      </c>
      <c r="AW65">
        <f t="shared" si="25"/>
        <v>-0.98472343824875264</v>
      </c>
      <c r="AX65">
        <f t="shared" si="26"/>
        <v>1.0599112337711662E-3</v>
      </c>
      <c r="AY65">
        <f t="shared" si="27"/>
        <v>-1.8858901700042952E-2</v>
      </c>
      <c r="AZ65">
        <f t="shared" si="28"/>
        <v>3.2149616767123572E-2</v>
      </c>
      <c r="BA65">
        <f t="shared" si="29"/>
        <v>-0.37380364162664803</v>
      </c>
    </row>
    <row r="66" spans="3:53">
      <c r="C66" t="str">
        <f>RTD("tos.rtd", , "IMPL_VOL", ".TSLA160520C355")</f>
        <v>52.04%</v>
      </c>
      <c r="D66" t="str">
        <f>RTD("tos.rtd", , "PROB_OTM", ".TSLA160520C355")</f>
        <v>98.07%</v>
      </c>
      <c r="E66">
        <f>RTD("tos.rtd", , "DELTA", ".TSLA160520C355")</f>
        <v>0.03</v>
      </c>
      <c r="F66">
        <f>RTD("tos.rtd", , "BID", ".TSLA160520C355")</f>
        <v>0.24</v>
      </c>
      <c r="G66" t="str">
        <f>RTD("tos.rtd", , "BX", ".TSLA160520C355")</f>
        <v>A</v>
      </c>
      <c r="H66">
        <f>RTD("tos.rtd", , "ASK", ".TSLA160520C355")</f>
        <v>0.65</v>
      </c>
      <c r="I66" t="str">
        <f>RTD("tos.rtd", , "AX", ".TSLA160520C355")</f>
        <v>C</v>
      </c>
      <c r="J66" t="str">
        <f>RTD("tos.rtd", , "EXPIRATION_DAY", ".TSLA160520C355")</f>
        <v>2016-05-21</v>
      </c>
      <c r="K66">
        <f>RTD("tos.rtd", , "STRIKE", ".TSLA160520C355")</f>
        <v>355</v>
      </c>
      <c r="L66">
        <f>RTD("tos.rtd", , "BID", ".TSLA160520P355")</f>
        <v>101.65</v>
      </c>
      <c r="M66" t="str">
        <f>RTD("tos.rtd", , "BX", ".TSLA160520P355")</f>
        <v>H</v>
      </c>
      <c r="N66">
        <f>RTD("tos.rtd", , "ASK", ".TSLA160520P355")</f>
        <v>104.7</v>
      </c>
      <c r="O66" t="str">
        <f>RTD("tos.rtd", , "AX", ".TSLA160520P355")</f>
        <v>H</v>
      </c>
      <c r="P66" t="str">
        <f>RTD("tos.rtd", , "IMPL_VOL", ".TSLA160520P355")</f>
        <v>78.73%</v>
      </c>
      <c r="Q66" t="str">
        <f>RTD("tos.rtd", , "PROB_OTM", ".TSLA160520P355")</f>
        <v>7.51%</v>
      </c>
      <c r="R66">
        <f>RTD("tos.rtd", , "DELTA", ".TSLA160520P355")</f>
        <v>-0.85</v>
      </c>
      <c r="T66">
        <f t="shared" si="0"/>
        <v>254.3</v>
      </c>
      <c r="U66">
        <f t="shared" si="1"/>
        <v>355</v>
      </c>
      <c r="V66" s="1">
        <v>0.43430000000000002</v>
      </c>
      <c r="W66" s="1">
        <v>5.0000000000000001E-3</v>
      </c>
      <c r="X66" s="1">
        <v>0</v>
      </c>
      <c r="Y66" s="2">
        <v>27</v>
      </c>
      <c r="Z66" s="1">
        <f t="shared" si="2"/>
        <v>0.108</v>
      </c>
      <c r="AA66" s="3">
        <f t="shared" si="3"/>
        <v>-0.33360311704734175</v>
      </c>
      <c r="AB66" s="3">
        <f t="shared" si="4"/>
        <v>1.0725290460000002E-2</v>
      </c>
      <c r="AC66" s="3">
        <f t="shared" si="5"/>
        <v>0.1427255440346962</v>
      </c>
      <c r="AD66" s="3">
        <f t="shared" si="6"/>
        <v>-2.2622287325725732</v>
      </c>
      <c r="AE66" s="3">
        <f t="shared" si="7"/>
        <v>-2.4049542766072696</v>
      </c>
      <c r="AF66">
        <f t="shared" si="8"/>
        <v>1.1841637487354673E-2</v>
      </c>
      <c r="AG66">
        <f t="shared" si="9"/>
        <v>0.98815836251264533</v>
      </c>
      <c r="AH66">
        <f t="shared" si="10"/>
        <v>8.0872446749715721E-3</v>
      </c>
      <c r="AI66">
        <f t="shared" si="11"/>
        <v>0.99191275532502843</v>
      </c>
      <c r="AJ66">
        <f t="shared" si="12"/>
        <v>0.99946014577375952</v>
      </c>
      <c r="AK66">
        <f t="shared" si="13"/>
        <v>354.80835174968462</v>
      </c>
      <c r="AL66">
        <f t="shared" si="14"/>
        <v>1</v>
      </c>
      <c r="AM66">
        <f t="shared" si="15"/>
        <v>254.3</v>
      </c>
      <c r="AN66">
        <f t="shared" si="16"/>
        <v>0.14190645971121585</v>
      </c>
      <c r="AO66">
        <f t="shared" si="17"/>
        <v>-0.50809354028878417</v>
      </c>
      <c r="AP66">
        <f t="shared" si="18"/>
        <v>1.1841637487354673E-2</v>
      </c>
      <c r="AQ66">
        <f t="shared" si="19"/>
        <v>8.5069162786145433E-4</v>
      </c>
      <c r="AR66">
        <f t="shared" si="20"/>
        <v>-2.0727176171945388E-2</v>
      </c>
      <c r="AS66">
        <f t="shared" si="21"/>
        <v>2.5803490850301689E-2</v>
      </c>
      <c r="AT66">
        <f t="shared" si="22"/>
        <v>3.0989757095889236E-3</v>
      </c>
      <c r="AU66">
        <f t="shared" si="23"/>
        <v>100.65025820939584</v>
      </c>
      <c r="AV66">
        <f t="shared" si="24"/>
        <v>-4.0497417906041591</v>
      </c>
      <c r="AW66">
        <f t="shared" si="25"/>
        <v>-0.98815836251264533</v>
      </c>
      <c r="AX66">
        <f t="shared" si="26"/>
        <v>8.5069162786145433E-4</v>
      </c>
      <c r="AY66">
        <f t="shared" si="27"/>
        <v>-1.3659280718764421E-2</v>
      </c>
      <c r="AZ66">
        <f t="shared" si="28"/>
        <v>2.5803490850301689E-2</v>
      </c>
      <c r="BA66">
        <f t="shared" si="29"/>
        <v>-0.38009404418007042</v>
      </c>
    </row>
    <row r="67" spans="3:53">
      <c r="C67" t="str">
        <f>RTD("tos.rtd", , "IMPL_VOL", ".TSLA160520C360")</f>
        <v>52.41%</v>
      </c>
      <c r="D67" t="str">
        <f>RTD("tos.rtd", , "PROB_OTM", ".TSLA160520C360")</f>
        <v>98.37%</v>
      </c>
      <c r="E67">
        <f>RTD("tos.rtd", , "DELTA", ".TSLA160520C360")</f>
        <v>0.02</v>
      </c>
      <c r="F67">
        <f>RTD("tos.rtd", , "BID", ".TSLA160520C360")</f>
        <v>0.18</v>
      </c>
      <c r="G67" t="str">
        <f>RTD("tos.rtd", , "BX", ".TSLA160520C360")</f>
        <v>A</v>
      </c>
      <c r="H67">
        <f>RTD("tos.rtd", , "ASK", ".TSLA160520C360")</f>
        <v>0.56999999999999995</v>
      </c>
      <c r="I67" t="str">
        <f>RTD("tos.rtd", , "AX", ".TSLA160520C360")</f>
        <v>C</v>
      </c>
      <c r="J67" t="str">
        <f>RTD("tos.rtd", , "EXPIRATION_DAY", ".TSLA160520C360")</f>
        <v>2016-05-21</v>
      </c>
      <c r="K67">
        <f>RTD("tos.rtd", , "STRIKE", ".TSLA160520C360")</f>
        <v>360</v>
      </c>
      <c r="L67">
        <f>RTD("tos.rtd", , "BID", ".TSLA160520P360")</f>
        <v>106.45</v>
      </c>
      <c r="M67" t="str">
        <f>RTD("tos.rtd", , "BX", ".TSLA160520P360")</f>
        <v>X</v>
      </c>
      <c r="N67">
        <f>RTD("tos.rtd", , "ASK", ".TSLA160520P360")</f>
        <v>109.7</v>
      </c>
      <c r="O67" t="str">
        <f>RTD("tos.rtd", , "AX", ".TSLA160520P360")</f>
        <v>H</v>
      </c>
      <c r="P67" t="str">
        <f>RTD("tos.rtd", , "IMPL_VOL", ".TSLA160520P360")</f>
        <v>81.02%</v>
      </c>
      <c r="Q67" t="str">
        <f>RTD("tos.rtd", , "PROB_OTM", ".TSLA160520P360")</f>
        <v>7.23%</v>
      </c>
      <c r="R67">
        <f>RTD("tos.rtd", , "DELTA", ".TSLA160520P360")</f>
        <v>-0.85</v>
      </c>
      <c r="T67">
        <f t="shared" si="0"/>
        <v>254.3</v>
      </c>
      <c r="U67">
        <f t="shared" si="1"/>
        <v>360</v>
      </c>
      <c r="V67" s="1">
        <v>0.43430000000000002</v>
      </c>
      <c r="W67" s="1">
        <v>5.0000000000000001E-3</v>
      </c>
      <c r="X67" s="1">
        <v>0</v>
      </c>
      <c r="Y67" s="2">
        <v>27</v>
      </c>
      <c r="Z67" s="1">
        <f t="shared" si="2"/>
        <v>0.108</v>
      </c>
      <c r="AA67" s="3">
        <f t="shared" si="3"/>
        <v>-0.34758935902208166</v>
      </c>
      <c r="AB67" s="3">
        <f t="shared" si="4"/>
        <v>1.0725290460000002E-2</v>
      </c>
      <c r="AC67" s="3">
        <f t="shared" si="5"/>
        <v>0.1427255440346962</v>
      </c>
      <c r="AD67" s="3">
        <f t="shared" si="6"/>
        <v>-2.3602226976286103</v>
      </c>
      <c r="AE67" s="3">
        <f t="shared" si="7"/>
        <v>-2.5029482416633066</v>
      </c>
      <c r="AF67">
        <f t="shared" si="8"/>
        <v>9.1319836465525439E-3</v>
      </c>
      <c r="AG67">
        <f t="shared" si="9"/>
        <v>0.99086801635344746</v>
      </c>
      <c r="AH67">
        <f t="shared" si="10"/>
        <v>6.1581777151912265E-3</v>
      </c>
      <c r="AI67">
        <f t="shared" si="11"/>
        <v>0.99384182228480877</v>
      </c>
      <c r="AJ67">
        <f t="shared" si="12"/>
        <v>0.99946014577375952</v>
      </c>
      <c r="AK67">
        <f t="shared" si="13"/>
        <v>359.80565247855344</v>
      </c>
      <c r="AL67">
        <f t="shared" si="14"/>
        <v>1</v>
      </c>
      <c r="AM67">
        <f t="shared" si="15"/>
        <v>254.3</v>
      </c>
      <c r="AN67">
        <f t="shared" si="16"/>
        <v>0.1065162904250454</v>
      </c>
      <c r="AO67">
        <f t="shared" si="17"/>
        <v>-0.46348370957495455</v>
      </c>
      <c r="AP67">
        <f t="shared" si="18"/>
        <v>9.1319836465525439E-3</v>
      </c>
      <c r="AQ67">
        <f t="shared" si="19"/>
        <v>6.7828226848567076E-4</v>
      </c>
      <c r="AR67">
        <f t="shared" si="20"/>
        <v>-1.6524970144833354E-2</v>
      </c>
      <c r="AS67">
        <f t="shared" si="21"/>
        <v>2.0573906848936688E-2</v>
      </c>
      <c r="AT67">
        <f t="shared" si="22"/>
        <v>2.3930069229647281E-3</v>
      </c>
      <c r="AU67">
        <f t="shared" si="23"/>
        <v>105.61216876897848</v>
      </c>
      <c r="AV67">
        <f t="shared" si="24"/>
        <v>-4.087831231021525</v>
      </c>
      <c r="AW67">
        <f t="shared" si="25"/>
        <v>-0.99086801635344746</v>
      </c>
      <c r="AX67">
        <f t="shared" si="26"/>
        <v>6.7828226848567076E-4</v>
      </c>
      <c r="AY67">
        <f t="shared" si="27"/>
        <v>-9.3575268683681444E-3</v>
      </c>
      <c r="AZ67">
        <f t="shared" si="28"/>
        <v>2.0573906848936688E-2</v>
      </c>
      <c r="BA67">
        <f t="shared" si="29"/>
        <v>-0.38619709775387301</v>
      </c>
    </row>
    <row r="68" spans="3:53">
      <c r="C68" t="str">
        <f>RTD("tos.rtd", , "IMPL_VOL", ".TSLA160520C365")</f>
        <v>52.74%</v>
      </c>
      <c r="D68" t="str">
        <f>RTD("tos.rtd", , "PROB_OTM", ".TSLA160520C365")</f>
        <v>98.63%</v>
      </c>
      <c r="E68">
        <f>RTD("tos.rtd", , "DELTA", ".TSLA160520C365")</f>
        <v>0.02</v>
      </c>
      <c r="F68">
        <f>RTD("tos.rtd", , "BID", ".TSLA160520C365")</f>
        <v>0.13</v>
      </c>
      <c r="G68" t="str">
        <f>RTD("tos.rtd", , "BX", ".TSLA160520C365")</f>
        <v>A</v>
      </c>
      <c r="H68">
        <f>RTD("tos.rtd", , "ASK", ".TSLA160520C365")</f>
        <v>0.5</v>
      </c>
      <c r="I68" t="str">
        <f>RTD("tos.rtd", , "AX", ".TSLA160520C365")</f>
        <v>N</v>
      </c>
      <c r="J68" t="str">
        <f>RTD("tos.rtd", , "EXPIRATION_DAY", ".TSLA160520C365")</f>
        <v>2016-05-21</v>
      </c>
      <c r="K68">
        <f>RTD("tos.rtd", , "STRIKE", ".TSLA160520C365")</f>
        <v>365</v>
      </c>
      <c r="L68">
        <f>RTD("tos.rtd", , "BID", ".TSLA160520P365")</f>
        <v>111.5</v>
      </c>
      <c r="M68" t="str">
        <f>RTD("tos.rtd", , "BX", ".TSLA160520P365")</f>
        <v>H</v>
      </c>
      <c r="N68">
        <f>RTD("tos.rtd", , "ASK", ".TSLA160520P365")</f>
        <v>114.65</v>
      </c>
      <c r="O68" t="str">
        <f>RTD("tos.rtd", , "AX", ".TSLA160520P365")</f>
        <v>H</v>
      </c>
      <c r="P68" t="str">
        <f>RTD("tos.rtd", , "IMPL_VOL", ".TSLA160520P365")</f>
        <v>83.91%</v>
      </c>
      <c r="Q68" t="str">
        <f>RTD("tos.rtd", , "PROB_OTM", ".TSLA160520P365")</f>
        <v>7.10%</v>
      </c>
      <c r="R68">
        <f>RTD("tos.rtd", , "DELTA", ".TSLA160520P365")</f>
        <v>-0.85</v>
      </c>
      <c r="T68">
        <f t="shared" si="0"/>
        <v>254.3</v>
      </c>
      <c r="U68">
        <f t="shared" si="1"/>
        <v>365</v>
      </c>
      <c r="V68" s="1">
        <v>0.43430000000000002</v>
      </c>
      <c r="W68" s="1">
        <v>5.0000000000000001E-3</v>
      </c>
      <c r="X68" s="1">
        <v>0</v>
      </c>
      <c r="Y68" s="2">
        <v>27</v>
      </c>
      <c r="Z68" s="1">
        <f t="shared" si="2"/>
        <v>0.108</v>
      </c>
      <c r="AA68" s="3">
        <f t="shared" si="3"/>
        <v>-0.36138268115441752</v>
      </c>
      <c r="AB68" s="3">
        <f t="shared" si="4"/>
        <v>1.0725290460000002E-2</v>
      </c>
      <c r="AC68" s="3">
        <f t="shared" si="5"/>
        <v>0.1427255440346962</v>
      </c>
      <c r="AD68" s="3">
        <f t="shared" si="6"/>
        <v>-2.4568649786276073</v>
      </c>
      <c r="AE68" s="3">
        <f t="shared" si="7"/>
        <v>-2.5995905226623037</v>
      </c>
      <c r="AF68">
        <f t="shared" si="8"/>
        <v>7.0077676283262225E-3</v>
      </c>
      <c r="AG68">
        <f t="shared" si="9"/>
        <v>0.99299223237167378</v>
      </c>
      <c r="AH68">
        <f t="shared" si="10"/>
        <v>4.6667529034171151E-3</v>
      </c>
      <c r="AI68">
        <f t="shared" si="11"/>
        <v>0.99533324709658288</v>
      </c>
      <c r="AJ68">
        <f t="shared" si="12"/>
        <v>0.99946014577375952</v>
      </c>
      <c r="AK68">
        <f t="shared" si="13"/>
        <v>364.80295320742221</v>
      </c>
      <c r="AL68">
        <f t="shared" si="14"/>
        <v>1</v>
      </c>
      <c r="AM68">
        <f t="shared" si="15"/>
        <v>254.3</v>
      </c>
      <c r="AN68">
        <f t="shared" si="16"/>
        <v>7.963006682748297E-2</v>
      </c>
      <c r="AO68">
        <f t="shared" si="17"/>
        <v>-0.42036993317251703</v>
      </c>
      <c r="AP68">
        <f t="shared" si="18"/>
        <v>7.0077676283262225E-3</v>
      </c>
      <c r="AQ68">
        <f t="shared" si="19"/>
        <v>5.3742883761312204E-4</v>
      </c>
      <c r="AR68">
        <f t="shared" si="20"/>
        <v>-1.3092303047204535E-2</v>
      </c>
      <c r="AS68">
        <f t="shared" si="21"/>
        <v>1.6301488859012218E-2</v>
      </c>
      <c r="AT68">
        <f t="shared" si="22"/>
        <v>1.8386408603403457E-3</v>
      </c>
      <c r="AU68">
        <f t="shared" si="23"/>
        <v>110.58258327424966</v>
      </c>
      <c r="AV68">
        <f t="shared" si="24"/>
        <v>-4.0674167257503484</v>
      </c>
      <c r="AW68">
        <f t="shared" si="25"/>
        <v>-0.99299223237167378</v>
      </c>
      <c r="AX68">
        <f t="shared" si="26"/>
        <v>5.3742883761312204E-4</v>
      </c>
      <c r="AY68">
        <f t="shared" si="27"/>
        <v>-5.825311947455088E-3</v>
      </c>
      <c r="AZ68">
        <f t="shared" si="28"/>
        <v>1.6301488859012218E-2</v>
      </c>
      <c r="BA68">
        <f t="shared" si="29"/>
        <v>-0.39214854860367565</v>
      </c>
    </row>
    <row r="69" spans="3:53">
      <c r="C69" t="str">
        <f>RTD("tos.rtd", , "IMPL_VOL", ".TSLA160520C370")</f>
        <v>53.35%</v>
      </c>
      <c r="D69" t="str">
        <f>RTD("tos.rtd", , "PROB_OTM", ".TSLA160520C370")</f>
        <v>98.82%</v>
      </c>
      <c r="E69">
        <f>RTD("tos.rtd", , "DELTA", ".TSLA160520C370")</f>
        <v>0.02</v>
      </c>
      <c r="F69">
        <f>RTD("tos.rtd", , "BID", ".TSLA160520C370")</f>
        <v>0.09</v>
      </c>
      <c r="G69" t="str">
        <f>RTD("tos.rtd", , "BX", ".TSLA160520C370")</f>
        <v>X</v>
      </c>
      <c r="H69">
        <f>RTD("tos.rtd", , "ASK", ".TSLA160520C370")</f>
        <v>0.46</v>
      </c>
      <c r="I69" t="str">
        <f>RTD("tos.rtd", , "AX", ".TSLA160520C370")</f>
        <v>A</v>
      </c>
      <c r="J69" t="str">
        <f>RTD("tos.rtd", , "EXPIRATION_DAY", ".TSLA160520C370")</f>
        <v>2016-05-21</v>
      </c>
      <c r="K69">
        <f>RTD("tos.rtd", , "STRIKE", ".TSLA160520C370")</f>
        <v>370</v>
      </c>
      <c r="L69">
        <f>RTD("tos.rtd", , "BID", ".TSLA160520P370")</f>
        <v>116.45</v>
      </c>
      <c r="M69" t="str">
        <f>RTD("tos.rtd", , "BX", ".TSLA160520P370")</f>
        <v>H</v>
      </c>
      <c r="N69">
        <f>RTD("tos.rtd", , "ASK", ".TSLA160520P370")</f>
        <v>119.6</v>
      </c>
      <c r="O69" t="str">
        <f>RTD("tos.rtd", , "AX", ".TSLA160520P370")</f>
        <v>H</v>
      </c>
      <c r="P69" t="str">
        <f>RTD("tos.rtd", , "IMPL_VOL", ".TSLA160520P370")</f>
        <v>86.49%</v>
      </c>
      <c r="Q69" t="str">
        <f>RTD("tos.rtd", , "PROB_OTM", ".TSLA160520P370")</f>
        <v>6.92%</v>
      </c>
      <c r="R69">
        <f>RTD("tos.rtd", , "DELTA", ".TSLA160520P370")</f>
        <v>-0.85</v>
      </c>
      <c r="T69">
        <f t="shared" si="0"/>
        <v>254.3</v>
      </c>
      <c r="U69">
        <f t="shared" si="1"/>
        <v>370</v>
      </c>
      <c r="V69" s="1">
        <v>0.43430000000000002</v>
      </c>
      <c r="W69" s="1">
        <v>5.0000000000000001E-3</v>
      </c>
      <c r="X69" s="1">
        <v>0</v>
      </c>
      <c r="Y69" s="2">
        <v>27</v>
      </c>
      <c r="Z69" s="1">
        <f t="shared" si="2"/>
        <v>0.108</v>
      </c>
      <c r="AA69" s="3">
        <f t="shared" si="3"/>
        <v>-0.37498833321019603</v>
      </c>
      <c r="AB69" s="3">
        <f t="shared" si="4"/>
        <v>1.0725290460000002E-2</v>
      </c>
      <c r="AC69" s="3">
        <f t="shared" si="5"/>
        <v>0.1427255440346962</v>
      </c>
      <c r="AD69" s="3">
        <f t="shared" si="6"/>
        <v>-2.552192357813992</v>
      </c>
      <c r="AE69" s="3">
        <f t="shared" si="7"/>
        <v>-2.6949179018486884</v>
      </c>
      <c r="AF69">
        <f t="shared" si="8"/>
        <v>5.3523699847073392E-3</v>
      </c>
      <c r="AG69">
        <f t="shared" si="9"/>
        <v>0.99464763001529266</v>
      </c>
      <c r="AH69">
        <f t="shared" si="10"/>
        <v>3.5202988050634376E-3</v>
      </c>
      <c r="AI69">
        <f t="shared" si="11"/>
        <v>0.99647970119493656</v>
      </c>
      <c r="AJ69">
        <f t="shared" si="12"/>
        <v>0.99946014577375952</v>
      </c>
      <c r="AK69">
        <f t="shared" si="13"/>
        <v>369.80025393629103</v>
      </c>
      <c r="AL69">
        <f t="shared" si="14"/>
        <v>1</v>
      </c>
      <c r="AM69">
        <f t="shared" si="15"/>
        <v>254.3</v>
      </c>
      <c r="AN69">
        <f t="shared" si="16"/>
        <v>5.930029506699519E-2</v>
      </c>
      <c r="AO69">
        <f t="shared" si="17"/>
        <v>-0.40069970493300483</v>
      </c>
      <c r="AP69">
        <f t="shared" si="18"/>
        <v>5.3523699847073392E-3</v>
      </c>
      <c r="AQ69">
        <f t="shared" si="19"/>
        <v>4.2328520784223628E-4</v>
      </c>
      <c r="AR69">
        <f t="shared" si="20"/>
        <v>-1.0310872212571079E-2</v>
      </c>
      <c r="AS69">
        <f t="shared" si="21"/>
        <v>1.2839242364571632E-2</v>
      </c>
      <c r="AT69">
        <f t="shared" si="22"/>
        <v>1.4059519834076076E-3</v>
      </c>
      <c r="AU69">
        <f t="shared" si="23"/>
        <v>115.55955423135805</v>
      </c>
      <c r="AV69">
        <f t="shared" si="24"/>
        <v>-4.0404457686419448</v>
      </c>
      <c r="AW69">
        <f t="shared" si="25"/>
        <v>-0.99464763001529266</v>
      </c>
      <c r="AX69">
        <f t="shared" si="26"/>
        <v>4.2328520784223628E-4</v>
      </c>
      <c r="AY69">
        <f t="shared" si="27"/>
        <v>-2.9443332895373914E-3</v>
      </c>
      <c r="AZ69">
        <f t="shared" si="28"/>
        <v>1.2839242364571632E-2</v>
      </c>
      <c r="BA69">
        <f t="shared" si="29"/>
        <v>-0.39797832226778668</v>
      </c>
    </row>
    <row r="70" spans="3:53">
      <c r="C70" t="str">
        <f>RTD("tos.rtd", , "IMPL_VOL", ".TSLA160520C375")</f>
        <v>59.24%</v>
      </c>
      <c r="D70" t="str">
        <f>RTD("tos.rtd", , "PROB_OTM", ".TSLA160520C375")</f>
        <v>98.32%</v>
      </c>
      <c r="E70">
        <f>RTD("tos.rtd", , "DELTA", ".TSLA160520C375")</f>
        <v>0.03</v>
      </c>
      <c r="F70">
        <f>RTD("tos.rtd", , "BID", ".TSLA160520C375")</f>
        <v>0.05</v>
      </c>
      <c r="G70" t="str">
        <f>RTD("tos.rtd", , "BX", ".TSLA160520C375")</f>
        <v>X</v>
      </c>
      <c r="H70">
        <f>RTD("tos.rtd", , "ASK", ".TSLA160520C375")</f>
        <v>0.87</v>
      </c>
      <c r="I70" t="str">
        <f>RTD("tos.rtd", , "AX", ".TSLA160520C375")</f>
        <v>C</v>
      </c>
      <c r="J70" t="str">
        <f>RTD("tos.rtd", , "EXPIRATION_DAY", ".TSLA160520C375")</f>
        <v>2016-05-21</v>
      </c>
      <c r="K70">
        <f>RTD("tos.rtd", , "STRIKE", ".TSLA160520C375")</f>
        <v>375</v>
      </c>
      <c r="L70">
        <f>RTD("tos.rtd", , "BID", ".TSLA160520P375")</f>
        <v>121.15</v>
      </c>
      <c r="M70" t="str">
        <f>RTD("tos.rtd", , "BX", ".TSLA160520P375")</f>
        <v>T</v>
      </c>
      <c r="N70">
        <f>RTD("tos.rtd", , "ASK", ".TSLA160520P375")</f>
        <v>124.45</v>
      </c>
      <c r="O70" t="str">
        <f>RTD("tos.rtd", , "AX", ".TSLA160520P375")</f>
        <v>H</v>
      </c>
      <c r="P70" t="str">
        <f>RTD("tos.rtd", , "IMPL_VOL", ".TSLA160520P375")</f>
        <v>88.03%</v>
      </c>
      <c r="Q70" t="str">
        <f>RTD("tos.rtd", , "PROB_OTM", ".TSLA160520P375")</f>
        <v>6.58%</v>
      </c>
      <c r="R70">
        <f>RTD("tos.rtd", , "DELTA", ".TSLA160520P375")</f>
        <v>-0.85</v>
      </c>
      <c r="T70">
        <f t="shared" si="0"/>
        <v>254.3</v>
      </c>
      <c r="U70">
        <f t="shared" si="1"/>
        <v>375</v>
      </c>
      <c r="V70" s="1">
        <v>0.43430000000000002</v>
      </c>
      <c r="W70" s="1">
        <v>5.0000000000000001E-3</v>
      </c>
      <c r="X70" s="1">
        <v>0</v>
      </c>
      <c r="Y70" s="2">
        <v>27</v>
      </c>
      <c r="Z70" s="1">
        <f t="shared" si="2"/>
        <v>0.108</v>
      </c>
      <c r="AA70" s="3">
        <f t="shared" si="3"/>
        <v>-0.3884113535423368</v>
      </c>
      <c r="AB70" s="3">
        <f t="shared" si="4"/>
        <v>1.0725290460000002E-2</v>
      </c>
      <c r="AC70" s="3">
        <f t="shared" si="5"/>
        <v>0.1427255440346962</v>
      </c>
      <c r="AD70" s="3">
        <f t="shared" si="6"/>
        <v>-2.6462401361771817</v>
      </c>
      <c r="AE70" s="3">
        <f t="shared" si="7"/>
        <v>-2.7889656802118781</v>
      </c>
      <c r="AF70">
        <f t="shared" si="8"/>
        <v>4.069600720930433E-3</v>
      </c>
      <c r="AG70">
        <f t="shared" si="9"/>
        <v>0.99593039927906957</v>
      </c>
      <c r="AH70">
        <f t="shared" si="10"/>
        <v>2.6438334016833931E-3</v>
      </c>
      <c r="AI70">
        <f t="shared" si="11"/>
        <v>0.99735616659831661</v>
      </c>
      <c r="AJ70">
        <f t="shared" si="12"/>
        <v>0.99946014577375952</v>
      </c>
      <c r="AK70">
        <f t="shared" si="13"/>
        <v>374.79755466515979</v>
      </c>
      <c r="AL70">
        <f t="shared" si="14"/>
        <v>1</v>
      </c>
      <c r="AM70">
        <f t="shared" si="15"/>
        <v>254.3</v>
      </c>
      <c r="AN70">
        <f t="shared" si="16"/>
        <v>4.3997169439602302E-2</v>
      </c>
      <c r="AO70">
        <f t="shared" si="17"/>
        <v>-0.82600283056039769</v>
      </c>
      <c r="AP70">
        <f t="shared" si="18"/>
        <v>4.069600720930433E-3</v>
      </c>
      <c r="AQ70">
        <f t="shared" si="19"/>
        <v>3.3148935203246771E-4</v>
      </c>
      <c r="AR70">
        <f t="shared" si="20"/>
        <v>-8.0742327618104903E-3</v>
      </c>
      <c r="AS70">
        <f t="shared" si="21"/>
        <v>1.0054856756548769E-2</v>
      </c>
      <c r="AT70">
        <f t="shared" si="22"/>
        <v>1.0701744774044477E-3</v>
      </c>
      <c r="AU70">
        <f t="shared" si="23"/>
        <v>120.5415518345994</v>
      </c>
      <c r="AV70">
        <f t="shared" si="24"/>
        <v>-3.9084481654005998</v>
      </c>
      <c r="AW70">
        <f t="shared" si="25"/>
        <v>-0.99593039927906957</v>
      </c>
      <c r="AX70">
        <f t="shared" si="26"/>
        <v>3.3148935203246771E-4</v>
      </c>
      <c r="AY70">
        <f t="shared" si="27"/>
        <v>-6.0814601549256584E-4</v>
      </c>
      <c r="AZ70">
        <f t="shared" si="28"/>
        <v>1.0054856756548769E-2</v>
      </c>
      <c r="BA70">
        <f t="shared" si="29"/>
        <v>-0.40371118456096816</v>
      </c>
    </row>
    <row r="71" spans="3:53">
      <c r="C71" t="str">
        <f>RTD("tos.rtd", , "IMPL_VOL", ".TSLA160520C380")</f>
        <v>56.37%</v>
      </c>
      <c r="D71" t="str">
        <f>RTD("tos.rtd", , "PROB_OTM", ".TSLA160520C380")</f>
        <v>98.92%</v>
      </c>
      <c r="E71">
        <f>RTD("tos.rtd", , "DELTA", ".TSLA160520C380")</f>
        <v>0.02</v>
      </c>
      <c r="F71">
        <f>RTD("tos.rtd", , "BID", ".TSLA160520C380")</f>
        <v>0.02</v>
      </c>
      <c r="G71" t="str">
        <f>RTD("tos.rtd", , "BX", ".TSLA160520C380")</f>
        <v>A</v>
      </c>
      <c r="H71">
        <f>RTD("tos.rtd", , "ASK", ".TSLA160520C380")</f>
        <v>0.52</v>
      </c>
      <c r="I71" t="str">
        <f>RTD("tos.rtd", , "AX", ".TSLA160520C380")</f>
        <v>C</v>
      </c>
      <c r="J71" t="str">
        <f>RTD("tos.rtd", , "EXPIRATION_DAY", ".TSLA160520C380")</f>
        <v>2016-05-21</v>
      </c>
      <c r="K71">
        <f>RTD("tos.rtd", , "STRIKE", ".TSLA160520C380")</f>
        <v>380</v>
      </c>
      <c r="L71">
        <f>RTD("tos.rtd", , "BID", ".TSLA160520P380")</f>
        <v>126.35</v>
      </c>
      <c r="M71" t="str">
        <f>RTD("tos.rtd", , "BX", ".TSLA160520P380")</f>
        <v>H</v>
      </c>
      <c r="N71">
        <f>RTD("tos.rtd", , "ASK", ".TSLA160520P380")</f>
        <v>129.4</v>
      </c>
      <c r="O71" t="str">
        <f>RTD("tos.rtd", , "AX", ".TSLA160520P380")</f>
        <v>M</v>
      </c>
      <c r="P71" t="str">
        <f>RTD("tos.rtd", , "IMPL_VOL", ".TSLA160520P380")</f>
        <v>91.37%</v>
      </c>
      <c r="Q71" t="str">
        <f>RTD("tos.rtd", , "PROB_OTM", ".TSLA160520P380")</f>
        <v>6.57%</v>
      </c>
      <c r="R71">
        <f>RTD("tos.rtd", , "DELTA", ".TSLA160520P380")</f>
        <v>-0.85</v>
      </c>
      <c r="T71">
        <f t="shared" si="0"/>
        <v>254.3</v>
      </c>
      <c r="U71">
        <f t="shared" si="1"/>
        <v>380</v>
      </c>
      <c r="V71" s="1">
        <v>0.43430000000000002</v>
      </c>
      <c r="W71" s="1">
        <v>5.0000000000000001E-3</v>
      </c>
      <c r="X71" s="1">
        <v>0</v>
      </c>
      <c r="Y71" s="2">
        <v>27</v>
      </c>
      <c r="Z71" s="1">
        <f t="shared" si="2"/>
        <v>0.108</v>
      </c>
      <c r="AA71" s="3">
        <f t="shared" si="3"/>
        <v>-0.40165658029235751</v>
      </c>
      <c r="AB71" s="3">
        <f t="shared" si="4"/>
        <v>1.0725290460000002E-2</v>
      </c>
      <c r="AC71" s="3">
        <f t="shared" si="5"/>
        <v>0.1427255440346962</v>
      </c>
      <c r="AD71" s="3">
        <f t="shared" si="6"/>
        <v>-2.7390422119345588</v>
      </c>
      <c r="AE71" s="3">
        <f t="shared" si="7"/>
        <v>-2.8817677559692552</v>
      </c>
      <c r="AF71">
        <f t="shared" si="8"/>
        <v>3.0809230729142989E-3</v>
      </c>
      <c r="AG71">
        <f t="shared" si="9"/>
        <v>0.9969190769270857</v>
      </c>
      <c r="AH71">
        <f t="shared" si="10"/>
        <v>1.97725543926075E-3</v>
      </c>
      <c r="AI71">
        <f t="shared" si="11"/>
        <v>0.99802274456073925</v>
      </c>
      <c r="AJ71">
        <f t="shared" si="12"/>
        <v>0.99946014577375952</v>
      </c>
      <c r="AK71">
        <f t="shared" si="13"/>
        <v>379.79485539402862</v>
      </c>
      <c r="AL71">
        <f t="shared" si="14"/>
        <v>1</v>
      </c>
      <c r="AM71">
        <f t="shared" si="15"/>
        <v>254.3</v>
      </c>
      <c r="AN71">
        <f t="shared" si="16"/>
        <v>3.2527293811013158E-2</v>
      </c>
      <c r="AO71">
        <f t="shared" si="17"/>
        <v>-0.48747270618898686</v>
      </c>
      <c r="AP71">
        <f t="shared" si="18"/>
        <v>3.0809230729142989E-3</v>
      </c>
      <c r="AQ71">
        <f t="shared" si="19"/>
        <v>2.5819445390023066E-4</v>
      </c>
      <c r="AR71">
        <f t="shared" si="20"/>
        <v>-6.2885410806599344E-3</v>
      </c>
      <c r="AS71">
        <f t="shared" si="21"/>
        <v>7.8316489907883317E-3</v>
      </c>
      <c r="AT71">
        <f t="shared" si="22"/>
        <v>8.110275591215806E-4</v>
      </c>
      <c r="AU71">
        <f t="shared" si="23"/>
        <v>125.52738268783961</v>
      </c>
      <c r="AV71">
        <f t="shared" si="24"/>
        <v>-3.8726173121604006</v>
      </c>
      <c r="AW71">
        <f t="shared" si="25"/>
        <v>-0.9969190769270857</v>
      </c>
      <c r="AX71">
        <f t="shared" si="26"/>
        <v>2.5819445390023066E-4</v>
      </c>
      <c r="AY71">
        <f t="shared" si="27"/>
        <v>1.27709348894223E-3</v>
      </c>
      <c r="AZ71">
        <f t="shared" si="28"/>
        <v>7.8316489907883317E-3</v>
      </c>
      <c r="BA71">
        <f t="shared" si="29"/>
        <v>-0.40936741626642936</v>
      </c>
    </row>
    <row r="72" spans="3:53">
      <c r="C72" t="str">
        <f>RTD("tos.rtd", , "IMPL_VOL", ".TSLA160520C385")</f>
        <v>58.60%</v>
      </c>
      <c r="D72" t="str">
        <f>RTD("tos.rtd", , "PROB_OTM", ".TSLA160520C385")</f>
        <v>98.89%</v>
      </c>
      <c r="E72">
        <f>RTD("tos.rtd", , "DELTA", ".TSLA160520C385")</f>
        <v>0.02</v>
      </c>
      <c r="F72">
        <f>RTD("tos.rtd", , "BID", ".TSLA160520C385")</f>
        <v>0.09</v>
      </c>
      <c r="G72" t="str">
        <f>RTD("tos.rtd", , "BX", ".TSLA160520C385")</f>
        <v>A</v>
      </c>
      <c r="H72">
        <f>RTD("tos.rtd", , "ASK", ".TSLA160520C385")</f>
        <v>0.5</v>
      </c>
      <c r="I72" t="str">
        <f>RTD("tos.rtd", , "AX", ".TSLA160520C385")</f>
        <v>C</v>
      </c>
      <c r="J72" t="str">
        <f>RTD("tos.rtd", , "EXPIRATION_DAY", ".TSLA160520C385")</f>
        <v>2016-05-21</v>
      </c>
      <c r="K72">
        <f>RTD("tos.rtd", , "STRIKE", ".TSLA160520C385")</f>
        <v>385</v>
      </c>
      <c r="L72">
        <f>RTD("tos.rtd", , "BID", ".TSLA160520P385")</f>
        <v>131.30000000000001</v>
      </c>
      <c r="M72" t="str">
        <f>RTD("tos.rtd", , "BX", ".TSLA160520P385")</f>
        <v>I</v>
      </c>
      <c r="N72">
        <f>RTD("tos.rtd", , "ASK", ".TSLA160520P385")</f>
        <v>134.19999999999999</v>
      </c>
      <c r="O72" t="str">
        <f>RTD("tos.rtd", , "AX", ".TSLA160520P385")</f>
        <v>H</v>
      </c>
      <c r="P72" t="str">
        <f>RTD("tos.rtd", , "IMPL_VOL", ".TSLA160520P385")</f>
        <v>93.51%</v>
      </c>
      <c r="Q72" t="str">
        <f>RTD("tos.rtd", , "PROB_OTM", ".TSLA160520P385")</f>
        <v>6.37%</v>
      </c>
      <c r="R72">
        <f>RTD("tos.rtd", , "DELTA", ".TSLA160520P385")</f>
        <v>-0.85</v>
      </c>
      <c r="T72">
        <f t="shared" si="0"/>
        <v>254.3</v>
      </c>
      <c r="U72">
        <f t="shared" si="1"/>
        <v>385</v>
      </c>
      <c r="V72" s="1">
        <v>0.43430000000000002</v>
      </c>
      <c r="W72" s="1">
        <v>5.0000000000000001E-3</v>
      </c>
      <c r="X72" s="1">
        <v>0</v>
      </c>
      <c r="Y72" s="2">
        <v>27</v>
      </c>
      <c r="Z72" s="1">
        <f t="shared" si="2"/>
        <v>0.108</v>
      </c>
      <c r="AA72" s="3">
        <f t="shared" si="3"/>
        <v>-0.4147286618597103</v>
      </c>
      <c r="AB72" s="3">
        <f t="shared" si="4"/>
        <v>1.0725290460000002E-2</v>
      </c>
      <c r="AC72" s="3">
        <f t="shared" si="5"/>
        <v>0.1427255440346962</v>
      </c>
      <c r="AD72" s="3">
        <f t="shared" si="6"/>
        <v>-2.8306311538843962</v>
      </c>
      <c r="AE72" s="3">
        <f t="shared" si="7"/>
        <v>-2.9733566979190926</v>
      </c>
      <c r="AF72">
        <f t="shared" si="8"/>
        <v>2.3228130143411185E-3</v>
      </c>
      <c r="AG72">
        <f t="shared" si="9"/>
        <v>0.99767718698565888</v>
      </c>
      <c r="AH72">
        <f t="shared" si="10"/>
        <v>1.4728095825908838E-3</v>
      </c>
      <c r="AI72">
        <f t="shared" si="11"/>
        <v>0.99852719041740912</v>
      </c>
      <c r="AJ72">
        <f t="shared" si="12"/>
        <v>0.99946014577375952</v>
      </c>
      <c r="AK72">
        <f t="shared" si="13"/>
        <v>384.79215612289744</v>
      </c>
      <c r="AL72">
        <f t="shared" si="14"/>
        <v>1</v>
      </c>
      <c r="AM72">
        <f t="shared" si="15"/>
        <v>254.3</v>
      </c>
      <c r="AN72">
        <f t="shared" si="16"/>
        <v>2.3965774703335718E-2</v>
      </c>
      <c r="AO72">
        <f t="shared" si="17"/>
        <v>-0.47603422529666428</v>
      </c>
      <c r="AP72">
        <f t="shared" si="18"/>
        <v>2.3228130143411185E-3</v>
      </c>
      <c r="AQ72">
        <f t="shared" si="19"/>
        <v>2.0006708854633813E-4</v>
      </c>
      <c r="AR72">
        <f t="shared" si="20"/>
        <v>-4.8724985870464196E-3</v>
      </c>
      <c r="AS72">
        <f t="shared" si="21"/>
        <v>6.0685083991360248E-3</v>
      </c>
      <c r="AT72">
        <f t="shared" si="22"/>
        <v>6.1206362083109957E-4</v>
      </c>
      <c r="AU72">
        <f t="shared" si="23"/>
        <v>130.51612189760078</v>
      </c>
      <c r="AV72">
        <f t="shared" si="24"/>
        <v>-3.6838781023992055</v>
      </c>
      <c r="AW72">
        <f t="shared" si="25"/>
        <v>-0.99767718698565888</v>
      </c>
      <c r="AX72">
        <f t="shared" si="26"/>
        <v>2.0006708854633813E-4</v>
      </c>
      <c r="AY72">
        <f t="shared" si="27"/>
        <v>2.7926838058399839E-3</v>
      </c>
      <c r="AZ72">
        <f t="shared" si="28"/>
        <v>6.0685083991360248E-3</v>
      </c>
      <c r="BA72">
        <f t="shared" si="29"/>
        <v>-0.41496346499189807</v>
      </c>
    </row>
    <row r="73" spans="3:53">
      <c r="C73" t="str">
        <f>RTD("tos.rtd", , "IMPL_VOL", ".TSLA160520C390")</f>
        <v>61.71%</v>
      </c>
      <c r="D73" t="str">
        <f>RTD("tos.rtd", , "PROB_OTM", ".TSLA160520C390")</f>
        <v>98.76%</v>
      </c>
      <c r="E73">
        <f>RTD("tos.rtd", , "DELTA", ".TSLA160520C390")</f>
        <v>0.02</v>
      </c>
      <c r="F73">
        <f>RTD("tos.rtd", , "BID", ".TSLA160520C390")</f>
        <v>0</v>
      </c>
      <c r="G73" t="str">
        <f>RTD("tos.rtd", , "BX", ".TSLA160520C390")</f>
        <v>J</v>
      </c>
      <c r="H73">
        <f>RTD("tos.rtd", , "ASK", ".TSLA160520C390")</f>
        <v>0.71</v>
      </c>
      <c r="I73" t="str">
        <f>RTD("tos.rtd", , "AX", ".TSLA160520C390")</f>
        <v>C</v>
      </c>
      <c r="J73" t="str">
        <f>RTD("tos.rtd", , "EXPIRATION_DAY", ".TSLA160520C390")</f>
        <v>2016-05-21</v>
      </c>
      <c r="K73">
        <f>RTD("tos.rtd", , "STRIKE", ".TSLA160520C390")</f>
        <v>390</v>
      </c>
      <c r="L73">
        <f>RTD("tos.rtd", , "BID", ".TSLA160520P390")</f>
        <v>136.05000000000001</v>
      </c>
      <c r="M73" t="str">
        <f>RTD("tos.rtd", , "BX", ".TSLA160520P390")</f>
        <v>I</v>
      </c>
      <c r="N73">
        <f>RTD("tos.rtd", , "ASK", ".TSLA160520P390")</f>
        <v>139.35</v>
      </c>
      <c r="O73" t="str">
        <f>RTD("tos.rtd", , "AX", ".TSLA160520P390")</f>
        <v>X</v>
      </c>
      <c r="P73" t="str">
        <f>RTD("tos.rtd", , "IMPL_VOL", ".TSLA160520P390")</f>
        <v>96.10%</v>
      </c>
      <c r="Q73" t="str">
        <f>RTD("tos.rtd", , "PROB_OTM", ".TSLA160520P390")</f>
        <v>6.27%</v>
      </c>
      <c r="R73">
        <f>RTD("tos.rtd", , "DELTA", ".TSLA160520P390")</f>
        <v>-0.84</v>
      </c>
      <c r="T73">
        <f t="shared" si="0"/>
        <v>254.3</v>
      </c>
      <c r="U73">
        <f t="shared" si="1"/>
        <v>390</v>
      </c>
      <c r="V73" s="1">
        <v>0.43430000000000002</v>
      </c>
      <c r="W73" s="1">
        <v>5.0000000000000001E-3</v>
      </c>
      <c r="X73" s="1">
        <v>0</v>
      </c>
      <c r="Y73" s="2">
        <v>27</v>
      </c>
      <c r="Z73" s="1">
        <f t="shared" si="2"/>
        <v>0.108</v>
      </c>
      <c r="AA73" s="3">
        <f t="shared" si="3"/>
        <v>-0.42763206669561815</v>
      </c>
      <c r="AB73" s="3">
        <f t="shared" si="4"/>
        <v>1.0725290460000002E-2</v>
      </c>
      <c r="AC73" s="3">
        <f t="shared" si="5"/>
        <v>0.1427255440346962</v>
      </c>
      <c r="AD73" s="3">
        <f t="shared" si="6"/>
        <v>-2.9210382700259263</v>
      </c>
      <c r="AE73" s="3">
        <f t="shared" si="7"/>
        <v>-3.0637638140606227</v>
      </c>
      <c r="AF73">
        <f t="shared" si="8"/>
        <v>1.7443348522840907E-3</v>
      </c>
      <c r="AG73">
        <f t="shared" si="9"/>
        <v>0.99825566514771591</v>
      </c>
      <c r="AH73">
        <f t="shared" si="10"/>
        <v>1.0928569770172203E-3</v>
      </c>
      <c r="AI73">
        <f t="shared" si="11"/>
        <v>0.99890714302298278</v>
      </c>
      <c r="AJ73">
        <f t="shared" si="12"/>
        <v>0.99946014577375952</v>
      </c>
      <c r="AK73">
        <f t="shared" si="13"/>
        <v>389.7894568517662</v>
      </c>
      <c r="AL73">
        <f t="shared" si="14"/>
        <v>1</v>
      </c>
      <c r="AM73">
        <f t="shared" si="15"/>
        <v>254.3</v>
      </c>
      <c r="AN73">
        <f t="shared" si="16"/>
        <v>1.7600225447638895E-2</v>
      </c>
      <c r="AO73">
        <f t="shared" si="17"/>
        <v>-0.69239977455236112</v>
      </c>
      <c r="AP73">
        <f t="shared" si="18"/>
        <v>1.7443348522840907E-3</v>
      </c>
      <c r="AQ73">
        <f t="shared" si="19"/>
        <v>1.5426267484808378E-4</v>
      </c>
      <c r="AR73">
        <f t="shared" si="20"/>
        <v>-3.7567441099321517E-3</v>
      </c>
      <c r="AS73">
        <f t="shared" si="21"/>
        <v>4.6791521023807113E-3</v>
      </c>
      <c r="AT73">
        <f t="shared" si="22"/>
        <v>4.6006285768726188E-4</v>
      </c>
      <c r="AU73">
        <f t="shared" si="23"/>
        <v>135.50705707721383</v>
      </c>
      <c r="AV73">
        <f t="shared" si="24"/>
        <v>-3.8429429227861647</v>
      </c>
      <c r="AW73">
        <f t="shared" si="25"/>
        <v>-0.99825566514771591</v>
      </c>
      <c r="AX73">
        <f t="shared" si="26"/>
        <v>1.5426267484808378E-4</v>
      </c>
      <c r="AY73">
        <f t="shared" si="27"/>
        <v>4.0079861062384901E-3</v>
      </c>
      <c r="AZ73">
        <f t="shared" si="28"/>
        <v>4.6791521023807113E-3</v>
      </c>
      <c r="BA73">
        <f t="shared" si="29"/>
        <v>-0.42051255054222025</v>
      </c>
    </row>
    <row r="74" spans="3:53">
      <c r="C74" t="str">
        <f>RTD("tos.rtd", , "IMPL_VOL", ".TSLA160520C395")</f>
        <v>60.26%</v>
      </c>
      <c r="D74" t="str">
        <f>RTD("tos.rtd", , "PROB_OTM", ".TSLA160520C395")</f>
        <v>99.09%</v>
      </c>
      <c r="E74">
        <f>RTD("tos.rtd", , "DELTA", ".TSLA160520C395")</f>
        <v>0.02</v>
      </c>
      <c r="F74">
        <f>RTD("tos.rtd", , "BID", ".TSLA160520C395")</f>
        <v>0</v>
      </c>
      <c r="G74" t="str">
        <f>RTD("tos.rtd", , "BX", ".TSLA160520C395")</f>
        <v>J</v>
      </c>
      <c r="H74">
        <f>RTD("tos.rtd", , "ASK", ".TSLA160520C395")</f>
        <v>0.5</v>
      </c>
      <c r="I74" t="str">
        <f>RTD("tos.rtd", , "AX", ".TSLA160520C395")</f>
        <v>C</v>
      </c>
      <c r="J74" t="str">
        <f>RTD("tos.rtd", , "EXPIRATION_DAY", ".TSLA160520C395")</f>
        <v>2016-05-21</v>
      </c>
      <c r="K74">
        <f>RTD("tos.rtd", , "STRIKE", ".TSLA160520C395")</f>
        <v>395</v>
      </c>
      <c r="L74">
        <f>RTD("tos.rtd", , "BID", ".TSLA160520P395")</f>
        <v>141.30000000000001</v>
      </c>
      <c r="M74" t="str">
        <f>RTD("tos.rtd", , "BX", ".TSLA160520P395")</f>
        <v>X</v>
      </c>
      <c r="N74">
        <f>RTD("tos.rtd", , "ASK", ".TSLA160520P395")</f>
        <v>144.25</v>
      </c>
      <c r="O74" t="str">
        <f>RTD("tos.rtd", , "AX", ".TSLA160520P395")</f>
        <v>X</v>
      </c>
      <c r="P74" t="str">
        <f>RTD("tos.rtd", , "IMPL_VOL", ".TSLA160520P395")</f>
        <v>99.45%</v>
      </c>
      <c r="Q74" t="str">
        <f>RTD("tos.rtd", , "PROB_OTM", ".TSLA160520P395")</f>
        <v>6.28%</v>
      </c>
      <c r="R74">
        <f>RTD("tos.rtd", , "DELTA", ".TSLA160520P395")</f>
        <v>-0.84</v>
      </c>
      <c r="T74">
        <f t="shared" si="0"/>
        <v>254.3</v>
      </c>
      <c r="U74">
        <f t="shared" si="1"/>
        <v>395</v>
      </c>
      <c r="V74" s="1">
        <v>0.43430000000000002</v>
      </c>
      <c r="W74" s="1">
        <v>5.0000000000000001E-3</v>
      </c>
      <c r="X74" s="1">
        <v>0</v>
      </c>
      <c r="Y74" s="2">
        <v>27</v>
      </c>
      <c r="Z74" s="1">
        <f t="shared" si="2"/>
        <v>0.108</v>
      </c>
      <c r="AA74" s="3">
        <f t="shared" si="3"/>
        <v>-0.44037109247304784</v>
      </c>
      <c r="AB74" s="3">
        <f t="shared" si="4"/>
        <v>1.0725290460000002E-2</v>
      </c>
      <c r="AC74" s="3">
        <f t="shared" si="5"/>
        <v>0.1427255440346962</v>
      </c>
      <c r="AD74" s="3">
        <f t="shared" si="6"/>
        <v>-3.0102936718083351</v>
      </c>
      <c r="AE74" s="3">
        <f t="shared" si="7"/>
        <v>-3.1530192158430315</v>
      </c>
      <c r="AF74">
        <f t="shared" si="8"/>
        <v>1.3049760264458587E-3</v>
      </c>
      <c r="AG74">
        <f t="shared" si="9"/>
        <v>0.99869502397355414</v>
      </c>
      <c r="AH74">
        <f t="shared" si="10"/>
        <v>8.079558470477366E-4</v>
      </c>
      <c r="AI74">
        <f t="shared" si="11"/>
        <v>0.99919204415295226</v>
      </c>
      <c r="AJ74">
        <f t="shared" si="12"/>
        <v>0.99946014577375952</v>
      </c>
      <c r="AK74">
        <f t="shared" si="13"/>
        <v>394.78675758063503</v>
      </c>
      <c r="AL74">
        <f t="shared" si="14"/>
        <v>1</v>
      </c>
      <c r="AM74">
        <f t="shared" si="15"/>
        <v>254.3</v>
      </c>
      <c r="AN74">
        <f t="shared" si="16"/>
        <v>1.2885134400890452E-2</v>
      </c>
      <c r="AO74">
        <f t="shared" si="17"/>
        <v>-0.48711486559910955</v>
      </c>
      <c r="AP74">
        <f t="shared" si="18"/>
        <v>1.3049760264458587E-3</v>
      </c>
      <c r="AQ74">
        <f t="shared" si="19"/>
        <v>1.1838655052243973E-4</v>
      </c>
      <c r="AR74">
        <f t="shared" si="20"/>
        <v>-2.8828980359253214E-3</v>
      </c>
      <c r="AS74">
        <f t="shared" si="21"/>
        <v>3.5909443247771821E-3</v>
      </c>
      <c r="AT74">
        <f t="shared" si="22"/>
        <v>3.444878906542347E-4</v>
      </c>
      <c r="AU74">
        <f t="shared" si="23"/>
        <v>140.49964271503589</v>
      </c>
      <c r="AV74">
        <f t="shared" si="24"/>
        <v>-3.7503572849641102</v>
      </c>
      <c r="AW74">
        <f t="shared" si="25"/>
        <v>-0.99869502397355414</v>
      </c>
      <c r="AX74">
        <f t="shared" si="26"/>
        <v>1.1838655052243973E-4</v>
      </c>
      <c r="AY74">
        <f t="shared" si="27"/>
        <v>4.98138000352956E-3</v>
      </c>
      <c r="AZ74">
        <f t="shared" si="28"/>
        <v>3.5909443247771821E-3</v>
      </c>
      <c r="BA74">
        <f t="shared" si="29"/>
        <v>-0.42602521029643159</v>
      </c>
    </row>
    <row r="75" spans="3:53">
      <c r="C75" t="str">
        <f>RTD("tos.rtd", , "IMPL_VOL", ".TSLA160520C400")</f>
        <v>61.87%</v>
      </c>
      <c r="D75" t="str">
        <f>RTD("tos.rtd", , "PROB_OTM", ".TSLA160520C400")</f>
        <v>99.10%</v>
      </c>
      <c r="E75">
        <f>RTD("tos.rtd", , "DELTA", ".TSLA160520C400")</f>
        <v>0.02</v>
      </c>
      <c r="F75">
        <f>RTD("tos.rtd", , "BID", ".TSLA160520C400")</f>
        <v>0.01</v>
      </c>
      <c r="G75" t="str">
        <f>RTD("tos.rtd", , "BX", ".TSLA160520C400")</f>
        <v>Z</v>
      </c>
      <c r="H75">
        <f>RTD("tos.rtd", , "ASK", ".TSLA160520C400")</f>
        <v>0.5</v>
      </c>
      <c r="I75" t="str">
        <f>RTD("tos.rtd", , "AX", ".TSLA160520C400")</f>
        <v>A</v>
      </c>
      <c r="J75" t="str">
        <f>RTD("tos.rtd", , "EXPIRATION_DAY", ".TSLA160520C400")</f>
        <v>2016-05-21</v>
      </c>
      <c r="K75">
        <f>RTD("tos.rtd", , "STRIKE", ".TSLA160520C400")</f>
        <v>400</v>
      </c>
      <c r="L75">
        <f>RTD("tos.rtd", , "BID", ".TSLA160520P400")</f>
        <v>146.19999999999999</v>
      </c>
      <c r="M75" t="str">
        <f>RTD("tos.rtd", , "BX", ".TSLA160520P400")</f>
        <v>H</v>
      </c>
      <c r="N75">
        <f>RTD("tos.rtd", , "ASK", ".TSLA160520P400")</f>
        <v>149.4</v>
      </c>
      <c r="O75" t="str">
        <f>RTD("tos.rtd", , "AX", ".TSLA160520P400")</f>
        <v>H</v>
      </c>
      <c r="P75" t="str">
        <f>RTD("tos.rtd", , "IMPL_VOL", ".TSLA160520P400")</f>
        <v>102.49%</v>
      </c>
      <c r="Q75" t="str">
        <f>RTD("tos.rtd", , "PROB_OTM", ".TSLA160520P400")</f>
        <v>6.25%</v>
      </c>
      <c r="R75">
        <f>RTD("tos.rtd", , "DELTA", ".TSLA160520P400")</f>
        <v>-0.84</v>
      </c>
      <c r="T75">
        <f t="shared" si="0"/>
        <v>254.3</v>
      </c>
      <c r="U75">
        <f t="shared" si="1"/>
        <v>400</v>
      </c>
      <c r="V75" s="1">
        <v>0.43430000000000002</v>
      </c>
      <c r="W75" s="1">
        <v>5.0000000000000001E-3</v>
      </c>
      <c r="X75" s="1">
        <v>0</v>
      </c>
      <c r="Y75" s="2">
        <v>27</v>
      </c>
      <c r="Z75" s="1">
        <f t="shared" si="2"/>
        <v>0.108</v>
      </c>
      <c r="AA75" s="3">
        <f t="shared" si="3"/>
        <v>-0.45294987467990799</v>
      </c>
      <c r="AB75" s="3">
        <f t="shared" si="4"/>
        <v>1.0725290460000002E-2</v>
      </c>
      <c r="AC75" s="3">
        <f t="shared" si="5"/>
        <v>0.1427255440346962</v>
      </c>
      <c r="AD75" s="3">
        <f t="shared" si="6"/>
        <v>-3.0984263343386127</v>
      </c>
      <c r="AE75" s="3">
        <f t="shared" si="7"/>
        <v>-3.2411518783733091</v>
      </c>
      <c r="AF75">
        <f t="shared" si="8"/>
        <v>9.727566520190134E-4</v>
      </c>
      <c r="AG75">
        <f t="shared" si="9"/>
        <v>0.99902724334798099</v>
      </c>
      <c r="AH75">
        <f t="shared" si="10"/>
        <v>5.9523869484112701E-4</v>
      </c>
      <c r="AI75">
        <f t="shared" si="11"/>
        <v>0.99940476130515887</v>
      </c>
      <c r="AJ75">
        <f t="shared" si="12"/>
        <v>0.99946014577375952</v>
      </c>
      <c r="AK75">
        <f t="shared" si="13"/>
        <v>399.78405830950379</v>
      </c>
      <c r="AL75">
        <f t="shared" si="14"/>
        <v>1</v>
      </c>
      <c r="AM75">
        <f t="shared" si="15"/>
        <v>254.3</v>
      </c>
      <c r="AN75">
        <f t="shared" si="16"/>
        <v>9.4050755219970417E-3</v>
      </c>
      <c r="AO75">
        <f t="shared" si="17"/>
        <v>-0.49059492447800296</v>
      </c>
      <c r="AP75">
        <f t="shared" si="18"/>
        <v>9.727566520190134E-4</v>
      </c>
      <c r="AQ75">
        <f t="shared" si="19"/>
        <v>9.0447198915326237E-5</v>
      </c>
      <c r="AR75">
        <f t="shared" si="20"/>
        <v>-2.2024169749866045E-3</v>
      </c>
      <c r="AS75">
        <f t="shared" si="21"/>
        <v>2.7434776518420541E-3</v>
      </c>
      <c r="AT75">
        <f t="shared" si="22"/>
        <v>2.5700429637335313E-4</v>
      </c>
      <c r="AU75">
        <f t="shared" si="23"/>
        <v>145.49346338502579</v>
      </c>
      <c r="AV75">
        <f t="shared" si="24"/>
        <v>-3.9065366149742147</v>
      </c>
      <c r="AW75">
        <f t="shared" si="25"/>
        <v>-0.99902724334798099</v>
      </c>
      <c r="AX75">
        <f t="shared" si="26"/>
        <v>9.0447198915326237E-5</v>
      </c>
      <c r="AY75">
        <f t="shared" si="27"/>
        <v>5.7614088877525147E-3</v>
      </c>
      <c r="AZ75">
        <f t="shared" si="28"/>
        <v>2.7434776518420541E-3</v>
      </c>
      <c r="BA75">
        <f t="shared" si="29"/>
        <v>-0.43150977867789081</v>
      </c>
    </row>
    <row r="76" spans="3:53">
      <c r="C76" t="str">
        <f>RTD("tos.rtd", , "IMPL_VOL", ".TSLA160520C410")</f>
        <v>69.83%</v>
      </c>
      <c r="D76" t="str">
        <f>RTD("tos.rtd", , "PROB_OTM", ".TSLA160520C410")</f>
        <v>98.72%</v>
      </c>
      <c r="E76">
        <f>RTD("tos.rtd", , "DELTA", ".TSLA160520C410")</f>
        <v>0.02</v>
      </c>
      <c r="F76">
        <f>RTD("tos.rtd", , "BID", ".TSLA160520C410")</f>
        <v>0</v>
      </c>
      <c r="G76" t="str">
        <f>RTD("tos.rtd", , "BX", ".TSLA160520C410")</f>
        <v>J</v>
      </c>
      <c r="H76">
        <f>RTD("tos.rtd", , "ASK", ".TSLA160520C410")</f>
        <v>0.89</v>
      </c>
      <c r="I76" t="str">
        <f>RTD("tos.rtd", , "AX", ".TSLA160520C410")</f>
        <v>C</v>
      </c>
      <c r="J76" t="str">
        <f>RTD("tos.rtd", , "EXPIRATION_DAY", ".TSLA160520C410")</f>
        <v>2016-05-21</v>
      </c>
      <c r="K76">
        <f>RTD("tos.rtd", , "STRIKE", ".TSLA160520C410")</f>
        <v>410</v>
      </c>
      <c r="L76">
        <f>RTD("tos.rtd", , "BID", ".TSLA160520P410")</f>
        <v>156.15</v>
      </c>
      <c r="M76" t="str">
        <f>RTD("tos.rtd", , "BX", ".TSLA160520P410")</f>
        <v>A</v>
      </c>
      <c r="N76">
        <f>RTD("tos.rtd", , "ASK", ".TSLA160520P410")</f>
        <v>159.4</v>
      </c>
      <c r="O76" t="str">
        <f>RTD("tos.rtd", , "AX", ".TSLA160520P410")</f>
        <v>H</v>
      </c>
      <c r="P76" t="str">
        <f>RTD("tos.rtd", , "IMPL_VOL", ".TSLA160520P410")</f>
        <v>108.16%</v>
      </c>
      <c r="Q76" t="str">
        <f>RTD("tos.rtd", , "PROB_OTM", ".TSLA160520P410")</f>
        <v>6.15%</v>
      </c>
      <c r="R76">
        <f>RTD("tos.rtd", , "DELTA", ".TSLA160520P410")</f>
        <v>-0.83</v>
      </c>
      <c r="T76">
        <f t="shared" si="0"/>
        <v>254.3</v>
      </c>
      <c r="U76">
        <f t="shared" si="1"/>
        <v>410</v>
      </c>
      <c r="V76" s="1">
        <v>0.43430000000000002</v>
      </c>
      <c r="W76" s="1">
        <v>5.0000000000000001E-3</v>
      </c>
      <c r="X76" s="1">
        <v>0</v>
      </c>
      <c r="Y76" s="2">
        <v>27</v>
      </c>
      <c r="Z76" s="1">
        <f t="shared" si="2"/>
        <v>0.108</v>
      </c>
      <c r="AA76" s="3">
        <f t="shared" si="3"/>
        <v>-0.47764248727027953</v>
      </c>
      <c r="AB76" s="3">
        <f t="shared" si="4"/>
        <v>1.0725290460000002E-2</v>
      </c>
      <c r="AC76" s="3">
        <f t="shared" si="5"/>
        <v>0.1427255440346962</v>
      </c>
      <c r="AD76" s="3">
        <f t="shared" si="6"/>
        <v>-3.271433995702782</v>
      </c>
      <c r="AE76" s="3">
        <f t="shared" si="7"/>
        <v>-3.4141595397374784</v>
      </c>
      <c r="AF76">
        <f t="shared" si="8"/>
        <v>5.3501781456466446E-4</v>
      </c>
      <c r="AG76">
        <f t="shared" si="9"/>
        <v>0.99946498218543534</v>
      </c>
      <c r="AH76">
        <f t="shared" si="10"/>
        <v>3.1989549869892997E-4</v>
      </c>
      <c r="AI76">
        <f t="shared" si="11"/>
        <v>0.99968010450130107</v>
      </c>
      <c r="AJ76">
        <f t="shared" si="12"/>
        <v>0.99946014577375952</v>
      </c>
      <c r="AK76">
        <f t="shared" si="13"/>
        <v>409.77865976724138</v>
      </c>
      <c r="AL76">
        <f t="shared" si="14"/>
        <v>1</v>
      </c>
      <c r="AM76">
        <f t="shared" si="15"/>
        <v>254.3</v>
      </c>
      <c r="AN76">
        <f t="shared" si="16"/>
        <v>4.968681521373336E-3</v>
      </c>
      <c r="AO76">
        <f t="shared" si="17"/>
        <v>-0.88503131847862671</v>
      </c>
      <c r="AP76">
        <f t="shared" si="18"/>
        <v>5.3501781456466446E-4</v>
      </c>
      <c r="AQ76">
        <f t="shared" si="19"/>
        <v>5.2130433973729257E-5</v>
      </c>
      <c r="AR76">
        <f t="shared" si="20"/>
        <v>-1.2692711247672796E-3</v>
      </c>
      <c r="AS76">
        <f t="shared" si="21"/>
        <v>1.5812394668147044E-3</v>
      </c>
      <c r="AT76">
        <f t="shared" si="22"/>
        <v>1.4157325662021451E-4</v>
      </c>
      <c r="AU76">
        <f t="shared" si="23"/>
        <v>155.48362844876274</v>
      </c>
      <c r="AV76">
        <f t="shared" si="24"/>
        <v>-3.9163715512372619</v>
      </c>
      <c r="AW76">
        <f t="shared" si="25"/>
        <v>-0.99946498218543534</v>
      </c>
      <c r="AX76">
        <f t="shared" si="26"/>
        <v>5.2130433973729257E-5</v>
      </c>
      <c r="AY76">
        <f t="shared" si="27"/>
        <v>6.8936503845403183E-3</v>
      </c>
      <c r="AZ76">
        <f t="shared" si="28"/>
        <v>1.5812394668147044E-3</v>
      </c>
      <c r="BA76">
        <f t="shared" si="29"/>
        <v>-0.44241937929200054</v>
      </c>
    </row>
    <row r="77" spans="3:53">
      <c r="C77" t="str">
        <f>RTD("tos.rtd", , "IMPL_VOL", ".TSLA160520C420")</f>
        <v>67.24%</v>
      </c>
      <c r="D77" t="str">
        <f>RTD("tos.rtd", , "PROB_OTM", ".TSLA160520C420")</f>
        <v>99.22%</v>
      </c>
      <c r="E77">
        <f>RTD("tos.rtd", , "DELTA", ".TSLA160520C420")</f>
        <v>0.01</v>
      </c>
      <c r="F77">
        <f>RTD("tos.rtd", , "BID", ".TSLA160520C420")</f>
        <v>0</v>
      </c>
      <c r="G77" t="str">
        <f>RTD("tos.rtd", , "BX", ".TSLA160520C420")</f>
        <v>J</v>
      </c>
      <c r="H77">
        <f>RTD("tos.rtd", , "ASK", ".TSLA160520C420")</f>
        <v>0.5</v>
      </c>
      <c r="I77" t="str">
        <f>RTD("tos.rtd", , "AX", ".TSLA160520C420")</f>
        <v>C</v>
      </c>
      <c r="J77" t="str">
        <f>RTD("tos.rtd", , "EXPIRATION_DAY", ".TSLA160520C420")</f>
        <v>2016-05-21</v>
      </c>
      <c r="K77">
        <f>RTD("tos.rtd", , "STRIKE", ".TSLA160520C420")</f>
        <v>420</v>
      </c>
      <c r="L77">
        <f>RTD("tos.rtd", , "BID", ".TSLA160520P420")</f>
        <v>166.15</v>
      </c>
      <c r="M77" t="str">
        <f>RTD("tos.rtd", , "BX", ".TSLA160520P420")</f>
        <v>I</v>
      </c>
      <c r="N77">
        <f>RTD("tos.rtd", , "ASK", ".TSLA160520P420")</f>
        <v>169.4</v>
      </c>
      <c r="O77" t="str">
        <f>RTD("tos.rtd", , "AX", ".TSLA160520P420")</f>
        <v>H</v>
      </c>
      <c r="P77" t="str">
        <f>RTD("tos.rtd", , "IMPL_VOL", ".TSLA160520P420")</f>
        <v>113.98%</v>
      </c>
      <c r="Q77" t="str">
        <f>RTD("tos.rtd", , "PROB_OTM", ".TSLA160520P420")</f>
        <v>6.09%</v>
      </c>
      <c r="R77">
        <f>RTD("tos.rtd", , "DELTA", ".TSLA160520P420")</f>
        <v>-0.82</v>
      </c>
      <c r="T77">
        <f t="shared" si="0"/>
        <v>254.3</v>
      </c>
      <c r="U77">
        <f t="shared" si="1"/>
        <v>420</v>
      </c>
      <c r="V77" s="1">
        <v>0.43430000000000002</v>
      </c>
      <c r="W77" s="1">
        <v>5.0000000000000001E-3</v>
      </c>
      <c r="X77" s="1">
        <v>0</v>
      </c>
      <c r="Y77" s="2">
        <v>27</v>
      </c>
      <c r="Z77" s="1">
        <f t="shared" si="2"/>
        <v>0.108</v>
      </c>
      <c r="AA77" s="3">
        <f t="shared" si="3"/>
        <v>-0.50174003884934004</v>
      </c>
      <c r="AB77" s="3">
        <f t="shared" si="4"/>
        <v>1.0725290460000002E-2</v>
      </c>
      <c r="AC77" s="3">
        <f t="shared" si="5"/>
        <v>0.1427255440346962</v>
      </c>
      <c r="AD77" s="3">
        <f t="shared" si="6"/>
        <v>-3.4402723892926672</v>
      </c>
      <c r="AE77" s="3">
        <f t="shared" si="7"/>
        <v>-3.5829979333273636</v>
      </c>
      <c r="AF77">
        <f t="shared" si="8"/>
        <v>2.9056450088749131E-4</v>
      </c>
      <c r="AG77">
        <f t="shared" si="9"/>
        <v>0.99970943549911251</v>
      </c>
      <c r="AH77">
        <f t="shared" si="10"/>
        <v>1.6983664811442978E-4</v>
      </c>
      <c r="AI77">
        <f t="shared" si="11"/>
        <v>0.99983016335188557</v>
      </c>
      <c r="AJ77">
        <f t="shared" si="12"/>
        <v>0.99946014577375952</v>
      </c>
      <c r="AK77">
        <f t="shared" si="13"/>
        <v>419.77326122497902</v>
      </c>
      <c r="AL77">
        <f t="shared" si="14"/>
        <v>1</v>
      </c>
      <c r="AM77">
        <f t="shared" si="15"/>
        <v>254.3</v>
      </c>
      <c r="AN77">
        <f t="shared" si="16"/>
        <v>2.5976689211756609E-3</v>
      </c>
      <c r="AO77">
        <f t="shared" si="17"/>
        <v>-0.49740233107882437</v>
      </c>
      <c r="AP77">
        <f t="shared" si="18"/>
        <v>2.9056450088749131E-4</v>
      </c>
      <c r="AQ77">
        <f t="shared" si="19"/>
        <v>2.9581585653387192E-5</v>
      </c>
      <c r="AR77">
        <f t="shared" si="20"/>
        <v>-7.201904572190455E-4</v>
      </c>
      <c r="AS77">
        <f t="shared" si="21"/>
        <v>8.9727951909373475E-4</v>
      </c>
      <c r="AT77">
        <f t="shared" si="22"/>
        <v>7.6996314346874437E-5</v>
      </c>
      <c r="AU77">
        <f t="shared" si="23"/>
        <v>165.47585889390018</v>
      </c>
      <c r="AV77">
        <f t="shared" si="24"/>
        <v>-3.9241411060998246</v>
      </c>
      <c r="AW77">
        <f t="shared" si="25"/>
        <v>-0.99970943549911251</v>
      </c>
      <c r="AX77">
        <f t="shared" si="26"/>
        <v>2.9581585653387192E-5</v>
      </c>
      <c r="AY77">
        <f t="shared" si="27"/>
        <v>7.6418266986570315E-3</v>
      </c>
      <c r="AZ77">
        <f t="shared" si="28"/>
        <v>8.9727951909373475E-4</v>
      </c>
      <c r="BA77">
        <f t="shared" si="29"/>
        <v>-0.45327812580863042</v>
      </c>
    </row>
    <row r="78" spans="3:53">
      <c r="C78" t="str">
        <f>RTD("tos.rtd", , "IMPL_VOL", ".TSLA160520C430")</f>
        <v>66.88%</v>
      </c>
      <c r="D78" t="str">
        <f>RTD("tos.rtd", , "PROB_OTM", ".TSLA160520C430")</f>
        <v>99.45%</v>
      </c>
      <c r="E78">
        <f>RTD("tos.rtd", , "DELTA", ".TSLA160520C430")</f>
        <v>0.01</v>
      </c>
      <c r="F78">
        <f>RTD("tos.rtd", , "BID", ".TSLA160520C430")</f>
        <v>0</v>
      </c>
      <c r="G78" t="str">
        <f>RTD("tos.rtd", , "BX", ".TSLA160520C430")</f>
        <v>W</v>
      </c>
      <c r="H78">
        <f>RTD("tos.rtd", , "ASK", ".TSLA160520C430")</f>
        <v>0.35</v>
      </c>
      <c r="I78" t="str">
        <f>RTD("tos.rtd", , "AX", ".TSLA160520C430")</f>
        <v>H</v>
      </c>
      <c r="J78" t="str">
        <f>RTD("tos.rtd", , "EXPIRATION_DAY", ".TSLA160520C430")</f>
        <v>2016-05-21</v>
      </c>
      <c r="K78">
        <f>RTD("tos.rtd", , "STRIKE", ".TSLA160520C430")</f>
        <v>430</v>
      </c>
      <c r="L78">
        <f>RTD("tos.rtd", , "BID", ".TSLA160520P430")</f>
        <v>176</v>
      </c>
      <c r="M78" t="str">
        <f>RTD("tos.rtd", , "BX", ".TSLA160520P430")</f>
        <v>H</v>
      </c>
      <c r="N78">
        <f>RTD("tos.rtd", , "ASK", ".TSLA160520P430")</f>
        <v>179.2</v>
      </c>
      <c r="O78" t="str">
        <f>RTD("tos.rtd", , "AX", ".TSLA160520P430")</f>
        <v>I</v>
      </c>
      <c r="P78" t="str">
        <f>RTD("tos.rtd", , "IMPL_VOL", ".TSLA160520P430")</f>
        <v>118.83%</v>
      </c>
      <c r="Q78" t="str">
        <f>RTD("tos.rtd", , "PROB_OTM", ".TSLA160520P430")</f>
        <v>5.93%</v>
      </c>
      <c r="R78">
        <f>RTD("tos.rtd", , "DELTA", ".TSLA160520P430")</f>
        <v>-0.82</v>
      </c>
      <c r="T78">
        <f t="shared" si="0"/>
        <v>254.3</v>
      </c>
      <c r="U78">
        <f t="shared" si="1"/>
        <v>430</v>
      </c>
      <c r="V78" s="1">
        <v>0.43430000000000002</v>
      </c>
      <c r="W78" s="1">
        <v>5.0000000000000001E-3</v>
      </c>
      <c r="X78" s="1">
        <v>0</v>
      </c>
      <c r="Y78" s="2">
        <v>27</v>
      </c>
      <c r="Z78" s="1">
        <f t="shared" si="2"/>
        <v>0.108</v>
      </c>
      <c r="AA78" s="3">
        <f t="shared" si="3"/>
        <v>-0.52527053625953413</v>
      </c>
      <c r="AB78" s="3">
        <f t="shared" si="4"/>
        <v>1.0725290460000002E-2</v>
      </c>
      <c r="AC78" s="3">
        <f t="shared" si="5"/>
        <v>0.1427255440346962</v>
      </c>
      <c r="AD78" s="3">
        <f t="shared" si="6"/>
        <v>-3.6051377437696051</v>
      </c>
      <c r="AE78" s="3">
        <f t="shared" si="7"/>
        <v>-3.7478632878043014</v>
      </c>
      <c r="AF78">
        <f t="shared" si="8"/>
        <v>1.5599370367336274E-4</v>
      </c>
      <c r="AG78">
        <f t="shared" si="9"/>
        <v>0.99984400629632664</v>
      </c>
      <c r="AH78">
        <f t="shared" si="10"/>
        <v>8.9173706554701582E-5</v>
      </c>
      <c r="AI78">
        <f t="shared" si="11"/>
        <v>0.9999108262934453</v>
      </c>
      <c r="AJ78">
        <f t="shared" si="12"/>
        <v>0.99946014577375952</v>
      </c>
      <c r="AK78">
        <f t="shared" si="13"/>
        <v>429.76786268271661</v>
      </c>
      <c r="AL78">
        <f t="shared" si="14"/>
        <v>1</v>
      </c>
      <c r="AM78">
        <f t="shared" si="15"/>
        <v>254.3</v>
      </c>
      <c r="AN78">
        <f t="shared" si="16"/>
        <v>1.3452055706262914E-3</v>
      </c>
      <c r="AO78">
        <f t="shared" si="17"/>
        <v>-0.34865479442937369</v>
      </c>
      <c r="AP78">
        <f t="shared" si="18"/>
        <v>1.5599370367336274E-4</v>
      </c>
      <c r="AQ78">
        <f t="shared" si="19"/>
        <v>1.6549899709003155E-5</v>
      </c>
      <c r="AR78">
        <f t="shared" si="20"/>
        <v>-4.0289116168506052E-4</v>
      </c>
      <c r="AS78">
        <f t="shared" si="21"/>
        <v>5.0199763548657256E-4</v>
      </c>
      <c r="AT78">
        <f t="shared" si="22"/>
        <v>4.1389912735390645E-5</v>
      </c>
      <c r="AU78">
        <f t="shared" si="23"/>
        <v>175.4692078882872</v>
      </c>
      <c r="AV78">
        <f t="shared" si="24"/>
        <v>-3.7307921117127876</v>
      </c>
      <c r="AW78">
        <f t="shared" si="25"/>
        <v>-0.99984400629632664</v>
      </c>
      <c r="AX78">
        <f t="shared" si="26"/>
        <v>1.6549899709003155E-5</v>
      </c>
      <c r="AY78">
        <f t="shared" si="27"/>
        <v>8.1582216407594943E-3</v>
      </c>
      <c r="AZ78">
        <f t="shared" si="28"/>
        <v>5.0199763548657256E-4</v>
      </c>
      <c r="BA78">
        <f t="shared" si="29"/>
        <v>-0.46410790178459849</v>
      </c>
    </row>
    <row r="79" spans="3:53">
      <c r="C79" t="str">
        <f>RTD("tos.rtd", , "IMPL_VOL", ".TSLA160520C440")</f>
        <v>82.38%</v>
      </c>
      <c r="D79" t="str">
        <f>RTD("tos.rtd", , "PROB_OTM", ".TSLA160520C440")</f>
        <v>98.59%</v>
      </c>
      <c r="E79">
        <f>RTD("tos.rtd", , "DELTA", ".TSLA160520C440")</f>
        <v>0.03</v>
      </c>
      <c r="F79">
        <f>RTD("tos.rtd", , "BID", ".TSLA160520C440")</f>
        <v>0</v>
      </c>
      <c r="G79" t="str">
        <f>RTD("tos.rtd", , "BX", ".TSLA160520C440")</f>
        <v>Q</v>
      </c>
      <c r="H79">
        <f>RTD("tos.rtd", , "ASK", ".TSLA160520C440")</f>
        <v>1.27</v>
      </c>
      <c r="I79" t="str">
        <f>RTD("tos.rtd", , "AX", ".TSLA160520C440")</f>
        <v>M</v>
      </c>
      <c r="J79" t="str">
        <f>RTD("tos.rtd", , "EXPIRATION_DAY", ".TSLA160520C440")</f>
        <v>2016-05-21</v>
      </c>
      <c r="K79">
        <f>RTD("tos.rtd", , "STRIKE", ".TSLA160520C440")</f>
        <v>440</v>
      </c>
      <c r="L79">
        <f>RTD("tos.rtd", , "BID", ".TSLA160520P440")</f>
        <v>185.65</v>
      </c>
      <c r="M79" t="str">
        <f>RTD("tos.rtd", , "BX", ".TSLA160520P440")</f>
        <v>T</v>
      </c>
      <c r="N79">
        <f>RTD("tos.rtd", , "ASK", ".TSLA160520P440")</f>
        <v>189.15</v>
      </c>
      <c r="O79" t="str">
        <f>RTD("tos.rtd", , "AX", ".TSLA160520P440")</f>
        <v>H</v>
      </c>
      <c r="P79" t="str">
        <f>RTD("tos.rtd", , "IMPL_VOL", ".TSLA160520P440")</f>
        <v>123.58%</v>
      </c>
      <c r="Q79" t="str">
        <f>RTD("tos.rtd", , "PROB_OTM", ".TSLA160520P440")</f>
        <v>5.78%</v>
      </c>
      <c r="R79">
        <f>RTD("tos.rtd", , "DELTA", ".TSLA160520P440")</f>
        <v>-0.81</v>
      </c>
      <c r="T79">
        <f t="shared" si="0"/>
        <v>254.3</v>
      </c>
      <c r="U79">
        <f t="shared" si="1"/>
        <v>440</v>
      </c>
      <c r="V79" s="1">
        <v>0.43430000000000002</v>
      </c>
      <c r="W79" s="1">
        <v>5.0000000000000001E-3</v>
      </c>
      <c r="X79" s="1">
        <v>0</v>
      </c>
      <c r="Y79" s="2">
        <v>27</v>
      </c>
      <c r="Z79" s="1">
        <f t="shared" si="2"/>
        <v>0.108</v>
      </c>
      <c r="AA79" s="3">
        <f t="shared" si="3"/>
        <v>-0.54826005448423287</v>
      </c>
      <c r="AB79" s="3">
        <f t="shared" si="4"/>
        <v>1.0725290460000002E-2</v>
      </c>
      <c r="AC79" s="3">
        <f t="shared" si="5"/>
        <v>0.1427255440346962</v>
      </c>
      <c r="AD79" s="3">
        <f t="shared" si="6"/>
        <v>-3.7662127523126454</v>
      </c>
      <c r="AE79" s="3">
        <f t="shared" si="7"/>
        <v>-3.9089382963473418</v>
      </c>
      <c r="AF79">
        <f t="shared" si="8"/>
        <v>8.287128593376103E-5</v>
      </c>
      <c r="AG79">
        <f t="shared" si="9"/>
        <v>0.99991712871406624</v>
      </c>
      <c r="AH79">
        <f t="shared" si="10"/>
        <v>4.6351317931181413E-5</v>
      </c>
      <c r="AI79">
        <f t="shared" si="11"/>
        <v>0.99995364868206882</v>
      </c>
      <c r="AJ79">
        <f t="shared" si="12"/>
        <v>0.99946014577375952</v>
      </c>
      <c r="AK79">
        <f t="shared" si="13"/>
        <v>439.7624641404542</v>
      </c>
      <c r="AL79">
        <f t="shared" si="14"/>
        <v>1</v>
      </c>
      <c r="AM79">
        <f t="shared" si="15"/>
        <v>254.3</v>
      </c>
      <c r="AN79">
        <f t="shared" si="16"/>
        <v>6.9059822338147017E-4</v>
      </c>
      <c r="AO79">
        <f t="shared" si="17"/>
        <v>-1.2693094017766184</v>
      </c>
      <c r="AP79">
        <f t="shared" si="18"/>
        <v>8.287128593376103E-5</v>
      </c>
      <c r="AQ79">
        <f t="shared" si="19"/>
        <v>9.1404522985573387E-6</v>
      </c>
      <c r="AR79">
        <f t="shared" si="20"/>
        <v>-2.2249980300698176E-4</v>
      </c>
      <c r="AS79">
        <f t="shared" si="21"/>
        <v>2.7725155570927434E-4</v>
      </c>
      <c r="AT79">
        <f t="shared" si="22"/>
        <v>2.2014255372739868E-5</v>
      </c>
      <c r="AU79">
        <f t="shared" si="23"/>
        <v>185.46315473867753</v>
      </c>
      <c r="AV79">
        <f t="shared" si="24"/>
        <v>-3.6868452613224747</v>
      </c>
      <c r="AW79">
        <f t="shared" si="25"/>
        <v>-0.99991712871406624</v>
      </c>
      <c r="AX79">
        <f t="shared" si="26"/>
        <v>9.1404522985573387E-6</v>
      </c>
      <c r="AY79">
        <f t="shared" si="27"/>
        <v>8.5377086460060505E-3</v>
      </c>
      <c r="AZ79">
        <f t="shared" si="28"/>
        <v>2.7725155570927434E-4</v>
      </c>
      <c r="BA79">
        <f t="shared" si="29"/>
        <v>-0.47492144701631772</v>
      </c>
    </row>
    <row r="80" spans="3:53">
      <c r="C80" t="str">
        <f>RTD("tos.rtd", , "IMPL_VOL", ".TSLA160520C450")</f>
        <v>83.66%</v>
      </c>
      <c r="D80" t="str">
        <f>RTD("tos.rtd", , "PROB_OTM", ".TSLA160520C450")</f>
        <v>98.77%</v>
      </c>
      <c r="E80">
        <f>RTD("tos.rtd", , "DELTA", ".TSLA160520C450")</f>
        <v>0.02</v>
      </c>
      <c r="F80">
        <f>RTD("tos.rtd", , "BID", ".TSLA160520C450")</f>
        <v>0</v>
      </c>
      <c r="G80" t="str">
        <f>RTD("tos.rtd", , "BX", ".TSLA160520C450")</f>
        <v>W</v>
      </c>
      <c r="H80">
        <f>RTD("tos.rtd", , "ASK", ".TSLA160520C450")</f>
        <v>1.1299999999999999</v>
      </c>
      <c r="I80" t="str">
        <f>RTD("tos.rtd", , "AX", ".TSLA160520C450")</f>
        <v>C</v>
      </c>
      <c r="J80" t="str">
        <f>RTD("tos.rtd", , "EXPIRATION_DAY", ".TSLA160520C450")</f>
        <v>2016-05-21</v>
      </c>
      <c r="K80">
        <f>RTD("tos.rtd", , "STRIKE", ".TSLA160520C450")</f>
        <v>450</v>
      </c>
      <c r="L80">
        <f>RTD("tos.rtd", , "BID", ".TSLA160520P450")</f>
        <v>195.9</v>
      </c>
      <c r="M80" t="str">
        <f>RTD("tos.rtd", , "BX", ".TSLA160520P450")</f>
        <v>A</v>
      </c>
      <c r="N80">
        <f>RTD("tos.rtd", , "ASK", ".TSLA160520P450")</f>
        <v>199.05</v>
      </c>
      <c r="O80" t="str">
        <f>RTD("tos.rtd", , "AX", ".TSLA160520P450")</f>
        <v>M</v>
      </c>
      <c r="P80" t="str">
        <f>RTD("tos.rtd", , "IMPL_VOL", ".TSLA160520P450")</f>
        <v>129.89%</v>
      </c>
      <c r="Q80" t="str">
        <f>RTD("tos.rtd", , "PROB_OTM", ".TSLA160520P450")</f>
        <v>5.81%</v>
      </c>
      <c r="R80">
        <f>RTD("tos.rtd", , "DELTA", ".TSLA160520P450")</f>
        <v>-0.8</v>
      </c>
      <c r="T80">
        <f t="shared" ref="T80:T83" si="30">$A$4</f>
        <v>254.3</v>
      </c>
      <c r="U80">
        <f t="shared" ref="U80:U83" si="31">K80</f>
        <v>450</v>
      </c>
      <c r="V80" s="1">
        <v>0.43430000000000002</v>
      </c>
      <c r="W80" s="1">
        <v>5.0000000000000001E-3</v>
      </c>
      <c r="X80" s="1">
        <v>0</v>
      </c>
      <c r="Y80" s="2">
        <v>27</v>
      </c>
      <c r="Z80" s="1">
        <f t="shared" ref="Z80:Z83" si="32">Y80/250</f>
        <v>0.108</v>
      </c>
      <c r="AA80" s="3">
        <f t="shared" ref="AA80:AA83" si="33">LN(T80/U80)</f>
        <v>-0.57073291033629148</v>
      </c>
      <c r="AB80" s="3">
        <f t="shared" ref="AB80:AB83" si="34">(W80-X80+POWER(V80,2)/2)*Z80</f>
        <v>1.0725290460000002E-2</v>
      </c>
      <c r="AC80" s="3">
        <f t="shared" ref="AC80:AC83" si="35">V80*SQRT(Z80)</f>
        <v>0.1427255440346962</v>
      </c>
      <c r="AD80" s="3">
        <f t="shared" ref="AD80:AD83" si="36">(AA80+AB80)/AC80</f>
        <v>-3.9236677895594854</v>
      </c>
      <c r="AE80" s="3">
        <f t="shared" ref="AE80:AE83" si="37">AD80-AC80</f>
        <v>-4.0663933335941813</v>
      </c>
      <c r="AF80">
        <f t="shared" ref="AF80:AF83" si="38">NORMDIST(AD80,0,1,TRUE)</f>
        <v>4.3605487885400862E-5</v>
      </c>
      <c r="AG80">
        <f t="shared" ref="AG80:AG83" si="39">NORMDIST(-1*AD80,0,1,TRUE)</f>
        <v>0.9999563945121146</v>
      </c>
      <c r="AH80">
        <f t="shared" ref="AH80:AH83" si="40">NORMDIST(AE80,0,1,TRUE)</f>
        <v>2.387316188579014E-5</v>
      </c>
      <c r="AI80">
        <f t="shared" ref="AI80:AI83" si="41">NORMDIST(-1*AE80,0,1,TRUE)</f>
        <v>0.99997612683811421</v>
      </c>
      <c r="AJ80">
        <f t="shared" ref="AJ80:AJ83" si="42">EXP(-W80*Z80)</f>
        <v>0.99946014577375952</v>
      </c>
      <c r="AK80">
        <f t="shared" ref="AK80:AK83" si="43">U80*AJ80</f>
        <v>449.75706559819179</v>
      </c>
      <c r="AL80">
        <f t="shared" ref="AL80:AL83" si="44">EXP(-X80*Z80)</f>
        <v>1</v>
      </c>
      <c r="AM80">
        <f t="shared" ref="AM80:AM83" si="45">T80*AL80</f>
        <v>254.3</v>
      </c>
      <c r="AN80">
        <f t="shared" ref="AN80:AN83" si="46">AM80*AF80-AK80*AH80</f>
        <v>3.5175233295387139E-4</v>
      </c>
      <c r="AO80">
        <f t="shared" ref="AO80:AO83" si="47">AN80-H80</f>
        <v>-1.129648247667046</v>
      </c>
      <c r="AP80">
        <f t="shared" ref="AP80:AP83" si="48">AL80*AF80</f>
        <v>4.3605487885400862E-5</v>
      </c>
      <c r="AQ80">
        <f t="shared" ref="AQ80:AQ83" si="49">EXP(-1*POWER(AD80,2)/2)/SQRT(2*PI())*AL80/(T80*AC80)</f>
        <v>4.989345088140969E-6</v>
      </c>
      <c r="AR80">
        <f t="shared" ref="AR80:AR83" si="50">(-(T80*EXP(-1*POWER(AD80,2)/2)/SQRT(2*PI())*V80*AL80/ (2*SQRT(Z80)))-(W80*AK80*AH80)+(X80*T80*AF80*AL80))/ 251</f>
        <v>-1.2144447304270232E-4</v>
      </c>
      <c r="AS80">
        <f t="shared" ref="AS80:AS83" si="51">EXP(-1*POWER(AD80,2)/2)/SQRT(2*PI())*AL80*T80*SQRT(Z80)/100</f>
        <v>1.5133864741855723E-4</v>
      </c>
      <c r="AT80">
        <f t="shared" ref="AT80:AT83" si="52">U80*Z80*AJ80*AH80/100</f>
        <v>1.1596093095207853E-5</v>
      </c>
      <c r="AU80">
        <f t="shared" ref="AU80:AU83" si="53">AK80*AI80-AM80*AG80</f>
        <v>195.45741735052474</v>
      </c>
      <c r="AV80">
        <f t="shared" ref="AV80:AV83" si="54">AU80-N80</f>
        <v>-3.5925826494752755</v>
      </c>
      <c r="AW80">
        <f t="shared" ref="AW80:AW83" si="55">AL80*(AF80-1)</f>
        <v>-0.9999563945121146</v>
      </c>
      <c r="AX80">
        <f t="shared" ref="AX80:AX83" si="56">EXP(-1*POWER(AD80,2)/2)/SQRT(2*PI())*AL80/(T80*AC80)</f>
        <v>4.989345088140969E-6</v>
      </c>
      <c r="AY80">
        <f t="shared" ref="AY80:AY83" si="57">(-(T80*EXP(-1*POWER(AD80,2)/2)/SQRT(2*PI())*V80*AL80/ (2*SQRT(Z80)))+(W80*AK80*AI80)-(X80*T80*AG80*AL80))/251</f>
        <v>8.837859622538807E-3</v>
      </c>
      <c r="AZ80">
        <f t="shared" ref="AZ80:AZ83" si="58">EXP(-1*POWER(AD80,2)/2)/SQRT(2*PI())*AL80*T80*SQRT(Z80)/100</f>
        <v>1.5133864741855723E-4</v>
      </c>
      <c r="BA80">
        <f t="shared" ref="BA80:BA83" si="59">-U80*Z80*AJ80*AI80/100</f>
        <v>-0.48572603475295195</v>
      </c>
    </row>
    <row r="81" spans="1:53">
      <c r="C81" t="str">
        <f>RTD("tos.rtd", , "IMPL_VOL", ".TSLA160520C460")</f>
        <v>65.00%</v>
      </c>
      <c r="D81" t="str">
        <f>RTD("tos.rtd", , "PROB_OTM", ".TSLA160520C460")</f>
        <v>99.83%</v>
      </c>
      <c r="E81">
        <f>RTD("tos.rtd", , "DELTA", ".TSLA160520C460")</f>
        <v>0</v>
      </c>
      <c r="F81">
        <f>RTD("tos.rtd", , "BID", ".TSLA160520C460")</f>
        <v>0</v>
      </c>
      <c r="G81" t="str">
        <f>RTD("tos.rtd", , "BX", ".TSLA160520C460")</f>
        <v>Z</v>
      </c>
      <c r="H81">
        <f>RTD("tos.rtd", , "ASK", ".TSLA160520C460")</f>
        <v>0.1</v>
      </c>
      <c r="I81" t="str">
        <f>RTD("tos.rtd", , "AX", ".TSLA160520C460")</f>
        <v>Z</v>
      </c>
      <c r="J81" t="str">
        <f>RTD("tos.rtd", , "EXPIRATION_DAY", ".TSLA160520C460")</f>
        <v>2016-05-21</v>
      </c>
      <c r="K81">
        <f>RTD("tos.rtd", , "STRIKE", ".TSLA160520C460")</f>
        <v>460</v>
      </c>
      <c r="L81">
        <f>RTD("tos.rtd", , "BID", ".TSLA160520P460")</f>
        <v>205.85</v>
      </c>
      <c r="M81" t="str">
        <f>RTD("tos.rtd", , "BX", ".TSLA160520P460")</f>
        <v>H</v>
      </c>
      <c r="N81">
        <f>RTD("tos.rtd", , "ASK", ".TSLA160520P460")</f>
        <v>209.1</v>
      </c>
      <c r="O81" t="str">
        <f>RTD("tos.rtd", , "AX", ".TSLA160520P460")</f>
        <v>I</v>
      </c>
      <c r="P81" t="str">
        <f>RTD("tos.rtd", , "IMPL_VOL", ".TSLA160520P460")</f>
        <v>135.79%</v>
      </c>
      <c r="Q81" t="str">
        <f>RTD("tos.rtd", , "PROB_OTM", ".TSLA160520P460")</f>
        <v>5.81%</v>
      </c>
      <c r="R81">
        <f>RTD("tos.rtd", , "DELTA", ".TSLA160520P460")</f>
        <v>-0.8</v>
      </c>
      <c r="T81">
        <f t="shared" si="30"/>
        <v>254.3</v>
      </c>
      <c r="U81">
        <f t="shared" si="31"/>
        <v>460</v>
      </c>
      <c r="V81" s="1">
        <v>0.43430000000000002</v>
      </c>
      <c r="W81" s="1">
        <v>5.0000000000000001E-3</v>
      </c>
      <c r="X81" s="1">
        <v>0</v>
      </c>
      <c r="Y81" s="2">
        <v>27</v>
      </c>
      <c r="Z81" s="1">
        <f t="shared" si="32"/>
        <v>0.108</v>
      </c>
      <c r="AA81" s="3">
        <f t="shared" si="33"/>
        <v>-0.59271181705506659</v>
      </c>
      <c r="AB81" s="3">
        <f t="shared" si="34"/>
        <v>1.0725290460000002E-2</v>
      </c>
      <c r="AC81" s="3">
        <f t="shared" si="35"/>
        <v>0.1427255440346962</v>
      </c>
      <c r="AD81" s="3">
        <f t="shared" si="36"/>
        <v>-4.0776619947834085</v>
      </c>
      <c r="AE81" s="3">
        <f t="shared" si="37"/>
        <v>-4.2203875388181045</v>
      </c>
      <c r="AF81">
        <f t="shared" si="38"/>
        <v>2.2745416901281956E-5</v>
      </c>
      <c r="AG81">
        <f t="shared" si="39"/>
        <v>0.99997725458309872</v>
      </c>
      <c r="AH81">
        <f t="shared" si="40"/>
        <v>1.2194134958898317E-5</v>
      </c>
      <c r="AI81">
        <f t="shared" si="41"/>
        <v>0.9999878058650411</v>
      </c>
      <c r="AJ81">
        <f t="shared" si="42"/>
        <v>0.99946014577375952</v>
      </c>
      <c r="AK81">
        <f t="shared" si="43"/>
        <v>459.75166705592937</v>
      </c>
      <c r="AL81">
        <f t="shared" si="44"/>
        <v>1</v>
      </c>
      <c r="AM81">
        <f t="shared" si="45"/>
        <v>254.3</v>
      </c>
      <c r="AN81">
        <f t="shared" si="46"/>
        <v>1.7788564233751306E-4</v>
      </c>
      <c r="AO81">
        <f t="shared" si="47"/>
        <v>-9.9822114357662486E-2</v>
      </c>
      <c r="AP81">
        <f t="shared" si="48"/>
        <v>2.2745416901281956E-5</v>
      </c>
      <c r="AQ81">
        <f t="shared" si="49"/>
        <v>2.6945344560310838E-6</v>
      </c>
      <c r="AR81">
        <f t="shared" si="50"/>
        <v>-6.5583195698989049E-5</v>
      </c>
      <c r="AS81">
        <f t="shared" si="51"/>
        <v>8.1731608616870342E-5</v>
      </c>
      <c r="AT81">
        <f t="shared" si="52"/>
        <v>6.0547757857111678E-6</v>
      </c>
      <c r="AU81">
        <f t="shared" si="53"/>
        <v>205.45184494157166</v>
      </c>
      <c r="AV81">
        <f t="shared" si="54"/>
        <v>-3.6481550584283298</v>
      </c>
      <c r="AW81">
        <f t="shared" si="55"/>
        <v>-0.99997725458309872</v>
      </c>
      <c r="AX81">
        <f t="shared" si="56"/>
        <v>2.6945344560310838E-6</v>
      </c>
      <c r="AY81">
        <f t="shared" si="57"/>
        <v>9.0928165464510009E-3</v>
      </c>
      <c r="AZ81">
        <f t="shared" si="58"/>
        <v>8.1731608616870342E-5</v>
      </c>
      <c r="BA81">
        <f t="shared" si="59"/>
        <v>-0.49652574564461799</v>
      </c>
    </row>
    <row r="82" spans="1:53">
      <c r="C82" t="str">
        <f>RTD("tos.rtd", , "IMPL_VOL", ".TSLA160520C470")</f>
        <v>67.11%</v>
      </c>
      <c r="D82" t="str">
        <f>RTD("tos.rtd", , "PROB_OTM", ".TSLA160520C470")</f>
        <v>99.84%</v>
      </c>
      <c r="E82">
        <f>RTD("tos.rtd", , "DELTA", ".TSLA160520C470")</f>
        <v>0</v>
      </c>
      <c r="F82">
        <f>RTD("tos.rtd", , "BID", ".TSLA160520C470")</f>
        <v>0</v>
      </c>
      <c r="G82" t="str">
        <f>RTD("tos.rtd", , "BX", ".TSLA160520C470")</f>
        <v>W</v>
      </c>
      <c r="H82">
        <f>RTD("tos.rtd", , "ASK", ".TSLA160520C470")</f>
        <v>0.1</v>
      </c>
      <c r="I82" t="str">
        <f>RTD("tos.rtd", , "AX", ".TSLA160520C470")</f>
        <v>Q</v>
      </c>
      <c r="J82" t="str">
        <f>RTD("tos.rtd", , "EXPIRATION_DAY", ".TSLA160520C470")</f>
        <v>2016-05-21</v>
      </c>
      <c r="K82">
        <f>RTD("tos.rtd", , "STRIKE", ".TSLA160520C470")</f>
        <v>470</v>
      </c>
      <c r="L82">
        <f>RTD("tos.rtd", , "BID", ".TSLA160520P470")</f>
        <v>215.9</v>
      </c>
      <c r="M82" t="str">
        <f>RTD("tos.rtd", , "BX", ".TSLA160520P470")</f>
        <v>I</v>
      </c>
      <c r="N82">
        <f>RTD("tos.rtd", , "ASK", ".TSLA160520P470")</f>
        <v>219.1</v>
      </c>
      <c r="O82" t="str">
        <f>RTD("tos.rtd", , "AX", ".TSLA160520P470")</f>
        <v>I</v>
      </c>
      <c r="P82" t="str">
        <f>RTD("tos.rtd", , "IMPL_VOL", ".TSLA160520P470")</f>
        <v>141.84%</v>
      </c>
      <c r="Q82" t="str">
        <f>RTD("tos.rtd", , "PROB_OTM", ".TSLA160520P470")</f>
        <v>5.82%</v>
      </c>
      <c r="R82">
        <f>RTD("tos.rtd", , "DELTA", ".TSLA160520P470")</f>
        <v>-0.79</v>
      </c>
      <c r="T82">
        <f t="shared" si="30"/>
        <v>254.3</v>
      </c>
      <c r="U82">
        <f t="shared" si="31"/>
        <v>470</v>
      </c>
      <c r="V82" s="1">
        <v>0.43430000000000002</v>
      </c>
      <c r="W82" s="1">
        <v>5.0000000000000001E-3</v>
      </c>
      <c r="X82" s="1">
        <v>0</v>
      </c>
      <c r="Y82" s="2">
        <v>27</v>
      </c>
      <c r="Z82" s="1">
        <f t="shared" si="32"/>
        <v>0.108</v>
      </c>
      <c r="AA82" s="3">
        <f t="shared" si="33"/>
        <v>-0.61421802227603017</v>
      </c>
      <c r="AB82" s="3">
        <f t="shared" si="34"/>
        <v>1.0725290460000002E-2</v>
      </c>
      <c r="AC82" s="3">
        <f t="shared" si="35"/>
        <v>0.1427255440346962</v>
      </c>
      <c r="AD82" s="3">
        <f t="shared" si="36"/>
        <v>-4.2283442385710766</v>
      </c>
      <c r="AE82" s="3">
        <f t="shared" si="37"/>
        <v>-4.3710697826057725</v>
      </c>
      <c r="AF82">
        <f t="shared" si="38"/>
        <v>1.1770870515293019E-5</v>
      </c>
      <c r="AG82">
        <f t="shared" si="39"/>
        <v>0.99998822912948471</v>
      </c>
      <c r="AH82">
        <f t="shared" si="40"/>
        <v>6.1819633687676401E-6</v>
      </c>
      <c r="AI82">
        <f t="shared" si="41"/>
        <v>0.99999381803663123</v>
      </c>
      <c r="AJ82">
        <f t="shared" si="42"/>
        <v>0.99946014577375952</v>
      </c>
      <c r="AK82">
        <f t="shared" si="43"/>
        <v>469.74626851366696</v>
      </c>
      <c r="AL82">
        <f t="shared" si="44"/>
        <v>1</v>
      </c>
      <c r="AM82">
        <f t="shared" si="45"/>
        <v>254.3</v>
      </c>
      <c r="AN82">
        <f t="shared" si="46"/>
        <v>8.9378147472238181E-5</v>
      </c>
      <c r="AO82">
        <f t="shared" si="47"/>
        <v>-9.9910621852527762E-2</v>
      </c>
      <c r="AP82">
        <f t="shared" si="48"/>
        <v>1.1770870515293019E-5</v>
      </c>
      <c r="AQ82">
        <f t="shared" si="49"/>
        <v>1.4411503052275233E-6</v>
      </c>
      <c r="AR82">
        <f t="shared" si="50"/>
        <v>-3.5074767371842329E-5</v>
      </c>
      <c r="AS82">
        <f t="shared" si="51"/>
        <v>4.3713500282506827E-5</v>
      </c>
      <c r="AT82">
        <f t="shared" si="52"/>
        <v>3.1362705625321193E-6</v>
      </c>
      <c r="AU82">
        <f t="shared" si="53"/>
        <v>215.44635789181442</v>
      </c>
      <c r="AV82">
        <f t="shared" si="54"/>
        <v>-3.6536421081855792</v>
      </c>
      <c r="AW82">
        <f t="shared" si="55"/>
        <v>-0.99998822912948471</v>
      </c>
      <c r="AX82">
        <f t="shared" si="56"/>
        <v>1.4411503052275233E-6</v>
      </c>
      <c r="AY82">
        <f t="shared" si="57"/>
        <v>9.3224206213466231E-3</v>
      </c>
      <c r="AZ82">
        <f t="shared" si="58"/>
        <v>4.3713500282506827E-5</v>
      </c>
      <c r="BA82">
        <f t="shared" si="59"/>
        <v>-0.50732283372419784</v>
      </c>
    </row>
    <row r="83" spans="1:53">
      <c r="C83" t="str">
        <f>RTD("tos.rtd", , "IMPL_VOL", ".TSLA160520C480")</f>
        <v>69.10%</v>
      </c>
      <c r="D83" t="str">
        <f>RTD("tos.rtd", , "PROB_OTM", ".TSLA160520C480")</f>
        <v>99.85%</v>
      </c>
      <c r="E83">
        <f>RTD("tos.rtd", , "DELTA", ".TSLA160520C480")</f>
        <v>0</v>
      </c>
      <c r="F83">
        <f>RTD("tos.rtd", , "BID", ".TSLA160520C480")</f>
        <v>0</v>
      </c>
      <c r="G83" t="str">
        <f>RTD("tos.rtd", , "BX", ".TSLA160520C480")</f>
        <v>W</v>
      </c>
      <c r="H83">
        <f>RTD("tos.rtd", , "ASK", ".TSLA160520C480")</f>
        <v>0.1</v>
      </c>
      <c r="I83" t="str">
        <f>RTD("tos.rtd", , "AX", ".TSLA160520C480")</f>
        <v>Q</v>
      </c>
      <c r="J83" t="str">
        <f>RTD("tos.rtd", , "EXPIRATION_DAY", ".TSLA160520C480")</f>
        <v>2016-05-21</v>
      </c>
      <c r="K83">
        <f>RTD("tos.rtd", , "STRIKE", ".TSLA160520C480")</f>
        <v>480</v>
      </c>
      <c r="L83">
        <f>RTD("tos.rtd", , "BID", ".TSLA160520P480")</f>
        <v>225.6</v>
      </c>
      <c r="M83" t="str">
        <f>RTD("tos.rtd", , "BX", ".TSLA160520P480")</f>
        <v>A</v>
      </c>
      <c r="N83">
        <f>RTD("tos.rtd", , "ASK", ".TSLA160520P480")</f>
        <v>229.1</v>
      </c>
      <c r="O83" t="str">
        <f>RTD("tos.rtd", , "AX", ".TSLA160520P480")</f>
        <v>X</v>
      </c>
      <c r="P83" t="str">
        <f>RTD("tos.rtd", , "IMPL_VOL", ".TSLA160520P480")</f>
        <v>146.97%</v>
      </c>
      <c r="Q83" t="str">
        <f>RTD("tos.rtd", , "PROB_OTM", ".TSLA160520P480")</f>
        <v>5.75%</v>
      </c>
      <c r="R83">
        <f>RTD("tos.rtd", , "DELTA", ".TSLA160520P480")</f>
        <v>-0.78</v>
      </c>
      <c r="T83">
        <f t="shared" si="30"/>
        <v>254.3</v>
      </c>
      <c r="U83">
        <f t="shared" si="31"/>
        <v>480</v>
      </c>
      <c r="V83" s="1">
        <v>0.43430000000000002</v>
      </c>
      <c r="W83" s="1">
        <v>5.0000000000000001E-3</v>
      </c>
      <c r="X83" s="1">
        <v>0</v>
      </c>
      <c r="Y83" s="2">
        <v>27</v>
      </c>
      <c r="Z83" s="1">
        <f t="shared" si="32"/>
        <v>0.108</v>
      </c>
      <c r="AA83" s="3">
        <f t="shared" si="33"/>
        <v>-0.63527143147386267</v>
      </c>
      <c r="AB83" s="3">
        <f t="shared" si="34"/>
        <v>1.0725290460000002E-2</v>
      </c>
      <c r="AC83" s="3">
        <f t="shared" si="35"/>
        <v>0.1427255440346962</v>
      </c>
      <c r="AD83" s="3">
        <f t="shared" si="36"/>
        <v>-4.3758539877209168</v>
      </c>
      <c r="AE83" s="3">
        <f t="shared" si="37"/>
        <v>-4.5185795317556128</v>
      </c>
      <c r="AF83">
        <f t="shared" si="38"/>
        <v>6.0478983676670595E-6</v>
      </c>
      <c r="AG83">
        <f t="shared" si="39"/>
        <v>0.99999395210163233</v>
      </c>
      <c r="AH83">
        <f t="shared" si="40"/>
        <v>3.1127944092324E-6</v>
      </c>
      <c r="AI83">
        <f t="shared" si="41"/>
        <v>0.99999688720559077</v>
      </c>
      <c r="AJ83">
        <f t="shared" si="42"/>
        <v>0.99946014577375952</v>
      </c>
      <c r="AK83">
        <f t="shared" si="43"/>
        <v>479.74086997140455</v>
      </c>
      <c r="AL83">
        <f t="shared" si="44"/>
        <v>1</v>
      </c>
      <c r="AM83">
        <f t="shared" si="45"/>
        <v>254.3</v>
      </c>
      <c r="AN83">
        <f t="shared" si="46"/>
        <v>4.4645856970457328E-5</v>
      </c>
      <c r="AO83">
        <f t="shared" si="47"/>
        <v>-9.9955354143029543E-2</v>
      </c>
      <c r="AP83">
        <f t="shared" si="48"/>
        <v>6.0478983676670595E-6</v>
      </c>
      <c r="AQ83">
        <f t="shared" si="49"/>
        <v>7.6402104588534691E-7</v>
      </c>
      <c r="AR83">
        <f t="shared" si="50"/>
        <v>-1.8593851321707204E-5</v>
      </c>
      <c r="AS83">
        <f t="shared" si="51"/>
        <v>2.3174566930322734E-5</v>
      </c>
      <c r="AT83">
        <f t="shared" si="52"/>
        <v>1.6128014737614578E-6</v>
      </c>
      <c r="AU83">
        <f t="shared" si="53"/>
        <v>225.44091461726148</v>
      </c>
      <c r="AV83">
        <f t="shared" si="54"/>
        <v>-3.6590853827385104</v>
      </c>
      <c r="AW83">
        <f t="shared" si="55"/>
        <v>-0.99999395210163233</v>
      </c>
      <c r="AX83">
        <f t="shared" si="56"/>
        <v>7.6402104588534691E-7</v>
      </c>
      <c r="AY83">
        <f t="shared" si="57"/>
        <v>9.5379971839652366E-3</v>
      </c>
      <c r="AZ83">
        <f t="shared" si="58"/>
        <v>2.3174566930322734E-5</v>
      </c>
      <c r="BA83">
        <f t="shared" si="59"/>
        <v>-0.51811852676764314</v>
      </c>
    </row>
    <row r="84" spans="1:53">
      <c r="A84" t="s">
        <v>37</v>
      </c>
    </row>
    <row r="85" spans="1:53">
      <c r="A85" t="s">
        <v>38</v>
      </c>
    </row>
    <row r="86" spans="1:53">
      <c r="A86" t="s">
        <v>39</v>
      </c>
    </row>
    <row r="87" spans="1:53">
      <c r="A87" t="s">
        <v>40</v>
      </c>
    </row>
    <row r="88" spans="1:53">
      <c r="A88" t="s">
        <v>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A167"/>
  <sheetViews>
    <sheetView topLeftCell="K41" workbookViewId="0">
      <selection activeCell="AV31" sqref="AV31"/>
    </sheetView>
  </sheetViews>
  <sheetFormatPr defaultRowHeight="15"/>
  <sheetData>
    <row r="1" spans="1:53">
      <c r="A1" t="s">
        <v>75</v>
      </c>
    </row>
    <row r="2" spans="1:53">
      <c r="A2" t="s">
        <v>1</v>
      </c>
    </row>
    <row r="3" spans="1:53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</row>
    <row r="4" spans="1:53">
      <c r="A4">
        <f>RTD("tos.rtd", , "LAST", "AAPL")</f>
        <v>112.19</v>
      </c>
      <c r="B4" t="str">
        <f>RTD("tos.rtd", , "LX", "AAPL")</f>
        <v>X</v>
      </c>
      <c r="C4">
        <f>RTD("tos.rtd", , "NET_CHANGE", "AAPL")</f>
        <v>1.75</v>
      </c>
      <c r="D4">
        <f>RTD("tos.rtd", , "BID", "AAPL")</f>
        <v>112.18</v>
      </c>
      <c r="E4" t="str">
        <f>RTD("tos.rtd", , "BX", "AAPL")</f>
        <v>X</v>
      </c>
      <c r="F4">
        <f>RTD("tos.rtd", , "ASK", "AAPL")</f>
        <v>112.19</v>
      </c>
      <c r="G4" t="str">
        <f>RTD("tos.rtd", , "AX", "AAPL")</f>
        <v>P</v>
      </c>
      <c r="H4" t="str">
        <f>RTD("tos.rtd", , "BA_SIZE", "AAPL")</f>
        <v>5 x 14</v>
      </c>
      <c r="I4">
        <f>RTD("tos.rtd", , "VOLUME", "AAPL")</f>
        <v>26290172</v>
      </c>
      <c r="J4">
        <f>RTD("tos.rtd", , "OPEN", "AAPL")</f>
        <v>110.8</v>
      </c>
      <c r="K4">
        <f>RTD("tos.rtd", , "HIGH", "AAPL")</f>
        <v>112.34</v>
      </c>
      <c r="L4">
        <f>RTD("tos.rtd", , "LOW", "AAPL")</f>
        <v>110.8</v>
      </c>
    </row>
    <row r="5" spans="1:53">
      <c r="A5" t="s">
        <v>14</v>
      </c>
    </row>
    <row r="6" spans="1:53">
      <c r="A6" t="s">
        <v>15</v>
      </c>
      <c r="B6" t="s">
        <v>16</v>
      </c>
      <c r="C6" t="s">
        <v>17</v>
      </c>
      <c r="D6" t="s">
        <v>18</v>
      </c>
      <c r="E6" t="s">
        <v>19</v>
      </c>
      <c r="F6" t="s">
        <v>20</v>
      </c>
      <c r="G6" t="s">
        <v>21</v>
      </c>
      <c r="H6" t="s">
        <v>22</v>
      </c>
      <c r="I6" t="s">
        <v>23</v>
      </c>
      <c r="J6" t="s">
        <v>24</v>
      </c>
    </row>
    <row r="7" spans="1:53">
      <c r="A7" t="str">
        <f>RTD("tos.rtd", , "YIELD", "AAPL")</f>
        <v>1.85%</v>
      </c>
      <c r="B7">
        <f>RTD("tos.rtd", , "PE", "AAPL")</f>
        <v>11.95</v>
      </c>
      <c r="C7">
        <f>RTD("tos.rtd", , "EPS", "AAPL")</f>
        <v>9.3919999999999995</v>
      </c>
      <c r="D7">
        <f>RTD("tos.rtd", , "DIV", "AAPL")</f>
        <v>0.52</v>
      </c>
      <c r="E7" t="s">
        <v>76</v>
      </c>
      <c r="F7" t="str">
        <f>RTD("tos.rtd", , "EX_DIV_DATE", "AAPL")</f>
        <v>2/4/16</v>
      </c>
      <c r="G7">
        <f>RTD("tos.rtd", , "52HIGH", "AAPL")</f>
        <v>134.54</v>
      </c>
      <c r="H7">
        <f>RTD("tos.rtd", , "52LOW", "AAPL")</f>
        <v>92</v>
      </c>
      <c r="I7">
        <f>RTD("tos.rtd", , "SHARES", "AAPL")</f>
        <v>5544583000</v>
      </c>
      <c r="J7">
        <f>RTD("tos.rtd", , "STOCK_BETA", "AAPL")</f>
        <v>0.98019999999999996</v>
      </c>
    </row>
    <row r="8" spans="1:53">
      <c r="A8" t="s">
        <v>26</v>
      </c>
    </row>
    <row r="9" spans="1:53">
      <c r="A9" t="s">
        <v>27</v>
      </c>
    </row>
    <row r="10" spans="1:53">
      <c r="A10" t="s">
        <v>28</v>
      </c>
    </row>
    <row r="11" spans="1:53">
      <c r="A11" t="s">
        <v>29</v>
      </c>
    </row>
    <row r="12" spans="1:53">
      <c r="A12" t="s">
        <v>30</v>
      </c>
    </row>
    <row r="13" spans="1:53">
      <c r="A13" t="s">
        <v>31</v>
      </c>
    </row>
    <row r="14" spans="1:53" ht="18.75"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35</v>
      </c>
      <c r="K14" t="s">
        <v>36</v>
      </c>
      <c r="L14" t="s">
        <v>5</v>
      </c>
      <c r="M14" t="s">
        <v>6</v>
      </c>
      <c r="N14" t="s">
        <v>7</v>
      </c>
      <c r="O14" t="s">
        <v>8</v>
      </c>
      <c r="P14" t="s">
        <v>2</v>
      </c>
      <c r="Q14" t="s">
        <v>3</v>
      </c>
      <c r="R14" t="s">
        <v>4</v>
      </c>
      <c r="T14" t="s">
        <v>42</v>
      </c>
      <c r="U14" t="s">
        <v>36</v>
      </c>
      <c r="V14" t="s">
        <v>43</v>
      </c>
      <c r="W14" t="s">
        <v>44</v>
      </c>
      <c r="X14" t="s">
        <v>45</v>
      </c>
      <c r="Y14" t="s">
        <v>46</v>
      </c>
      <c r="Z14" t="s">
        <v>47</v>
      </c>
      <c r="AA14" t="s">
        <v>48</v>
      </c>
      <c r="AB14" t="s">
        <v>49</v>
      </c>
      <c r="AC14" t="s">
        <v>50</v>
      </c>
      <c r="AD14" t="s">
        <v>51</v>
      </c>
      <c r="AE14" t="s">
        <v>52</v>
      </c>
      <c r="AF14" t="s">
        <v>53</v>
      </c>
      <c r="AG14" t="s">
        <v>54</v>
      </c>
      <c r="AH14" t="s">
        <v>55</v>
      </c>
      <c r="AI14" t="s">
        <v>56</v>
      </c>
      <c r="AJ14" t="s">
        <v>57</v>
      </c>
      <c r="AK14" t="s">
        <v>58</v>
      </c>
      <c r="AL14" t="s">
        <v>59</v>
      </c>
      <c r="AM14" t="s">
        <v>60</v>
      </c>
      <c r="AN14" t="s">
        <v>61</v>
      </c>
      <c r="AO14" t="s">
        <v>73</v>
      </c>
      <c r="AP14" t="s">
        <v>62</v>
      </c>
      <c r="AQ14" t="s">
        <v>63</v>
      </c>
      <c r="AR14" t="s">
        <v>64</v>
      </c>
      <c r="AS14" t="s">
        <v>65</v>
      </c>
      <c r="AT14" t="s">
        <v>66</v>
      </c>
      <c r="AU14" t="s">
        <v>67</v>
      </c>
      <c r="AV14" t="s">
        <v>74</v>
      </c>
      <c r="AW14" t="s">
        <v>68</v>
      </c>
      <c r="AX14" t="s">
        <v>69</v>
      </c>
      <c r="AY14" t="s">
        <v>70</v>
      </c>
      <c r="AZ14" t="s">
        <v>71</v>
      </c>
      <c r="BA14" t="s">
        <v>72</v>
      </c>
    </row>
    <row r="15" spans="1:53">
      <c r="C15">
        <f>RTD("tos.rtd", , "LAST", ".AAPL160520C50")</f>
        <v>44.47</v>
      </c>
      <c r="D15" t="str">
        <f>RTD("tos.rtd", , "LX", ".AAPL160520C50")</f>
        <v>I</v>
      </c>
      <c r="E15">
        <f>RTD("tos.rtd", , "NET_CHANGE", ".AAPL160520C50")</f>
        <v>0</v>
      </c>
      <c r="F15">
        <f>RTD("tos.rtd", , "BID", ".AAPL160520C50")</f>
        <v>62</v>
      </c>
      <c r="G15" t="str">
        <f>RTD("tos.rtd", , "BX", ".AAPL160520C50")</f>
        <v>C</v>
      </c>
      <c r="H15">
        <f>RTD("tos.rtd", , "ASK", ".AAPL160520C50")</f>
        <v>62.45</v>
      </c>
      <c r="I15" t="str">
        <f>RTD("tos.rtd", , "AX", ".AAPL160520C50")</f>
        <v>C</v>
      </c>
      <c r="J15" t="str">
        <f>RTD("tos.rtd", , "EXPIRATION_DAY", ".AAPL160520C50")</f>
        <v>2016-05-21</v>
      </c>
      <c r="K15">
        <f>RTD("tos.rtd", , "STRIKE", ".AAPL160520C50")</f>
        <v>50</v>
      </c>
      <c r="L15">
        <f>RTD("tos.rtd", , "BID", ".AAPL160520P50")</f>
        <v>0</v>
      </c>
      <c r="M15" t="str">
        <f>RTD("tos.rtd", , "BX", ".AAPL160520P50")</f>
        <v>W</v>
      </c>
      <c r="N15">
        <f>RTD("tos.rtd", , "ASK", ".AAPL160520P50")</f>
        <v>0.01</v>
      </c>
      <c r="O15" t="str">
        <f>RTD("tos.rtd", , "AX", ".AAPL160520P50")</f>
        <v>W</v>
      </c>
      <c r="P15">
        <f>RTD("tos.rtd", , "LAST", ".AAPL160520P50")</f>
        <v>0.01</v>
      </c>
      <c r="Q15" t="str">
        <f>RTD("tos.rtd", , "LX", ".AAPL160520P50")</f>
        <v>C</v>
      </c>
      <c r="R15">
        <f>RTD("tos.rtd", , "NET_CHANGE", ".AAPL160520P50")</f>
        <v>0</v>
      </c>
      <c r="T15">
        <f>$A$4</f>
        <v>112.19</v>
      </c>
      <c r="U15">
        <f>K15</f>
        <v>50</v>
      </c>
      <c r="V15" s="1">
        <v>0.27489999999999998</v>
      </c>
      <c r="W15" s="1">
        <v>5.0000000000000001E-3</v>
      </c>
      <c r="X15" s="1">
        <v>0</v>
      </c>
      <c r="Y15" s="2">
        <v>27</v>
      </c>
      <c r="Z15" s="1">
        <f>Y15/250</f>
        <v>0.108</v>
      </c>
      <c r="AA15" s="3">
        <f>LN(T15/U15)</f>
        <v>0.80817085712872716</v>
      </c>
      <c r="AB15" s="3">
        <f>(W15-X15+POWER(V15,2)/2)*Z15</f>
        <v>4.6207805399999993E-3</v>
      </c>
      <c r="AC15" s="3">
        <f>V15*SQRT(Z15)</f>
        <v>9.03413586349021E-2</v>
      </c>
      <c r="AD15" s="3">
        <f>(AA15+AB15)/AC15</f>
        <v>8.996894113065915</v>
      </c>
      <c r="AE15" s="3">
        <f>AD15-AC15</f>
        <v>8.9065527544310132</v>
      </c>
      <c r="AF15">
        <f>NORMDIST(AD15,0,1,TRUE)</f>
        <v>1</v>
      </c>
      <c r="AG15">
        <f>NORMDIST(-1*AD15,0,1,TRUE)</f>
        <v>1.1609665938940772E-19</v>
      </c>
      <c r="AH15">
        <f>NORMDIST(AE15,0,1,TRUE)</f>
        <v>1</v>
      </c>
      <c r="AI15">
        <f>NORMDIST(-1*AE15,0,1,TRUE)</f>
        <v>2.6321959462522147E-19</v>
      </c>
      <c r="AJ15">
        <f>EXP(-W15*Z15)</f>
        <v>0.99946014577375952</v>
      </c>
      <c r="AK15">
        <f>U15*AJ15</f>
        <v>49.973007288687974</v>
      </c>
      <c r="AL15">
        <f>EXP(-X15*Z15)</f>
        <v>1</v>
      </c>
      <c r="AM15">
        <f>T15*AL15</f>
        <v>112.19</v>
      </c>
      <c r="AN15">
        <f>AM15*AF15-AK15*AH15</f>
        <v>62.216992711312024</v>
      </c>
      <c r="AO15">
        <f>AN15-H15</f>
        <v>-0.23300728868797904</v>
      </c>
      <c r="AP15">
        <f>AL15*AF15</f>
        <v>1</v>
      </c>
      <c r="AQ15">
        <f>EXP(-1*POWER(AD15,2)/2)/SQRT(2*PI())*AL15/(T15*AC15)</f>
        <v>1.0429908883777415E-19</v>
      </c>
      <c r="AR15">
        <f>(-(T15*EXP(-1*POWER(AD15,2)/2)/SQRT(2*PI())*V15*AL15/ (2*SQRT(Z15)))-(W15*AK15*AH15)+(X15*T15*AF15*AL15))/ 251</f>
        <v>-9.9547823284239028E-4</v>
      </c>
      <c r="AS15">
        <f>EXP(-1*POWER(AD15,2)/2)/SQRT(2*PI())*AL15*T15*SQRT(Z15)/100</f>
        <v>3.8975106071080901E-19</v>
      </c>
      <c r="AT15">
        <f>U15*Z15*AJ15*AH15/100</f>
        <v>5.3970847871783016E-2</v>
      </c>
      <c r="AU15">
        <f>AK15*AI15-AM15*AG15</f>
        <v>1.2899050383403412E-19</v>
      </c>
      <c r="AV15">
        <f>AU15-N15</f>
        <v>-0.01</v>
      </c>
      <c r="AW15">
        <f>AL15*(AF15-1)</f>
        <v>0</v>
      </c>
      <c r="AX15">
        <f>EXP(-1*POWER(AD15,2)/2)/SQRT(2*PI())*AL15/(T15*AC15)</f>
        <v>1.0429908883777415E-19</v>
      </c>
      <c r="AY15">
        <f>(-(T15*EXP(-1*POWER(AD15,2)/2)/SQRT(2*PI())*V15*AL15/ (2*SQRT(Z15)))+(W15*AK15*AI15)-(X15*T15*AG15*AL15))/251</f>
        <v>-1.9735964427921175E-19</v>
      </c>
      <c r="AZ15">
        <f>EXP(-1*POWER(AD15,2)/2)/SQRT(2*PI())*AL15*T15*SQRT(Z15)/100</f>
        <v>3.8975106071080901E-19</v>
      </c>
      <c r="BA15">
        <f>-U15*Z15*AJ15*AI15/100</f>
        <v>-1.4206184698390223E-20</v>
      </c>
    </row>
    <row r="16" spans="1:53">
      <c r="C16">
        <f>RTD("tos.rtd", , "LAST", ".AAPL160520C55")</f>
        <v>0</v>
      </c>
      <c r="D16" t="str">
        <f>RTD("tos.rtd", , "LX", ".AAPL160520C55")</f>
        <v/>
      </c>
      <c r="E16">
        <f>RTD("tos.rtd", , "NET_CHANGE", ".AAPL160520C55")</f>
        <v>0</v>
      </c>
      <c r="F16">
        <f>RTD("tos.rtd", , "BID", ".AAPL160520C55")</f>
        <v>57</v>
      </c>
      <c r="G16" t="str">
        <f>RTD("tos.rtd", , "BX", ".AAPL160520C55")</f>
        <v>C</v>
      </c>
      <c r="H16">
        <f>RTD("tos.rtd", , "ASK", ".AAPL160520C55")</f>
        <v>57.45</v>
      </c>
      <c r="I16" t="str">
        <f>RTD("tos.rtd", , "AX", ".AAPL160520C55")</f>
        <v>C</v>
      </c>
      <c r="J16" t="str">
        <f>RTD("tos.rtd", , "EXPIRATION_DAY", ".AAPL160520C55")</f>
        <v>2016-05-21</v>
      </c>
      <c r="K16">
        <f>RTD("tos.rtd", , "STRIKE", ".AAPL160520C55")</f>
        <v>55</v>
      </c>
      <c r="L16">
        <f>RTD("tos.rtd", , "BID", ".AAPL160520P55")</f>
        <v>0</v>
      </c>
      <c r="M16" t="str">
        <f>RTD("tos.rtd", , "BX", ".AAPL160520P55")</f>
        <v>W</v>
      </c>
      <c r="N16">
        <f>RTD("tos.rtd", , "ASK", ".AAPL160520P55")</f>
        <v>0.01</v>
      </c>
      <c r="O16" t="str">
        <f>RTD("tos.rtd", , "AX", ".AAPL160520P55")</f>
        <v>W</v>
      </c>
      <c r="P16">
        <f>RTD("tos.rtd", , "LAST", ".AAPL160520P55")</f>
        <v>0.01</v>
      </c>
      <c r="Q16" t="str">
        <f>RTD("tos.rtd", , "LX", ".AAPL160520P55")</f>
        <v>I</v>
      </c>
      <c r="R16">
        <f>RTD("tos.rtd", , "NET_CHANGE", ".AAPL160520P55")</f>
        <v>0</v>
      </c>
      <c r="T16">
        <f t="shared" ref="T16:T49" si="0">$A$4</f>
        <v>112.19</v>
      </c>
      <c r="U16">
        <f t="shared" ref="U16:U37" si="1">K16</f>
        <v>55</v>
      </c>
      <c r="V16" s="1">
        <v>0.27489999999999998</v>
      </c>
      <c r="W16" s="1">
        <v>5.0000000000000001E-3</v>
      </c>
      <c r="X16" s="1">
        <v>0</v>
      </c>
      <c r="Y16" s="2">
        <v>27</v>
      </c>
      <c r="Z16" s="1">
        <f t="shared" ref="Z16:Z49" si="2">Y16/250</f>
        <v>0.108</v>
      </c>
      <c r="AA16" s="3">
        <f t="shared" ref="AA16:AA37" si="3">LN(T16/U16)</f>
        <v>0.71286067732440239</v>
      </c>
      <c r="AB16" s="3">
        <f t="shared" ref="AB16:AB37" si="4">(W16-X16+POWER(V16,2)/2)*Z16</f>
        <v>4.6207805399999993E-3</v>
      </c>
      <c r="AC16" s="3">
        <f t="shared" ref="AC16:AC37" si="5">V16*SQRT(Z16)</f>
        <v>9.03413586349021E-2</v>
      </c>
      <c r="AD16" s="3">
        <f t="shared" ref="AD16:AD37" si="6">(AA16+AB16)/AC16</f>
        <v>7.9418935989657973</v>
      </c>
      <c r="AE16" s="3">
        <f t="shared" ref="AE16:AE37" si="7">AD16-AC16</f>
        <v>7.8515522403308955</v>
      </c>
      <c r="AF16">
        <f t="shared" ref="AF16:AF37" si="8">NORMDIST(AD16,0,1,TRUE)</f>
        <v>0.999999999999999</v>
      </c>
      <c r="AG16">
        <f t="shared" ref="AG16:AG37" si="9">NORMDIST(-1*AD16,0,1,TRUE)</f>
        <v>9.9558858067604485E-16</v>
      </c>
      <c r="AH16">
        <f t="shared" ref="AH16:AH37" si="10">NORMDIST(AE16,0,1,TRUE)</f>
        <v>0.99999999999999789</v>
      </c>
      <c r="AI16">
        <f t="shared" ref="AI16:AI37" si="11">NORMDIST(-1*AE16,0,1,TRUE)</f>
        <v>2.0545963849830097E-15</v>
      </c>
      <c r="AJ16">
        <f t="shared" ref="AJ16:AJ37" si="12">EXP(-W16*Z16)</f>
        <v>0.99946014577375952</v>
      </c>
      <c r="AK16">
        <f t="shared" ref="AK16:AK37" si="13">U16*AJ16</f>
        <v>54.970308017556775</v>
      </c>
      <c r="AL16">
        <f t="shared" ref="AL16:AL37" si="14">EXP(-X16*Z16)</f>
        <v>1</v>
      </c>
      <c r="AM16">
        <f t="shared" ref="AM16:AM37" si="15">T16*AL16</f>
        <v>112.19</v>
      </c>
      <c r="AN16">
        <f t="shared" ref="AN16:AN37" si="16">AM16*AF16-AK16*AH16</f>
        <v>57.219691982443223</v>
      </c>
      <c r="AO16">
        <f t="shared" ref="AO16:AO37" si="17">AN16-H16</f>
        <v>-0.23030801755677999</v>
      </c>
      <c r="AP16">
        <f t="shared" ref="AP16:AP37" si="18">AL16*AF16</f>
        <v>0.999999999999999</v>
      </c>
      <c r="AQ16">
        <f t="shared" ref="AQ16:AQ37" si="19">EXP(-1*POWER(AD16,2)/2)/SQRT(2*PI())*AL16/(T16*AC16)</f>
        <v>7.9212738555182654E-16</v>
      </c>
      <c r="AR16">
        <f t="shared" ref="AR16:AR37" si="20">(-(T16*EXP(-1*POWER(AD16,2)/2)/SQRT(2*PI())*V16*AL16/ (2*SQRT(Z16)))-(W16*AK16*AH16)+(X16*T16*AF16*AL16))/ 251</f>
        <v>-1.0950260561281276E-3</v>
      </c>
      <c r="AS16">
        <f t="shared" ref="AS16:AS37" si="21">EXP(-1*POWER(AD16,2)/2)/SQRT(2*PI())*AL16*T16*SQRT(Z16)/100</f>
        <v>2.9600688958760129E-15</v>
      </c>
      <c r="AT16">
        <f t="shared" ref="AT16:AT37" si="22">U16*Z16*AJ16*AH16/100</f>
        <v>5.9367932658961182E-2</v>
      </c>
      <c r="AU16">
        <f t="shared" ref="AU16:AU37" si="23">AK16*AI16-AM16*AG16</f>
        <v>1.2467132682292292E-15</v>
      </c>
      <c r="AV16">
        <f t="shared" ref="AV16:AV37" si="24">AU16-N16</f>
        <v>-9.9999999999987529E-3</v>
      </c>
      <c r="AW16">
        <f t="shared" ref="AW16:AW37" si="25">AL16*(AF16-1)</f>
        <v>-9.9920072216264089E-16</v>
      </c>
      <c r="AX16">
        <f t="shared" ref="AX16:AX37" si="26">EXP(-1*POWER(AD16,2)/2)/SQRT(2*PI())*AL16/(T16*AC16)</f>
        <v>7.9212738555182654E-16</v>
      </c>
      <c r="AY16">
        <f t="shared" ref="AY16:AY37" si="27">(-(T16*EXP(-1*POWER(AD16,2)/2)/SQRT(2*PI())*V16*AL16/ (2*SQRT(Z16)))+(W16*AK16*AI16)-(X16*T16*AG16*AL16))/251</f>
        <v>-1.4986409327100224E-15</v>
      </c>
      <c r="AZ16">
        <f t="shared" ref="AZ16:AZ37" si="28">EXP(-1*POWER(AD16,2)/2)/SQRT(2*PI())*AL16*T16*SQRT(Z16)/100</f>
        <v>2.9600688958760129E-15</v>
      </c>
      <c r="BA16">
        <f t="shared" ref="BA16:BA37" si="29">-U16*Z16*AJ16*AI16/100</f>
        <v>-1.2197713982501666E-16</v>
      </c>
    </row>
    <row r="17" spans="3:53">
      <c r="C17">
        <f>RTD("tos.rtd", , "LAST", ".AAPL160520C60")</f>
        <v>40.61</v>
      </c>
      <c r="D17" t="str">
        <f>RTD("tos.rtd", , "LX", ".AAPL160520C60")</f>
        <v>I</v>
      </c>
      <c r="E17">
        <f>RTD("tos.rtd", , "NET_CHANGE", ".AAPL160520C60")</f>
        <v>0</v>
      </c>
      <c r="F17">
        <f>RTD("tos.rtd", , "BID", ".AAPL160520C60")</f>
        <v>52</v>
      </c>
      <c r="G17" t="str">
        <f>RTD("tos.rtd", , "BX", ".AAPL160520C60")</f>
        <v>C</v>
      </c>
      <c r="H17">
        <f>RTD("tos.rtd", , "ASK", ".AAPL160520C60")</f>
        <v>52.45</v>
      </c>
      <c r="I17" t="str">
        <f>RTD("tos.rtd", , "AX", ".AAPL160520C60")</f>
        <v>C</v>
      </c>
      <c r="J17" t="str">
        <f>RTD("tos.rtd", , "EXPIRATION_DAY", ".AAPL160520C60")</f>
        <v>2016-05-21</v>
      </c>
      <c r="K17">
        <f>RTD("tos.rtd", , "STRIKE", ".AAPL160520C60")</f>
        <v>60</v>
      </c>
      <c r="L17">
        <f>RTD("tos.rtd", , "BID", ".AAPL160520P60")</f>
        <v>0</v>
      </c>
      <c r="M17" t="str">
        <f>RTD("tos.rtd", , "BX", ".AAPL160520P60")</f>
        <v>W</v>
      </c>
      <c r="N17">
        <f>RTD("tos.rtd", , "ASK", ".AAPL160520P60")</f>
        <v>0.01</v>
      </c>
      <c r="O17" t="str">
        <f>RTD("tos.rtd", , "AX", ".AAPL160520P60")</f>
        <v>W</v>
      </c>
      <c r="P17">
        <f>RTD("tos.rtd", , "LAST", ".AAPL160520P60")</f>
        <v>0.01</v>
      </c>
      <c r="Q17" t="str">
        <f>RTD("tos.rtd", , "LX", ".AAPL160520P60")</f>
        <v>H</v>
      </c>
      <c r="R17">
        <f>RTD("tos.rtd", , "NET_CHANGE", ".AAPL160520P60")</f>
        <v>0</v>
      </c>
      <c r="T17">
        <f t="shared" si="0"/>
        <v>112.19</v>
      </c>
      <c r="U17">
        <f t="shared" si="1"/>
        <v>60</v>
      </c>
      <c r="V17" s="1">
        <v>0.27489999999999998</v>
      </c>
      <c r="W17" s="1">
        <v>5.0000000000000001E-3</v>
      </c>
      <c r="X17" s="1">
        <v>0</v>
      </c>
      <c r="Y17" s="2">
        <v>27</v>
      </c>
      <c r="Z17" s="1">
        <f t="shared" si="2"/>
        <v>0.108</v>
      </c>
      <c r="AA17" s="3">
        <f t="shared" si="3"/>
        <v>0.6258493003347726</v>
      </c>
      <c r="AB17" s="3">
        <f t="shared" si="4"/>
        <v>4.6207805399999993E-3</v>
      </c>
      <c r="AC17" s="3">
        <f t="shared" si="5"/>
        <v>9.03413586349021E-2</v>
      </c>
      <c r="AD17" s="3">
        <f t="shared" si="6"/>
        <v>6.9787535897340325</v>
      </c>
      <c r="AE17" s="3">
        <f t="shared" si="7"/>
        <v>6.8884122310991307</v>
      </c>
      <c r="AF17">
        <f t="shared" si="8"/>
        <v>0.99999999999851097</v>
      </c>
      <c r="AG17">
        <f t="shared" si="9"/>
        <v>1.489051386493098E-12</v>
      </c>
      <c r="AH17">
        <f t="shared" si="10"/>
        <v>0.99999999999717903</v>
      </c>
      <c r="AI17">
        <f t="shared" si="11"/>
        <v>2.8209262450990417E-12</v>
      </c>
      <c r="AJ17">
        <f t="shared" si="12"/>
        <v>0.99946014577375952</v>
      </c>
      <c r="AK17">
        <f t="shared" si="13"/>
        <v>59.967608746425569</v>
      </c>
      <c r="AL17">
        <f t="shared" si="14"/>
        <v>1</v>
      </c>
      <c r="AM17">
        <f t="shared" si="15"/>
        <v>112.19</v>
      </c>
      <c r="AN17">
        <f t="shared" si="16"/>
        <v>52.222391253576546</v>
      </c>
      <c r="AO17">
        <f t="shared" si="17"/>
        <v>-0.22760874642345641</v>
      </c>
      <c r="AP17">
        <f t="shared" si="18"/>
        <v>0.99999999999851097</v>
      </c>
      <c r="AQ17">
        <f t="shared" si="19"/>
        <v>1.0455549496907964E-12</v>
      </c>
      <c r="AR17">
        <f t="shared" si="20"/>
        <v>-1.1945738813885732E-3</v>
      </c>
      <c r="AS17">
        <f t="shared" si="21"/>
        <v>3.9070921444697928E-12</v>
      </c>
      <c r="AT17">
        <f t="shared" si="22"/>
        <v>6.4765017445956918E-2</v>
      </c>
      <c r="AU17">
        <f t="shared" si="23"/>
        <v>2.1075263179620621E-12</v>
      </c>
      <c r="AV17">
        <f t="shared" si="24"/>
        <v>-9.9999999978924742E-3</v>
      </c>
      <c r="AW17">
        <f t="shared" si="25"/>
        <v>-1.48903112062726E-12</v>
      </c>
      <c r="AX17">
        <f t="shared" si="26"/>
        <v>1.0455549496907964E-12</v>
      </c>
      <c r="AY17">
        <f t="shared" si="27"/>
        <v>-1.9777052108970873E-12</v>
      </c>
      <c r="AZ17">
        <f t="shared" si="28"/>
        <v>3.9070921444697928E-12</v>
      </c>
      <c r="BA17">
        <f t="shared" si="29"/>
        <v>-1.8269733747811255E-13</v>
      </c>
    </row>
    <row r="18" spans="3:53">
      <c r="C18">
        <f>RTD("tos.rtd", , "LAST", ".AAPL160520C65")</f>
        <v>37.200000000000003</v>
      </c>
      <c r="D18" t="str">
        <f>RTD("tos.rtd", , "LX", ".AAPL160520C65")</f>
        <v>Z</v>
      </c>
      <c r="E18">
        <f>RTD("tos.rtd", , "NET_CHANGE", ".AAPL160520C65")</f>
        <v>0</v>
      </c>
      <c r="F18">
        <f>RTD("tos.rtd", , "BID", ".AAPL160520C65")</f>
        <v>47</v>
      </c>
      <c r="G18" t="str">
        <f>RTD("tos.rtd", , "BX", ".AAPL160520C65")</f>
        <v>C</v>
      </c>
      <c r="H18">
        <f>RTD("tos.rtd", , "ASK", ".AAPL160520C65")</f>
        <v>47.45</v>
      </c>
      <c r="I18" t="str">
        <f>RTD("tos.rtd", , "AX", ".AAPL160520C65")</f>
        <v>W</v>
      </c>
      <c r="J18" t="str">
        <f>RTD("tos.rtd", , "EXPIRATION_DAY", ".AAPL160520C65")</f>
        <v>2016-05-21</v>
      </c>
      <c r="K18">
        <f>RTD("tos.rtd", , "STRIKE", ".AAPL160520C65")</f>
        <v>65</v>
      </c>
      <c r="L18">
        <f>RTD("tos.rtd", , "BID", ".AAPL160520P65")</f>
        <v>0</v>
      </c>
      <c r="M18" t="str">
        <f>RTD("tos.rtd", , "BX", ".AAPL160520P65")</f>
        <v>W</v>
      </c>
      <c r="N18">
        <f>RTD("tos.rtd", , "ASK", ".AAPL160520P65")</f>
        <v>0.01</v>
      </c>
      <c r="O18" t="str">
        <f>RTD("tos.rtd", , "AX", ".AAPL160520P65")</f>
        <v>W</v>
      </c>
      <c r="P18">
        <f>RTD("tos.rtd", , "LAST", ".AAPL160520P65")</f>
        <v>0.01</v>
      </c>
      <c r="Q18" t="str">
        <f>RTD("tos.rtd", , "LX", ".AAPL160520P65")</f>
        <v>W</v>
      </c>
      <c r="R18">
        <f>RTD("tos.rtd", , "NET_CHANGE", ".AAPL160520P65")</f>
        <v>0</v>
      </c>
      <c r="T18">
        <f t="shared" si="0"/>
        <v>112.19</v>
      </c>
      <c r="U18">
        <f t="shared" si="1"/>
        <v>65</v>
      </c>
      <c r="V18" s="1">
        <v>0.27489999999999998</v>
      </c>
      <c r="W18" s="1">
        <v>5.0000000000000001E-3</v>
      </c>
      <c r="X18" s="1">
        <v>0</v>
      </c>
      <c r="Y18" s="2">
        <v>27</v>
      </c>
      <c r="Z18" s="1">
        <f t="shared" si="2"/>
        <v>0.108</v>
      </c>
      <c r="AA18" s="3">
        <f t="shared" si="3"/>
        <v>0.54580659266123621</v>
      </c>
      <c r="AB18" s="3">
        <f t="shared" si="4"/>
        <v>4.6207805399999993E-3</v>
      </c>
      <c r="AC18" s="3">
        <f t="shared" si="5"/>
        <v>9.03413586349021E-2</v>
      </c>
      <c r="AD18" s="3">
        <f t="shared" si="6"/>
        <v>6.0927506683366</v>
      </c>
      <c r="AE18" s="3">
        <f t="shared" si="7"/>
        <v>6.0024093097016982</v>
      </c>
      <c r="AF18">
        <f t="shared" si="8"/>
        <v>0.99999999944506568</v>
      </c>
      <c r="AG18">
        <f t="shared" si="9"/>
        <v>5.549342889263282E-10</v>
      </c>
      <c r="AH18">
        <f t="shared" si="10"/>
        <v>0.99999999902794567</v>
      </c>
      <c r="AI18">
        <f t="shared" si="11"/>
        <v>9.7205427490908157E-10</v>
      </c>
      <c r="AJ18">
        <f t="shared" si="12"/>
        <v>0.99946014577375952</v>
      </c>
      <c r="AK18">
        <f t="shared" si="13"/>
        <v>64.964909475294363</v>
      </c>
      <c r="AL18">
        <f t="shared" si="14"/>
        <v>1</v>
      </c>
      <c r="AM18">
        <f t="shared" si="15"/>
        <v>112.19</v>
      </c>
      <c r="AN18">
        <f t="shared" si="16"/>
        <v>47.225090525596968</v>
      </c>
      <c r="AO18">
        <f t="shared" si="17"/>
        <v>-0.22490947440303444</v>
      </c>
      <c r="AP18">
        <f t="shared" si="18"/>
        <v>0.99999999944506568</v>
      </c>
      <c r="AQ18">
        <f t="shared" si="19"/>
        <v>3.4214796053558488E-10</v>
      </c>
      <c r="AR18">
        <f t="shared" si="20"/>
        <v>-1.2941223497251974E-3</v>
      </c>
      <c r="AS18">
        <f t="shared" si="21"/>
        <v>1.278558921508888E-9</v>
      </c>
      <c r="AT18">
        <f t="shared" si="22"/>
        <v>7.0162102165116536E-2</v>
      </c>
      <c r="AU18">
        <f t="shared" si="23"/>
        <v>8.9134009989662432E-10</v>
      </c>
      <c r="AV18">
        <f t="shared" si="24"/>
        <v>-9.9999991086598995E-3</v>
      </c>
      <c r="AW18">
        <f t="shared" si="25"/>
        <v>-5.549343207178481E-10</v>
      </c>
      <c r="AX18">
        <f t="shared" si="26"/>
        <v>3.4214796053558488E-10</v>
      </c>
      <c r="AY18">
        <f t="shared" si="27"/>
        <v>-6.4703009039521209E-10</v>
      </c>
      <c r="AZ18">
        <f t="shared" si="28"/>
        <v>1.278558921508888E-9</v>
      </c>
      <c r="BA18">
        <f t="shared" si="29"/>
        <v>-6.82013714125047E-11</v>
      </c>
    </row>
    <row r="19" spans="3:53">
      <c r="C19">
        <f>RTD("tos.rtd", , "LAST", ".AAPL160520C70")</f>
        <v>39.450000000000003</v>
      </c>
      <c r="D19" t="str">
        <f>RTD("tos.rtd", , "LX", ".AAPL160520C70")</f>
        <v>N</v>
      </c>
      <c r="E19">
        <f>RTD("tos.rtd", , "NET_CHANGE", ".AAPL160520C70")</f>
        <v>0</v>
      </c>
      <c r="F19">
        <f>RTD("tos.rtd", , "BID", ".AAPL160520C70")</f>
        <v>42</v>
      </c>
      <c r="G19" t="str">
        <f>RTD("tos.rtd", , "BX", ".AAPL160520C70")</f>
        <v>C</v>
      </c>
      <c r="H19">
        <f>RTD("tos.rtd", , "ASK", ".AAPL160520C70")</f>
        <v>42.4</v>
      </c>
      <c r="I19" t="str">
        <f>RTD("tos.rtd", , "AX", ".AAPL160520C70")</f>
        <v>N</v>
      </c>
      <c r="J19" t="str">
        <f>RTD("tos.rtd", , "EXPIRATION_DAY", ".AAPL160520C70")</f>
        <v>2016-05-21</v>
      </c>
      <c r="K19">
        <f>RTD("tos.rtd", , "STRIKE", ".AAPL160520C70")</f>
        <v>70</v>
      </c>
      <c r="L19">
        <f>RTD("tos.rtd", , "BID", ".AAPL160520P70")</f>
        <v>0.02</v>
      </c>
      <c r="M19" t="str">
        <f>RTD("tos.rtd", , "BX", ".AAPL160520P70")</f>
        <v>Z</v>
      </c>
      <c r="N19">
        <f>RTD("tos.rtd", , "ASK", ".AAPL160520P70")</f>
        <v>0.04</v>
      </c>
      <c r="O19" t="str">
        <f>RTD("tos.rtd", , "AX", ".AAPL160520P70")</f>
        <v>W</v>
      </c>
      <c r="P19">
        <f>RTD("tos.rtd", , "LAST", ".AAPL160520P70")</f>
        <v>0.03</v>
      </c>
      <c r="Q19" t="str">
        <f>RTD("tos.rtd", , "LX", ".AAPL160520P70")</f>
        <v>N</v>
      </c>
      <c r="R19">
        <f>RTD("tos.rtd", , "NET_CHANGE", ".AAPL160520P70")</f>
        <v>0</v>
      </c>
      <c r="T19">
        <f t="shared" si="0"/>
        <v>112.19</v>
      </c>
      <c r="U19">
        <f t="shared" si="1"/>
        <v>70</v>
      </c>
      <c r="V19" s="1">
        <v>0.27489999999999998</v>
      </c>
      <c r="W19" s="1">
        <v>5.0000000000000001E-3</v>
      </c>
      <c r="X19" s="1">
        <v>0</v>
      </c>
      <c r="Y19" s="2">
        <v>27</v>
      </c>
      <c r="Z19" s="1">
        <f t="shared" si="2"/>
        <v>0.108</v>
      </c>
      <c r="AA19" s="3">
        <f t="shared" si="3"/>
        <v>0.47169862050751438</v>
      </c>
      <c r="AB19" s="3">
        <f t="shared" si="4"/>
        <v>4.6207805399999993E-3</v>
      </c>
      <c r="AC19" s="3">
        <f t="shared" si="5"/>
        <v>9.03413586349021E-2</v>
      </c>
      <c r="AD19" s="3">
        <f t="shared" si="6"/>
        <v>5.2724400899533865</v>
      </c>
      <c r="AE19" s="3">
        <f t="shared" si="7"/>
        <v>5.1820987313184848</v>
      </c>
      <c r="AF19">
        <f t="shared" si="8"/>
        <v>0.99999993268910548</v>
      </c>
      <c r="AG19">
        <f t="shared" si="9"/>
        <v>6.731089453506473E-8</v>
      </c>
      <c r="AH19">
        <f t="shared" si="10"/>
        <v>0.99999989029849179</v>
      </c>
      <c r="AI19">
        <f t="shared" si="11"/>
        <v>1.097015082203616E-7</v>
      </c>
      <c r="AJ19">
        <f t="shared" si="12"/>
        <v>0.99946014577375952</v>
      </c>
      <c r="AK19">
        <f t="shared" si="13"/>
        <v>69.962210204163171</v>
      </c>
      <c r="AL19">
        <f t="shared" si="14"/>
        <v>1</v>
      </c>
      <c r="AM19">
        <f t="shared" si="15"/>
        <v>112.19</v>
      </c>
      <c r="AN19">
        <f t="shared" si="16"/>
        <v>42.227789919187543</v>
      </c>
      <c r="AO19">
        <f t="shared" si="17"/>
        <v>-0.17221008081245515</v>
      </c>
      <c r="AP19">
        <f t="shared" si="18"/>
        <v>0.99999993268910548</v>
      </c>
      <c r="AQ19">
        <f t="shared" si="19"/>
        <v>3.6197175823066106E-8</v>
      </c>
      <c r="AR19">
        <f t="shared" si="20"/>
        <v>-1.3937379580289911E-3</v>
      </c>
      <c r="AS19">
        <f t="shared" si="21"/>
        <v>1.3526376720048768E-7</v>
      </c>
      <c r="AT19">
        <f t="shared" si="22"/>
        <v>7.5559178731539445E-2</v>
      </c>
      <c r="AU19">
        <f t="shared" si="23"/>
        <v>1.2335071993776036E-7</v>
      </c>
      <c r="AV19">
        <f t="shared" si="24"/>
        <v>-3.9999876649280064E-2</v>
      </c>
      <c r="AW19">
        <f t="shared" si="25"/>
        <v>-6.7310894524830189E-8</v>
      </c>
      <c r="AX19">
        <f t="shared" si="26"/>
        <v>3.6197175823066106E-8</v>
      </c>
      <c r="AY19">
        <f t="shared" si="27"/>
        <v>-6.8432049645221927E-8</v>
      </c>
      <c r="AZ19">
        <f t="shared" si="28"/>
        <v>1.3526376720048768E-7</v>
      </c>
      <c r="BA19">
        <f t="shared" si="29"/>
        <v>-8.2889567760528054E-9</v>
      </c>
    </row>
    <row r="20" spans="3:53">
      <c r="C20">
        <f>RTD("tos.rtd", , "LAST", ".AAPL160520C75")</f>
        <v>22.57</v>
      </c>
      <c r="D20" t="str">
        <f>RTD("tos.rtd", , "LX", ".AAPL160520C75")</f>
        <v>C</v>
      </c>
      <c r="E20">
        <f>RTD("tos.rtd", , "NET_CHANGE", ".AAPL160520C75")</f>
        <v>0</v>
      </c>
      <c r="F20">
        <f>RTD("tos.rtd", , "BID", ".AAPL160520C75")</f>
        <v>37</v>
      </c>
      <c r="G20" t="str">
        <f>RTD("tos.rtd", , "BX", ".AAPL160520C75")</f>
        <v>C</v>
      </c>
      <c r="H20">
        <f>RTD("tos.rtd", , "ASK", ".AAPL160520C75")</f>
        <v>37.450000000000003</v>
      </c>
      <c r="I20" t="str">
        <f>RTD("tos.rtd", , "AX", ".AAPL160520C75")</f>
        <v>C</v>
      </c>
      <c r="J20" t="str">
        <f>RTD("tos.rtd", , "EXPIRATION_DAY", ".AAPL160520C75")</f>
        <v>2016-05-21</v>
      </c>
      <c r="K20">
        <f>RTD("tos.rtd", , "STRIKE", ".AAPL160520C75")</f>
        <v>75</v>
      </c>
      <c r="L20">
        <f>RTD("tos.rtd", , "BID", ".AAPL160520P75")</f>
        <v>0.03</v>
      </c>
      <c r="M20" t="str">
        <f>RTD("tos.rtd", , "BX", ".AAPL160520P75")</f>
        <v>Z</v>
      </c>
      <c r="N20">
        <f>RTD("tos.rtd", , "ASK", ".AAPL160520P75")</f>
        <v>0.04</v>
      </c>
      <c r="O20" t="str">
        <f>RTD("tos.rtd", , "AX", ".AAPL160520P75")</f>
        <v>Z</v>
      </c>
      <c r="P20">
        <f>RTD("tos.rtd", , "LAST", ".AAPL160520P75")</f>
        <v>0.03</v>
      </c>
      <c r="Q20" t="str">
        <f>RTD("tos.rtd", , "LX", ".AAPL160520P75")</f>
        <v>M</v>
      </c>
      <c r="R20">
        <f>RTD("tos.rtd", , "NET_CHANGE", ".AAPL160520P75")</f>
        <v>-0.01</v>
      </c>
      <c r="T20">
        <f t="shared" si="0"/>
        <v>112.19</v>
      </c>
      <c r="U20">
        <f t="shared" si="1"/>
        <v>75</v>
      </c>
      <c r="V20" s="1">
        <v>0.27489999999999998</v>
      </c>
      <c r="W20" s="1">
        <v>5.0000000000000001E-3</v>
      </c>
      <c r="X20" s="1">
        <v>0</v>
      </c>
      <c r="Y20" s="2">
        <v>27</v>
      </c>
      <c r="Z20" s="1">
        <f t="shared" si="2"/>
        <v>0.108</v>
      </c>
      <c r="AA20" s="3">
        <f t="shared" si="3"/>
        <v>0.40270574902056289</v>
      </c>
      <c r="AB20" s="3">
        <f t="shared" si="4"/>
        <v>4.6207805399999993E-3</v>
      </c>
      <c r="AC20" s="3">
        <f t="shared" si="5"/>
        <v>9.03413586349021E-2</v>
      </c>
      <c r="AD20" s="3">
        <f t="shared" si="6"/>
        <v>4.5087492120491319</v>
      </c>
      <c r="AE20" s="3">
        <f t="shared" si="7"/>
        <v>4.4184078534142301</v>
      </c>
      <c r="AF20">
        <f t="shared" si="8"/>
        <v>0.99999673945308787</v>
      </c>
      <c r="AG20">
        <f t="shared" si="9"/>
        <v>3.2605469121316233E-6</v>
      </c>
      <c r="AH20">
        <f t="shared" si="10"/>
        <v>0.999995028467208</v>
      </c>
      <c r="AI20">
        <f t="shared" si="11"/>
        <v>4.9715327919974683E-6</v>
      </c>
      <c r="AJ20">
        <f t="shared" si="12"/>
        <v>0.99946014577375952</v>
      </c>
      <c r="AK20">
        <f t="shared" si="13"/>
        <v>74.959510933031964</v>
      </c>
      <c r="AL20">
        <f t="shared" si="14"/>
        <v>1</v>
      </c>
      <c r="AM20">
        <f t="shared" si="15"/>
        <v>112.19</v>
      </c>
      <c r="AN20">
        <f t="shared" si="16"/>
        <v>37.230495929876639</v>
      </c>
      <c r="AO20">
        <f t="shared" si="17"/>
        <v>-0.2195040701233637</v>
      </c>
      <c r="AP20">
        <f t="shared" si="18"/>
        <v>0.99999673945308787</v>
      </c>
      <c r="AQ20">
        <f t="shared" si="19"/>
        <v>1.5160804352505187E-6</v>
      </c>
      <c r="AR20">
        <f t="shared" si="20"/>
        <v>-1.4960825332629283E-3</v>
      </c>
      <c r="AS20">
        <f t="shared" si="21"/>
        <v>5.6653798642562036E-6</v>
      </c>
      <c r="AT20">
        <f t="shared" si="22"/>
        <v>8.0955869330914504E-2</v>
      </c>
      <c r="AU20">
        <f t="shared" si="23"/>
        <v>6.8629086036143335E-6</v>
      </c>
      <c r="AV20">
        <f t="shared" si="24"/>
        <v>-3.9993137091396389E-2</v>
      </c>
      <c r="AW20">
        <f t="shared" si="25"/>
        <v>-3.2605469121316233E-6</v>
      </c>
      <c r="AX20">
        <f t="shared" si="26"/>
        <v>1.5160804352505187E-6</v>
      </c>
      <c r="AY20">
        <f t="shared" si="27"/>
        <v>-2.8651839993432429E-6</v>
      </c>
      <c r="AZ20">
        <f t="shared" si="28"/>
        <v>5.6653798642562036E-6</v>
      </c>
      <c r="BA20">
        <f t="shared" si="29"/>
        <v>-4.0247676000971397E-7</v>
      </c>
    </row>
    <row r="21" spans="3:53">
      <c r="C21">
        <f>RTD("tos.rtd", , "LAST", ".AAPL160520C80")</f>
        <v>32.25</v>
      </c>
      <c r="D21" t="str">
        <f>RTD("tos.rtd", , "LX", ".AAPL160520C80")</f>
        <v>X</v>
      </c>
      <c r="E21">
        <f>RTD("tos.rtd", , "NET_CHANGE", ".AAPL160520C80")</f>
        <v>2.25</v>
      </c>
      <c r="F21">
        <f>RTD("tos.rtd", , "BID", ".AAPL160520C80")</f>
        <v>32.049999999999997</v>
      </c>
      <c r="G21" t="str">
        <f>RTD("tos.rtd", , "BX", ".AAPL160520C80")</f>
        <v>C</v>
      </c>
      <c r="H21">
        <f>RTD("tos.rtd", , "ASK", ".AAPL160520C80")</f>
        <v>32.299999999999997</v>
      </c>
      <c r="I21" t="str">
        <f>RTD("tos.rtd", , "AX", ".AAPL160520C80")</f>
        <v>C</v>
      </c>
      <c r="J21" t="str">
        <f>RTD("tos.rtd", , "EXPIRATION_DAY", ".AAPL160520C80")</f>
        <v>2016-05-21</v>
      </c>
      <c r="K21">
        <f>RTD("tos.rtd", , "STRIKE", ".AAPL160520C80")</f>
        <v>80</v>
      </c>
      <c r="L21">
        <f>RTD("tos.rtd", , "BID", ".AAPL160520P80")</f>
        <v>0.05</v>
      </c>
      <c r="M21" t="str">
        <f>RTD("tos.rtd", , "BX", ".AAPL160520P80")</f>
        <v>M</v>
      </c>
      <c r="N21">
        <f>RTD("tos.rtd", , "ASK", ".AAPL160520P80")</f>
        <v>0.06</v>
      </c>
      <c r="O21" t="str">
        <f>RTD("tos.rtd", , "AX", ".AAPL160520P80")</f>
        <v>Z</v>
      </c>
      <c r="P21">
        <f>RTD("tos.rtd", , "LAST", ".AAPL160520P80")</f>
        <v>0.05</v>
      </c>
      <c r="Q21" t="str">
        <f>RTD("tos.rtd", , "LX", ".AAPL160520P80")</f>
        <v>I</v>
      </c>
      <c r="R21">
        <f>RTD("tos.rtd", , "NET_CHANGE", ".AAPL160520P80")</f>
        <v>-0.01</v>
      </c>
      <c r="T21">
        <f t="shared" si="0"/>
        <v>112.19</v>
      </c>
      <c r="U21">
        <f t="shared" si="1"/>
        <v>80</v>
      </c>
      <c r="V21" s="1">
        <v>0.27489999999999998</v>
      </c>
      <c r="W21" s="1">
        <v>5.0000000000000001E-3</v>
      </c>
      <c r="X21" s="1">
        <v>0</v>
      </c>
      <c r="Y21" s="2">
        <v>27</v>
      </c>
      <c r="Z21" s="1">
        <f t="shared" si="2"/>
        <v>0.108</v>
      </c>
      <c r="AA21" s="3">
        <f t="shared" si="3"/>
        <v>0.33816722788299164</v>
      </c>
      <c r="AB21" s="3">
        <f t="shared" si="4"/>
        <v>4.6207805399999993E-3</v>
      </c>
      <c r="AC21" s="3">
        <f t="shared" si="5"/>
        <v>9.03413586349021E-2</v>
      </c>
      <c r="AD21" s="3">
        <f t="shared" si="6"/>
        <v>3.7943641052411663</v>
      </c>
      <c r="AE21" s="3">
        <f t="shared" si="7"/>
        <v>3.7040227466062641</v>
      </c>
      <c r="AF21">
        <f t="shared" si="8"/>
        <v>0.99992598883723915</v>
      </c>
      <c r="AG21">
        <f t="shared" si="9"/>
        <v>7.4011162760845295E-5</v>
      </c>
      <c r="AH21">
        <f t="shared" si="10"/>
        <v>0.9998938963913131</v>
      </c>
      <c r="AI21">
        <f t="shared" si="11"/>
        <v>1.0610360868690272E-4</v>
      </c>
      <c r="AJ21">
        <f t="shared" si="12"/>
        <v>0.99946014577375952</v>
      </c>
      <c r="AK21">
        <f t="shared" si="13"/>
        <v>79.956811661900758</v>
      </c>
      <c r="AL21">
        <f t="shared" si="14"/>
        <v>1</v>
      </c>
      <c r="AM21">
        <f t="shared" si="15"/>
        <v>112.19</v>
      </c>
      <c r="AN21">
        <f t="shared" si="16"/>
        <v>32.23336873200553</v>
      </c>
      <c r="AO21">
        <f t="shared" si="17"/>
        <v>-6.6631267994466725E-2</v>
      </c>
      <c r="AP21">
        <f t="shared" si="18"/>
        <v>0.99992598883723915</v>
      </c>
      <c r="AQ21">
        <f t="shared" si="19"/>
        <v>2.942776423267533E-5</v>
      </c>
      <c r="AR21">
        <f t="shared" si="20"/>
        <v>-1.6483547058120287E-3</v>
      </c>
      <c r="AS21">
        <f t="shared" si="21"/>
        <v>1.0996742590793266E-4</v>
      </c>
      <c r="AT21">
        <f t="shared" si="22"/>
        <v>8.6344194192095894E-2</v>
      </c>
      <c r="AU21">
        <f t="shared" si="23"/>
        <v>1.8039390628746439E-4</v>
      </c>
      <c r="AV21">
        <f t="shared" si="24"/>
        <v>-5.9819606093712535E-2</v>
      </c>
      <c r="AW21">
        <f t="shared" si="25"/>
        <v>-7.4011162760845295E-5</v>
      </c>
      <c r="AX21">
        <f t="shared" si="26"/>
        <v>2.942776423267533E-5</v>
      </c>
      <c r="AY21">
        <f t="shared" si="27"/>
        <v>-5.5589533264204813E-5</v>
      </c>
      <c r="AZ21">
        <f t="shared" si="28"/>
        <v>1.0996742590793266E-4</v>
      </c>
      <c r="BA21">
        <f t="shared" si="29"/>
        <v>-9.162402756940835E-6</v>
      </c>
    </row>
    <row r="22" spans="3:53">
      <c r="C22">
        <f>RTD("tos.rtd", , "LAST", ".AAPL160520C85")</f>
        <v>24.87</v>
      </c>
      <c r="D22" t="str">
        <f>RTD("tos.rtd", , "LX", ".AAPL160520C85")</f>
        <v>X</v>
      </c>
      <c r="E22">
        <f>RTD("tos.rtd", , "NET_CHANGE", ".AAPL160520C85")</f>
        <v>0</v>
      </c>
      <c r="F22">
        <f>RTD("tos.rtd", , "BID", ".AAPL160520C85")</f>
        <v>27.1</v>
      </c>
      <c r="G22" t="str">
        <f>RTD("tos.rtd", , "BX", ".AAPL160520C85")</f>
        <v>C</v>
      </c>
      <c r="H22">
        <f>RTD("tos.rtd", , "ASK", ".AAPL160520C85")</f>
        <v>27.35</v>
      </c>
      <c r="I22" t="str">
        <f>RTD("tos.rtd", , "AX", ".AAPL160520C85")</f>
        <v>C</v>
      </c>
      <c r="J22" t="str">
        <f>RTD("tos.rtd", , "EXPIRATION_DAY", ".AAPL160520C85")</f>
        <v>2016-05-21</v>
      </c>
      <c r="K22">
        <f>RTD("tos.rtd", , "STRIKE", ".AAPL160520C85")</f>
        <v>85</v>
      </c>
      <c r="L22">
        <f>RTD("tos.rtd", , "BID", ".AAPL160520P85")</f>
        <v>0.1</v>
      </c>
      <c r="M22" t="str">
        <f>RTD("tos.rtd", , "BX", ".AAPL160520P85")</f>
        <v>Z</v>
      </c>
      <c r="N22">
        <f>RTD("tos.rtd", , "ASK", ".AAPL160520P85")</f>
        <v>0.11</v>
      </c>
      <c r="O22" t="str">
        <f>RTD("tos.rtd", , "AX", ".AAPL160520P85")</f>
        <v>Z</v>
      </c>
      <c r="P22">
        <f>RTD("tos.rtd", , "LAST", ".AAPL160520P85")</f>
        <v>0.11</v>
      </c>
      <c r="Q22" t="str">
        <f>RTD("tos.rtd", , "LX", ".AAPL160520P85")</f>
        <v>M</v>
      </c>
      <c r="R22">
        <f>RTD("tos.rtd", , "NET_CHANGE", ".AAPL160520P85")</f>
        <v>-0.02</v>
      </c>
      <c r="T22">
        <f t="shared" si="0"/>
        <v>112.19</v>
      </c>
      <c r="U22">
        <f t="shared" si="1"/>
        <v>85</v>
      </c>
      <c r="V22" s="1">
        <v>0.27489999999999998</v>
      </c>
      <c r="W22" s="1">
        <v>5.0000000000000001E-3</v>
      </c>
      <c r="X22" s="1">
        <v>0</v>
      </c>
      <c r="Y22" s="2">
        <v>27</v>
      </c>
      <c r="Z22" s="1">
        <f t="shared" si="2"/>
        <v>0.108</v>
      </c>
      <c r="AA22" s="3">
        <f t="shared" si="3"/>
        <v>0.2775426060665569</v>
      </c>
      <c r="AB22" s="3">
        <f t="shared" si="4"/>
        <v>4.6207805399999993E-3</v>
      </c>
      <c r="AC22" s="3">
        <f t="shared" si="5"/>
        <v>9.03413586349021E-2</v>
      </c>
      <c r="AD22" s="3">
        <f t="shared" si="6"/>
        <v>3.1233024482935665</v>
      </c>
      <c r="AE22" s="3">
        <f t="shared" si="7"/>
        <v>3.0329610896586643</v>
      </c>
      <c r="AF22">
        <f t="shared" si="8"/>
        <v>0.99910583063188285</v>
      </c>
      <c r="AG22">
        <f t="shared" si="9"/>
        <v>8.9416936811714809E-4</v>
      </c>
      <c r="AH22">
        <f t="shared" si="10"/>
        <v>0.99878916588462874</v>
      </c>
      <c r="AI22">
        <f t="shared" si="11"/>
        <v>1.2108341153712621E-3</v>
      </c>
      <c r="AJ22">
        <f t="shared" si="12"/>
        <v>0.99946014577375952</v>
      </c>
      <c r="AK22">
        <f t="shared" si="13"/>
        <v>84.954112390769566</v>
      </c>
      <c r="AL22">
        <f t="shared" si="14"/>
        <v>1</v>
      </c>
      <c r="AM22">
        <f t="shared" si="15"/>
        <v>112.19</v>
      </c>
      <c r="AN22">
        <f t="shared" si="16"/>
        <v>27.238436085345185</v>
      </c>
      <c r="AO22">
        <f t="shared" si="17"/>
        <v>-0.11156391465481619</v>
      </c>
      <c r="AP22">
        <f t="shared" si="18"/>
        <v>0.99910583063188285</v>
      </c>
      <c r="AQ22">
        <f t="shared" si="19"/>
        <v>2.9977403680014078E-4</v>
      </c>
      <c r="AR22">
        <f t="shared" si="20"/>
        <v>-2.2582635443044933E-3</v>
      </c>
      <c r="AS22">
        <f t="shared" si="21"/>
        <v>1.1202135140235361E-3</v>
      </c>
      <c r="AT22">
        <f t="shared" si="22"/>
        <v>9.1639346817505393E-2</v>
      </c>
      <c r="AU22">
        <f t="shared" si="23"/>
        <v>2.5484761147653995E-3</v>
      </c>
      <c r="AV22">
        <f t="shared" si="24"/>
        <v>-0.1074515238852346</v>
      </c>
      <c r="AW22">
        <f t="shared" si="25"/>
        <v>-8.9416936811714809E-4</v>
      </c>
      <c r="AX22">
        <f t="shared" si="26"/>
        <v>2.9977403680014078E-4</v>
      </c>
      <c r="AY22">
        <f t="shared" si="27"/>
        <v>-5.6595054847243008E-4</v>
      </c>
      <c r="AZ22">
        <f t="shared" si="28"/>
        <v>1.1202135140235361E-3</v>
      </c>
      <c r="BA22">
        <f t="shared" si="29"/>
        <v>-1.110945645257345E-4</v>
      </c>
    </row>
    <row r="23" spans="3:53">
      <c r="C23">
        <f>RTD("tos.rtd", , "LAST", ".AAPL160520C87.5")</f>
        <v>22.55</v>
      </c>
      <c r="D23" t="str">
        <f>RTD("tos.rtd", , "LX", ".AAPL160520C87.5")</f>
        <v>Z</v>
      </c>
      <c r="E23">
        <f>RTD("tos.rtd", , "NET_CHANGE", ".AAPL160520C87.5")</f>
        <v>0</v>
      </c>
      <c r="F23">
        <f>RTD("tos.rtd", , "BID", ".AAPL160520C87.5")</f>
        <v>24.6</v>
      </c>
      <c r="G23" t="str">
        <f>RTD("tos.rtd", , "BX", ".AAPL160520C87.5")</f>
        <v>C</v>
      </c>
      <c r="H23">
        <f>RTD("tos.rtd", , "ASK", ".AAPL160520C87.5")</f>
        <v>24.9</v>
      </c>
      <c r="I23" t="str">
        <f>RTD("tos.rtd", , "AX", ".AAPL160520C87.5")</f>
        <v>A</v>
      </c>
      <c r="J23" t="str">
        <f>RTD("tos.rtd", , "EXPIRATION_DAY", ".AAPL160520C87.5")</f>
        <v>2016-05-21</v>
      </c>
      <c r="K23">
        <f>RTD("tos.rtd", , "STRIKE", ".AAPL160520C87.5")</f>
        <v>87.5</v>
      </c>
      <c r="L23">
        <f>RTD("tos.rtd", , "BID", ".AAPL160520P87.5")</f>
        <v>0.14000000000000001</v>
      </c>
      <c r="M23" t="str">
        <f>RTD("tos.rtd", , "BX", ".AAPL160520P87.5")</f>
        <v>Z</v>
      </c>
      <c r="N23">
        <f>RTD("tos.rtd", , "ASK", ".AAPL160520P87.5")</f>
        <v>0.15</v>
      </c>
      <c r="O23" t="str">
        <f>RTD("tos.rtd", , "AX", ".AAPL160520P87.5")</f>
        <v>Z</v>
      </c>
      <c r="P23">
        <f>RTD("tos.rtd", , "LAST", ".AAPL160520P87.5")</f>
        <v>0.15</v>
      </c>
      <c r="Q23" t="str">
        <f>RTD("tos.rtd", , "LX", ".AAPL160520P87.5")</f>
        <v>C</v>
      </c>
      <c r="R23">
        <f>RTD("tos.rtd", , "NET_CHANGE", ".AAPL160520P87.5")</f>
        <v>-0.03</v>
      </c>
      <c r="T23">
        <f t="shared" si="0"/>
        <v>112.19</v>
      </c>
      <c r="U23">
        <f t="shared" si="1"/>
        <v>87.5</v>
      </c>
      <c r="V23" s="1">
        <v>0.27489999999999998</v>
      </c>
      <c r="W23" s="1">
        <v>5.0000000000000001E-3</v>
      </c>
      <c r="X23" s="1">
        <v>0</v>
      </c>
      <c r="Y23" s="2">
        <v>27</v>
      </c>
      <c r="Z23" s="1">
        <f t="shared" si="2"/>
        <v>0.108</v>
      </c>
      <c r="AA23" s="3">
        <f t="shared" si="3"/>
        <v>0.24855506919330453</v>
      </c>
      <c r="AB23" s="3">
        <f t="shared" si="4"/>
        <v>4.6207805399999993E-3</v>
      </c>
      <c r="AC23" s="3">
        <f t="shared" si="5"/>
        <v>9.03413586349021E-2</v>
      </c>
      <c r="AD23" s="3">
        <f t="shared" si="6"/>
        <v>2.8024357122684851</v>
      </c>
      <c r="AE23" s="3">
        <f t="shared" si="7"/>
        <v>2.7120943536335829</v>
      </c>
      <c r="AF23">
        <f t="shared" si="8"/>
        <v>0.99746408381840457</v>
      </c>
      <c r="AG23">
        <f t="shared" si="9"/>
        <v>2.5359161815954323E-3</v>
      </c>
      <c r="AH23">
        <f t="shared" si="10"/>
        <v>0.99665702207463447</v>
      </c>
      <c r="AI23">
        <f t="shared" si="11"/>
        <v>3.3429779253655312E-3</v>
      </c>
      <c r="AJ23">
        <f t="shared" si="12"/>
        <v>0.99946014577375952</v>
      </c>
      <c r="AK23">
        <f t="shared" si="13"/>
        <v>87.452762755203963</v>
      </c>
      <c r="AL23">
        <f t="shared" si="14"/>
        <v>1</v>
      </c>
      <c r="AM23">
        <f t="shared" si="15"/>
        <v>112.19</v>
      </c>
      <c r="AN23">
        <f t="shared" si="16"/>
        <v>24.745085463785728</v>
      </c>
      <c r="AO23">
        <f t="shared" si="17"/>
        <v>-0.15491453621427098</v>
      </c>
      <c r="AP23">
        <f t="shared" si="18"/>
        <v>0.99746408381840457</v>
      </c>
      <c r="AQ23">
        <f t="shared" si="19"/>
        <v>7.7566064488685362E-4</v>
      </c>
      <c r="AR23">
        <f t="shared" si="20"/>
        <v>-3.2059534078641193E-3</v>
      </c>
      <c r="AS23">
        <f t="shared" si="21"/>
        <v>2.8985349964705692E-3</v>
      </c>
      <c r="AT23">
        <f t="shared" si="22"/>
        <v>9.4133242907785158E-2</v>
      </c>
      <c r="AU23">
        <f t="shared" si="23"/>
        <v>7.8482189896841859E-3</v>
      </c>
      <c r="AV23">
        <f t="shared" si="24"/>
        <v>-0.14215178101031581</v>
      </c>
      <c r="AW23">
        <f t="shared" si="25"/>
        <v>-2.5359161815954323E-3</v>
      </c>
      <c r="AX23">
        <f t="shared" si="26"/>
        <v>7.7566064488685362E-4</v>
      </c>
      <c r="AY23">
        <f t="shared" si="27"/>
        <v>-1.463866500389937E-3</v>
      </c>
      <c r="AZ23">
        <f t="shared" si="28"/>
        <v>2.8985349964705692E-3</v>
      </c>
      <c r="BA23">
        <f t="shared" si="29"/>
        <v>-3.1574086783510576E-4</v>
      </c>
    </row>
    <row r="24" spans="3:53">
      <c r="C24">
        <f>RTD("tos.rtd", , "LAST", ".AAPL160520C90")</f>
        <v>22.35</v>
      </c>
      <c r="D24" t="str">
        <f>RTD("tos.rtd", , "LX", ".AAPL160520C90")</f>
        <v>N</v>
      </c>
      <c r="E24">
        <f>RTD("tos.rtd", , "NET_CHANGE", ".AAPL160520C90")</f>
        <v>1.75</v>
      </c>
      <c r="F24">
        <f>RTD("tos.rtd", , "BID", ".AAPL160520C90")</f>
        <v>22.2</v>
      </c>
      <c r="G24" t="str">
        <f>RTD("tos.rtd", , "BX", ".AAPL160520C90")</f>
        <v>C</v>
      </c>
      <c r="H24">
        <f>RTD("tos.rtd", , "ASK", ".AAPL160520C90")</f>
        <v>22.4</v>
      </c>
      <c r="I24" t="str">
        <f>RTD("tos.rtd", , "AX", ".AAPL160520C90")</f>
        <v>C</v>
      </c>
      <c r="J24" t="str">
        <f>RTD("tos.rtd", , "EXPIRATION_DAY", ".AAPL160520C90")</f>
        <v>2016-05-21</v>
      </c>
      <c r="K24">
        <f>RTD("tos.rtd", , "STRIKE", ".AAPL160520C90")</f>
        <v>90</v>
      </c>
      <c r="L24">
        <f>RTD("tos.rtd", , "BID", ".AAPL160520P90")</f>
        <v>0.18</v>
      </c>
      <c r="M24" t="str">
        <f>RTD("tos.rtd", , "BX", ".AAPL160520P90")</f>
        <v>Z</v>
      </c>
      <c r="N24">
        <f>RTD("tos.rtd", , "ASK", ".AAPL160520P90")</f>
        <v>0.19</v>
      </c>
      <c r="O24" t="str">
        <f>RTD("tos.rtd", , "AX", ".AAPL160520P90")</f>
        <v>Z</v>
      </c>
      <c r="P24">
        <f>RTD("tos.rtd", , "LAST", ".AAPL160520P90")</f>
        <v>0.19</v>
      </c>
      <c r="Q24" t="str">
        <f>RTD("tos.rtd", , "LX", ".AAPL160520P90")</f>
        <v>M</v>
      </c>
      <c r="R24">
        <f>RTD("tos.rtd", , "NET_CHANGE", ".AAPL160520P90")</f>
        <v>-7.0000000000000007E-2</v>
      </c>
      <c r="T24">
        <f t="shared" si="0"/>
        <v>112.19</v>
      </c>
      <c r="U24">
        <f t="shared" si="1"/>
        <v>90</v>
      </c>
      <c r="V24" s="1">
        <v>0.27489999999999998</v>
      </c>
      <c r="W24" s="1">
        <v>5.0000000000000001E-3</v>
      </c>
      <c r="X24" s="1">
        <v>0</v>
      </c>
      <c r="Y24" s="2">
        <v>27</v>
      </c>
      <c r="Z24" s="1">
        <f t="shared" si="2"/>
        <v>0.108</v>
      </c>
      <c r="AA24" s="3">
        <f t="shared" si="3"/>
        <v>0.22038419222660832</v>
      </c>
      <c r="AB24" s="3">
        <f t="shared" si="4"/>
        <v>4.6207805399999993E-3</v>
      </c>
      <c r="AC24" s="3">
        <f t="shared" si="5"/>
        <v>9.03413586349021E-2</v>
      </c>
      <c r="AD24" s="3">
        <f t="shared" si="6"/>
        <v>2.4906086887172498</v>
      </c>
      <c r="AE24" s="3">
        <f t="shared" si="7"/>
        <v>2.4002673300823476</v>
      </c>
      <c r="AF24">
        <f t="shared" si="8"/>
        <v>0.99362377577480077</v>
      </c>
      <c r="AG24">
        <f t="shared" si="9"/>
        <v>6.376224225199234E-3</v>
      </c>
      <c r="AH24">
        <f t="shared" si="10"/>
        <v>0.99180844888685105</v>
      </c>
      <c r="AI24">
        <f t="shared" si="11"/>
        <v>8.1915511131489538E-3</v>
      </c>
      <c r="AJ24">
        <f t="shared" si="12"/>
        <v>0.99946014577375952</v>
      </c>
      <c r="AK24">
        <f t="shared" si="13"/>
        <v>89.95141311963836</v>
      </c>
      <c r="AL24">
        <f t="shared" si="14"/>
        <v>1</v>
      </c>
      <c r="AM24">
        <f t="shared" si="15"/>
        <v>112.19</v>
      </c>
      <c r="AN24">
        <f t="shared" si="16"/>
        <v>22.260079882806025</v>
      </c>
      <c r="AO24">
        <f t="shared" si="17"/>
        <v>-0.13992011719397368</v>
      </c>
      <c r="AP24">
        <f t="shared" si="18"/>
        <v>0.99362377577480077</v>
      </c>
      <c r="AQ24">
        <f t="shared" si="19"/>
        <v>1.7704202942980091E-3</v>
      </c>
      <c r="AR24">
        <f t="shared" si="20"/>
        <v>-5.1317031037152383E-3</v>
      </c>
      <c r="AS24">
        <f t="shared" si="21"/>
        <v>6.6158122309184064E-3</v>
      </c>
      <c r="AT24">
        <f t="shared" si="22"/>
        <v>9.6351737243078384E-2</v>
      </c>
      <c r="AU24">
        <f t="shared" si="23"/>
        <v>2.1493002444393006E-2</v>
      </c>
      <c r="AV24">
        <f t="shared" si="24"/>
        <v>-0.168506997555607</v>
      </c>
      <c r="AW24">
        <f t="shared" si="25"/>
        <v>-6.376224225199234E-3</v>
      </c>
      <c r="AX24">
        <f t="shared" si="26"/>
        <v>1.7704202942980091E-3</v>
      </c>
      <c r="AY24">
        <f t="shared" si="27"/>
        <v>-3.339842284598936E-3</v>
      </c>
      <c r="AZ24">
        <f t="shared" si="28"/>
        <v>6.6158122309184064E-3</v>
      </c>
      <c r="BA24">
        <f t="shared" si="29"/>
        <v>-7.9578892613105462E-4</v>
      </c>
    </row>
    <row r="25" spans="3:53">
      <c r="C25">
        <f>RTD("tos.rtd", , "LAST", ".AAPL160520C92.5")</f>
        <v>20</v>
      </c>
      <c r="D25" t="str">
        <f>RTD("tos.rtd", , "LX", ".AAPL160520C92.5")</f>
        <v>Q</v>
      </c>
      <c r="E25">
        <f>RTD("tos.rtd", , "NET_CHANGE", ".AAPL160520C92.5")</f>
        <v>1.95</v>
      </c>
      <c r="F25">
        <f>RTD("tos.rtd", , "BID", ".AAPL160520C92.5")</f>
        <v>19.7</v>
      </c>
      <c r="G25" t="str">
        <f>RTD("tos.rtd", , "BX", ".AAPL160520C92.5")</f>
        <v>X</v>
      </c>
      <c r="H25">
        <f>RTD("tos.rtd", , "ASK", ".AAPL160520C92.5")</f>
        <v>19.95</v>
      </c>
      <c r="I25" t="str">
        <f>RTD("tos.rtd", , "AX", ".AAPL160520C92.5")</f>
        <v>C</v>
      </c>
      <c r="J25" t="str">
        <f>RTD("tos.rtd", , "EXPIRATION_DAY", ".AAPL160520C92.5")</f>
        <v>2016-05-21</v>
      </c>
      <c r="K25">
        <f>RTD("tos.rtd", , "STRIKE", ".AAPL160520C92.5")</f>
        <v>92.5</v>
      </c>
      <c r="L25">
        <f>RTD("tos.rtd", , "BID", ".AAPL160520P92.5")</f>
        <v>0.25</v>
      </c>
      <c r="M25" t="str">
        <f>RTD("tos.rtd", , "BX", ".AAPL160520P92.5")</f>
        <v>Z</v>
      </c>
      <c r="N25">
        <f>RTD("tos.rtd", , "ASK", ".AAPL160520P92.5")</f>
        <v>0.26</v>
      </c>
      <c r="O25" t="str">
        <f>RTD("tos.rtd", , "AX", ".AAPL160520P92.5")</f>
        <v>Z</v>
      </c>
      <c r="P25">
        <f>RTD("tos.rtd", , "LAST", ".AAPL160520P92.5")</f>
        <v>0.26</v>
      </c>
      <c r="Q25" t="str">
        <f>RTD("tos.rtd", , "LX", ".AAPL160520P92.5")</f>
        <v>B</v>
      </c>
      <c r="R25">
        <f>RTD("tos.rtd", , "NET_CHANGE", ".AAPL160520P92.5")</f>
        <v>-0.05</v>
      </c>
      <c r="T25">
        <f t="shared" si="0"/>
        <v>112.19</v>
      </c>
      <c r="U25">
        <f t="shared" si="1"/>
        <v>92.5</v>
      </c>
      <c r="V25" s="1">
        <v>0.27489999999999998</v>
      </c>
      <c r="W25" s="1">
        <v>5.0000000000000001E-3</v>
      </c>
      <c r="X25" s="1">
        <v>0</v>
      </c>
      <c r="Y25" s="2">
        <v>27</v>
      </c>
      <c r="Z25" s="1">
        <f t="shared" si="2"/>
        <v>0.108</v>
      </c>
      <c r="AA25" s="3">
        <f t="shared" si="3"/>
        <v>0.19298521803849372</v>
      </c>
      <c r="AB25" s="3">
        <f t="shared" si="4"/>
        <v>4.6207805399999993E-3</v>
      </c>
      <c r="AC25" s="3">
        <f t="shared" si="5"/>
        <v>9.03413586349021E-2</v>
      </c>
      <c r="AD25" s="3">
        <f t="shared" si="6"/>
        <v>2.1873259552923248</v>
      </c>
      <c r="AE25" s="3">
        <f t="shared" si="7"/>
        <v>2.0969845966574225</v>
      </c>
      <c r="AF25">
        <f t="shared" si="8"/>
        <v>0.98564063136802726</v>
      </c>
      <c r="AG25">
        <f t="shared" si="9"/>
        <v>1.4359368631972735E-2</v>
      </c>
      <c r="AH25">
        <f t="shared" si="10"/>
        <v>0.98200253054486497</v>
      </c>
      <c r="AI25">
        <f t="shared" si="11"/>
        <v>1.7997469455135029E-2</v>
      </c>
      <c r="AJ25">
        <f t="shared" si="12"/>
        <v>0.99946014577375952</v>
      </c>
      <c r="AK25">
        <f t="shared" si="13"/>
        <v>92.450063484072757</v>
      </c>
      <c r="AL25">
        <f t="shared" si="14"/>
        <v>1</v>
      </c>
      <c r="AM25">
        <f t="shared" si="15"/>
        <v>112.19</v>
      </c>
      <c r="AN25">
        <f t="shared" si="16"/>
        <v>19.792826142786112</v>
      </c>
      <c r="AO25">
        <f t="shared" si="17"/>
        <v>-0.15717385721388766</v>
      </c>
      <c r="AP25">
        <f t="shared" si="18"/>
        <v>0.98564063136802726</v>
      </c>
      <c r="AQ25">
        <f t="shared" si="19"/>
        <v>3.5987457270932922E-3</v>
      </c>
      <c r="AR25">
        <f t="shared" si="20"/>
        <v>-8.6272470766333344E-3</v>
      </c>
      <c r="AS25">
        <f t="shared" si="21"/>
        <v>1.3448007839691835E-2</v>
      </c>
      <c r="AT25">
        <f t="shared" si="22"/>
        <v>9.8049091993624285E-2</v>
      </c>
      <c r="AU25">
        <f t="shared" si="23"/>
        <v>5.2889626858872552E-2</v>
      </c>
      <c r="AV25">
        <f t="shared" si="24"/>
        <v>-0.20711037314112746</v>
      </c>
      <c r="AW25">
        <f t="shared" si="25"/>
        <v>-1.4359368631972735E-2</v>
      </c>
      <c r="AX25">
        <f t="shared" si="26"/>
        <v>3.5987457270932922E-3</v>
      </c>
      <c r="AY25">
        <f t="shared" si="27"/>
        <v>-6.7856123458749111E-3</v>
      </c>
      <c r="AZ25">
        <f t="shared" si="28"/>
        <v>1.3448007839691835E-2</v>
      </c>
      <c r="BA25">
        <f t="shared" si="29"/>
        <v>-1.796976569174285E-3</v>
      </c>
    </row>
    <row r="26" spans="3:53">
      <c r="C26">
        <f>RTD("tos.rtd", , "LAST", ".AAPL160520C95")</f>
        <v>17.55</v>
      </c>
      <c r="D26" t="str">
        <f>RTD("tos.rtd", , "LX", ".AAPL160520C95")</f>
        <v>Q</v>
      </c>
      <c r="E26">
        <f>RTD("tos.rtd", , "NET_CHANGE", ".AAPL160520C95")</f>
        <v>1.85</v>
      </c>
      <c r="F26">
        <f>RTD("tos.rtd", , "BID", ".AAPL160520C95")</f>
        <v>17.3</v>
      </c>
      <c r="G26" t="str">
        <f>RTD("tos.rtd", , "BX", ".AAPL160520C95")</f>
        <v>C</v>
      </c>
      <c r="H26">
        <f>RTD("tos.rtd", , "ASK", ".AAPL160520C95")</f>
        <v>17.5</v>
      </c>
      <c r="I26" t="str">
        <f>RTD("tos.rtd", , "AX", ".AAPL160520C95")</f>
        <v>C</v>
      </c>
      <c r="J26" t="str">
        <f>RTD("tos.rtd", , "EXPIRATION_DAY", ".AAPL160520C95")</f>
        <v>2016-05-21</v>
      </c>
      <c r="K26">
        <f>RTD("tos.rtd", , "STRIKE", ".AAPL160520C95")</f>
        <v>95</v>
      </c>
      <c r="L26">
        <f>RTD("tos.rtd", , "BID", ".AAPL160520P95")</f>
        <v>0.35</v>
      </c>
      <c r="M26" t="str">
        <f>RTD("tos.rtd", , "BX", ".AAPL160520P95")</f>
        <v>Z</v>
      </c>
      <c r="N26">
        <f>RTD("tos.rtd", , "ASK", ".AAPL160520P95")</f>
        <v>0.36</v>
      </c>
      <c r="O26" t="str">
        <f>RTD("tos.rtd", , "AX", ".AAPL160520P95")</f>
        <v>Z</v>
      </c>
      <c r="P26">
        <f>RTD("tos.rtd", , "LAST", ".AAPL160520P95")</f>
        <v>0.36</v>
      </c>
      <c r="Q26" t="str">
        <f>RTD("tos.rtd", , "LX", ".AAPL160520P95")</f>
        <v>M</v>
      </c>
      <c r="R26">
        <f>RTD("tos.rtd", , "NET_CHANGE", ".AAPL160520P95")</f>
        <v>-0.09</v>
      </c>
      <c r="T26">
        <f t="shared" si="0"/>
        <v>112.19</v>
      </c>
      <c r="U26">
        <f t="shared" si="1"/>
        <v>95</v>
      </c>
      <c r="V26" s="1">
        <v>0.27489999999999998</v>
      </c>
      <c r="W26" s="1">
        <v>5.0000000000000001E-3</v>
      </c>
      <c r="X26" s="1">
        <v>0</v>
      </c>
      <c r="Y26" s="2">
        <v>27</v>
      </c>
      <c r="Z26" s="1">
        <f t="shared" si="2"/>
        <v>0.108</v>
      </c>
      <c r="AA26" s="3">
        <f t="shared" si="3"/>
        <v>0.16631697095633238</v>
      </c>
      <c r="AB26" s="3">
        <f t="shared" si="4"/>
        <v>4.6207805399999993E-3</v>
      </c>
      <c r="AC26" s="3">
        <f t="shared" si="5"/>
        <v>9.03413586349021E-2</v>
      </c>
      <c r="AD26" s="3">
        <f t="shared" si="6"/>
        <v>1.892131733231351</v>
      </c>
      <c r="AE26" s="3">
        <f t="shared" si="7"/>
        <v>1.801790374596449</v>
      </c>
      <c r="AF26">
        <f t="shared" si="8"/>
        <v>0.97076328439543713</v>
      </c>
      <c r="AG26">
        <f t="shared" si="9"/>
        <v>2.9236715604562868E-2</v>
      </c>
      <c r="AH26">
        <f t="shared" si="10"/>
        <v>0.96421080365093992</v>
      </c>
      <c r="AI26">
        <f t="shared" si="11"/>
        <v>3.5789196349060082E-2</v>
      </c>
      <c r="AJ26">
        <f t="shared" si="12"/>
        <v>0.99946014577375952</v>
      </c>
      <c r="AK26">
        <f t="shared" si="13"/>
        <v>94.948713848507154</v>
      </c>
      <c r="AL26">
        <f t="shared" si="14"/>
        <v>1</v>
      </c>
      <c r="AM26">
        <f t="shared" si="15"/>
        <v>112.19</v>
      </c>
      <c r="AN26">
        <f t="shared" si="16"/>
        <v>17.359357190831886</v>
      </c>
      <c r="AO26">
        <f t="shared" si="17"/>
        <v>-0.14064280916811356</v>
      </c>
      <c r="AP26">
        <f t="shared" si="18"/>
        <v>0.97076328439543713</v>
      </c>
      <c r="AQ26">
        <f t="shared" si="19"/>
        <v>6.5712333869706943E-3</v>
      </c>
      <c r="AR26">
        <f t="shared" si="20"/>
        <v>-1.4274622540824551E-2</v>
      </c>
      <c r="AS26">
        <f t="shared" si="21"/>
        <v>2.4555777152892408E-2</v>
      </c>
      <c r="AT26">
        <f t="shared" si="22"/>
        <v>9.8874621740331584E-2</v>
      </c>
      <c r="AU26">
        <f t="shared" si="23"/>
        <v>0.11807103933903473</v>
      </c>
      <c r="AV26">
        <f t="shared" si="24"/>
        <v>-0.24192896066096525</v>
      </c>
      <c r="AW26">
        <f t="shared" si="25"/>
        <v>-2.9236715604562868E-2</v>
      </c>
      <c r="AX26">
        <f t="shared" si="26"/>
        <v>6.5712333869706943E-3</v>
      </c>
      <c r="AY26">
        <f t="shared" si="27"/>
        <v>-1.2383213898424009E-2</v>
      </c>
      <c r="AZ26">
        <f t="shared" si="28"/>
        <v>2.4555777152892408E-2</v>
      </c>
      <c r="BA26">
        <f t="shared" si="29"/>
        <v>-3.6699892160561381E-3</v>
      </c>
    </row>
    <row r="27" spans="3:53">
      <c r="C27">
        <f>RTD("tos.rtd", , "LAST", ".AAPL160520C97.5")</f>
        <v>15.04</v>
      </c>
      <c r="D27" t="str">
        <f>RTD("tos.rtd", , "LX", ".AAPL160520C97.5")</f>
        <v>C</v>
      </c>
      <c r="E27">
        <f>RTD("tos.rtd", , "NET_CHANGE", ".AAPL160520C97.5")</f>
        <v>1.59</v>
      </c>
      <c r="F27">
        <f>RTD("tos.rtd", , "BID", ".AAPL160520C97.5")</f>
        <v>14.95</v>
      </c>
      <c r="G27" t="str">
        <f>RTD("tos.rtd", , "BX", ".AAPL160520C97.5")</f>
        <v>X</v>
      </c>
      <c r="H27">
        <f>RTD("tos.rtd", , "ASK", ".AAPL160520C97.5")</f>
        <v>15.15</v>
      </c>
      <c r="I27" t="str">
        <f>RTD("tos.rtd", , "AX", ".AAPL160520C97.5")</f>
        <v>X</v>
      </c>
      <c r="J27" t="str">
        <f>RTD("tos.rtd", , "EXPIRATION_DAY", ".AAPL160520C97.5")</f>
        <v>2016-05-21</v>
      </c>
      <c r="K27">
        <f>RTD("tos.rtd", , "STRIKE", ".AAPL160520C97.5")</f>
        <v>97.5</v>
      </c>
      <c r="L27">
        <f>RTD("tos.rtd", , "BID", ".AAPL160520P97.5")</f>
        <v>0.5</v>
      </c>
      <c r="M27" t="str">
        <f>RTD("tos.rtd", , "BX", ".AAPL160520P97.5")</f>
        <v>Z</v>
      </c>
      <c r="N27">
        <f>RTD("tos.rtd", , "ASK", ".AAPL160520P97.5")</f>
        <v>0.51</v>
      </c>
      <c r="O27" t="str">
        <f>RTD("tos.rtd", , "AX", ".AAPL160520P97.5")</f>
        <v>H</v>
      </c>
      <c r="P27">
        <f>RTD("tos.rtd", , "LAST", ".AAPL160520P97.5")</f>
        <v>0.52</v>
      </c>
      <c r="Q27" t="str">
        <f>RTD("tos.rtd", , "LX", ".AAPL160520P97.5")</f>
        <v>C</v>
      </c>
      <c r="R27">
        <f>RTD("tos.rtd", , "NET_CHANGE", ".AAPL160520P97.5")</f>
        <v>-0.12</v>
      </c>
      <c r="T27">
        <f t="shared" si="0"/>
        <v>112.19</v>
      </c>
      <c r="U27">
        <f t="shared" si="1"/>
        <v>97.5</v>
      </c>
      <c r="V27" s="1">
        <v>0.27489999999999998</v>
      </c>
      <c r="W27" s="1">
        <v>5.0000000000000001E-3</v>
      </c>
      <c r="X27" s="1">
        <v>0</v>
      </c>
      <c r="Y27" s="2">
        <v>27</v>
      </c>
      <c r="Z27" s="1">
        <f t="shared" si="2"/>
        <v>0.108</v>
      </c>
      <c r="AA27" s="3">
        <f t="shared" si="3"/>
        <v>0.14034148455307188</v>
      </c>
      <c r="AB27" s="3">
        <f t="shared" si="4"/>
        <v>4.6207805399999993E-3</v>
      </c>
      <c r="AC27" s="3">
        <f t="shared" si="5"/>
        <v>9.03413586349021E-2</v>
      </c>
      <c r="AD27" s="3">
        <f t="shared" si="6"/>
        <v>1.6046057673198173</v>
      </c>
      <c r="AE27" s="3">
        <f t="shared" si="7"/>
        <v>1.5142644086849153</v>
      </c>
      <c r="AF27">
        <f t="shared" si="8"/>
        <v>0.94570970429588352</v>
      </c>
      <c r="AG27">
        <f t="shared" si="9"/>
        <v>5.4290295704116476E-2</v>
      </c>
      <c r="AH27">
        <f t="shared" si="10"/>
        <v>0.93502060417640109</v>
      </c>
      <c r="AI27">
        <f t="shared" si="11"/>
        <v>6.4979395823598907E-2</v>
      </c>
      <c r="AJ27">
        <f t="shared" si="12"/>
        <v>0.99946014577375952</v>
      </c>
      <c r="AK27">
        <f t="shared" si="13"/>
        <v>97.447364212941551</v>
      </c>
      <c r="AL27">
        <f t="shared" si="14"/>
        <v>1</v>
      </c>
      <c r="AM27">
        <f t="shared" si="15"/>
        <v>112.19</v>
      </c>
      <c r="AN27">
        <f t="shared" si="16"/>
        <v>14.983878363172749</v>
      </c>
      <c r="AO27">
        <f t="shared" si="17"/>
        <v>-0.1661216368272509</v>
      </c>
      <c r="AP27">
        <f t="shared" si="18"/>
        <v>0.94570970429588352</v>
      </c>
      <c r="AQ27">
        <f t="shared" si="19"/>
        <v>1.0863439300464559E-2</v>
      </c>
      <c r="AR27">
        <f t="shared" si="20"/>
        <v>-2.2398648860155839E-2</v>
      </c>
      <c r="AS27">
        <f t="shared" si="21"/>
        <v>4.0595148409293708E-2</v>
      </c>
      <c r="AT27">
        <f t="shared" si="22"/>
        <v>9.8404516830725014E-2</v>
      </c>
      <c r="AU27">
        <f t="shared" si="23"/>
        <v>0.24124257611430888</v>
      </c>
      <c r="AV27">
        <f t="shared" si="24"/>
        <v>-0.26875742388569113</v>
      </c>
      <c r="AW27">
        <f t="shared" si="25"/>
        <v>-5.4290295704116476E-2</v>
      </c>
      <c r="AX27">
        <f t="shared" si="26"/>
        <v>1.0863439300464559E-2</v>
      </c>
      <c r="AY27">
        <f t="shared" si="27"/>
        <v>-2.0457466306113177E-2</v>
      </c>
      <c r="AZ27">
        <f t="shared" si="28"/>
        <v>4.0595148409293708E-2</v>
      </c>
      <c r="BA27">
        <f t="shared" si="29"/>
        <v>-6.8386365192518676E-3</v>
      </c>
    </row>
    <row r="28" spans="3:53">
      <c r="C28">
        <f>RTD("tos.rtd", , "LAST", ".AAPL160520C100")</f>
        <v>12.7</v>
      </c>
      <c r="D28" t="str">
        <f>RTD("tos.rtd", , "LX", ".AAPL160520C100")</f>
        <v>A</v>
      </c>
      <c r="E28">
        <f>RTD("tos.rtd", , "NET_CHANGE", ".AAPL160520C100")</f>
        <v>1.56</v>
      </c>
      <c r="F28">
        <f>RTD("tos.rtd", , "BID", ".AAPL160520C100")</f>
        <v>12.7</v>
      </c>
      <c r="G28" t="str">
        <f>RTD("tos.rtd", , "BX", ".AAPL160520C100")</f>
        <v>C</v>
      </c>
      <c r="H28">
        <f>RTD("tos.rtd", , "ASK", ".AAPL160520C100")</f>
        <v>12.8</v>
      </c>
      <c r="I28" t="str">
        <f>RTD("tos.rtd", , "AX", ".AAPL160520C100")</f>
        <v>X</v>
      </c>
      <c r="J28" t="str">
        <f>RTD("tos.rtd", , "EXPIRATION_DAY", ".AAPL160520C100")</f>
        <v>2016-05-21</v>
      </c>
      <c r="K28">
        <f>RTD("tos.rtd", , "STRIKE", ".AAPL160520C100")</f>
        <v>100</v>
      </c>
      <c r="L28">
        <f>RTD("tos.rtd", , "BID", ".AAPL160520P100")</f>
        <v>0.73</v>
      </c>
      <c r="M28" t="str">
        <f>RTD("tos.rtd", , "BX", ".AAPL160520P100")</f>
        <v>Z</v>
      </c>
      <c r="N28">
        <f>RTD("tos.rtd", , "ASK", ".AAPL160520P100")</f>
        <v>0.74</v>
      </c>
      <c r="O28" t="str">
        <f>RTD("tos.rtd", , "AX", ".AAPL160520P100")</f>
        <v>H</v>
      </c>
      <c r="P28">
        <f>RTD("tos.rtd", , "LAST", ".AAPL160520P100")</f>
        <v>0.74</v>
      </c>
      <c r="Q28" t="str">
        <f>RTD("tos.rtd", , "LX", ".AAPL160520P100")</f>
        <v>B</v>
      </c>
      <c r="R28">
        <f>RTD("tos.rtd", , "NET_CHANGE", ".AAPL160520P100")</f>
        <v>-0.21</v>
      </c>
      <c r="T28">
        <f t="shared" si="0"/>
        <v>112.19</v>
      </c>
      <c r="U28">
        <f t="shared" si="1"/>
        <v>100</v>
      </c>
      <c r="V28" s="1">
        <v>0.27489999999999998</v>
      </c>
      <c r="W28" s="1">
        <v>5.0000000000000001E-3</v>
      </c>
      <c r="X28" s="1">
        <v>0</v>
      </c>
      <c r="Y28" s="2">
        <v>27</v>
      </c>
      <c r="Z28" s="1">
        <f t="shared" si="2"/>
        <v>0.108</v>
      </c>
      <c r="AA28" s="3">
        <f t="shared" si="3"/>
        <v>0.11502367656878186</v>
      </c>
      <c r="AB28" s="3">
        <f t="shared" si="4"/>
        <v>4.6207805399999993E-3</v>
      </c>
      <c r="AC28" s="3">
        <f t="shared" si="5"/>
        <v>9.03413586349021E-2</v>
      </c>
      <c r="AD28" s="3">
        <f t="shared" si="6"/>
        <v>1.324359727556266</v>
      </c>
      <c r="AE28" s="3">
        <f t="shared" si="7"/>
        <v>1.234018368921364</v>
      </c>
      <c r="AF28">
        <f t="shared" si="8"/>
        <v>0.90730819855692002</v>
      </c>
      <c r="AG28">
        <f t="shared" si="9"/>
        <v>9.269180144307998E-2</v>
      </c>
      <c r="AH28">
        <f t="shared" si="10"/>
        <v>0.89140197024512124</v>
      </c>
      <c r="AI28">
        <f t="shared" si="11"/>
        <v>0.10859802975487876</v>
      </c>
      <c r="AJ28">
        <f t="shared" si="12"/>
        <v>0.99946014577375952</v>
      </c>
      <c r="AK28">
        <f t="shared" si="13"/>
        <v>99.946014577375948</v>
      </c>
      <c r="AL28">
        <f t="shared" si="14"/>
        <v>1</v>
      </c>
      <c r="AM28">
        <f t="shared" si="15"/>
        <v>112.19</v>
      </c>
      <c r="AN28">
        <f t="shared" si="16"/>
        <v>12.69883248368032</v>
      </c>
      <c r="AO28">
        <f t="shared" si="17"/>
        <v>-0.10116751631968057</v>
      </c>
      <c r="AP28">
        <f t="shared" si="18"/>
        <v>0.90730819855692002</v>
      </c>
      <c r="AQ28">
        <f t="shared" si="19"/>
        <v>1.6376026211692953E-2</v>
      </c>
      <c r="AR28">
        <f t="shared" si="20"/>
        <v>-3.2803371278462487E-2</v>
      </c>
      <c r="AS28">
        <f t="shared" si="21"/>
        <v>6.1194912221742753E-2</v>
      </c>
      <c r="AT28">
        <f t="shared" si="22"/>
        <v>9.6219440257414177E-2</v>
      </c>
      <c r="AU28">
        <f t="shared" si="23"/>
        <v>0.45484706105627559</v>
      </c>
      <c r="AV28">
        <f t="shared" si="24"/>
        <v>-0.2851529389437244</v>
      </c>
      <c r="AW28">
        <f t="shared" si="25"/>
        <v>-9.269180144307998E-2</v>
      </c>
      <c r="AX28">
        <f t="shared" si="26"/>
        <v>1.6376026211692953E-2</v>
      </c>
      <c r="AY28">
        <f t="shared" si="27"/>
        <v>-3.0812414812777706E-2</v>
      </c>
      <c r="AZ28">
        <f t="shared" si="28"/>
        <v>6.1194912221742753E-2</v>
      </c>
      <c r="BA28">
        <f t="shared" si="29"/>
        <v>-1.1722255486151854E-2</v>
      </c>
    </row>
    <row r="29" spans="3:53">
      <c r="C29">
        <f>RTD("tos.rtd", , "LAST", ".AAPL160520C105")</f>
        <v>8.4499999999999993</v>
      </c>
      <c r="D29" t="str">
        <f>RTD("tos.rtd", , "LX", ".AAPL160520C105")</f>
        <v>Z</v>
      </c>
      <c r="E29">
        <f>RTD("tos.rtd", , "NET_CHANGE", ".AAPL160520C105")</f>
        <v>1.35</v>
      </c>
      <c r="F29">
        <f>RTD("tos.rtd", , "BID", ".AAPL160520C105")</f>
        <v>8.4499999999999993</v>
      </c>
      <c r="G29" t="str">
        <f>RTD("tos.rtd", , "BX", ".AAPL160520C105")</f>
        <v>X</v>
      </c>
      <c r="H29">
        <f>RTD("tos.rtd", , "ASK", ".AAPL160520C105")</f>
        <v>8.5</v>
      </c>
      <c r="I29" t="str">
        <f>RTD("tos.rtd", , "AX", ".AAPL160520C105")</f>
        <v>Z</v>
      </c>
      <c r="J29" t="str">
        <f>RTD("tos.rtd", , "EXPIRATION_DAY", ".AAPL160520C105")</f>
        <v>2016-05-21</v>
      </c>
      <c r="K29">
        <f>RTD("tos.rtd", , "STRIKE", ".AAPL160520C105")</f>
        <v>105</v>
      </c>
      <c r="L29">
        <f>RTD("tos.rtd", , "BID", ".AAPL160520P105")</f>
        <v>1.55</v>
      </c>
      <c r="M29" t="str">
        <f>RTD("tos.rtd", , "BX", ".AAPL160520P105")</f>
        <v>Z</v>
      </c>
      <c r="N29">
        <f>RTD("tos.rtd", , "ASK", ".AAPL160520P105")</f>
        <v>1.56</v>
      </c>
      <c r="O29" t="str">
        <f>RTD("tos.rtd", , "AX", ".AAPL160520P105")</f>
        <v>Z</v>
      </c>
      <c r="P29">
        <f>RTD("tos.rtd", , "LAST", ".AAPL160520P105")</f>
        <v>1.56</v>
      </c>
      <c r="Q29" t="str">
        <f>RTD("tos.rtd", , "LX", ".AAPL160520P105")</f>
        <v>H</v>
      </c>
      <c r="R29">
        <f>RTD("tos.rtd", , "NET_CHANGE", ".AAPL160520P105")</f>
        <v>-0.43</v>
      </c>
      <c r="T29">
        <f t="shared" si="0"/>
        <v>112.19</v>
      </c>
      <c r="U29">
        <f t="shared" si="1"/>
        <v>105</v>
      </c>
      <c r="V29" s="1">
        <v>0.27489999999999998</v>
      </c>
      <c r="W29" s="1">
        <v>5.0000000000000001E-3</v>
      </c>
      <c r="X29" s="1">
        <v>0</v>
      </c>
      <c r="Y29" s="2">
        <v>27</v>
      </c>
      <c r="Z29" s="1">
        <f t="shared" si="2"/>
        <v>0.108</v>
      </c>
      <c r="AA29" s="3">
        <f t="shared" si="3"/>
        <v>6.6233512399349825E-2</v>
      </c>
      <c r="AB29" s="3">
        <f t="shared" si="4"/>
        <v>4.6207805399999993E-3</v>
      </c>
      <c r="AC29" s="3">
        <f t="shared" si="5"/>
        <v>9.03413586349021E-2</v>
      </c>
      <c r="AD29" s="3">
        <f t="shared" si="6"/>
        <v>0.78429518893660155</v>
      </c>
      <c r="AE29" s="3">
        <f t="shared" si="7"/>
        <v>0.69395383030169944</v>
      </c>
      <c r="AF29">
        <f t="shared" si="8"/>
        <v>0.78356653909124918</v>
      </c>
      <c r="AG29">
        <f t="shared" si="9"/>
        <v>0.21643346090875082</v>
      </c>
      <c r="AH29">
        <f t="shared" si="10"/>
        <v>0.75614441822118128</v>
      </c>
      <c r="AI29">
        <f t="shared" si="11"/>
        <v>0.24385558177881872</v>
      </c>
      <c r="AJ29">
        <f t="shared" si="12"/>
        <v>0.99946014577375952</v>
      </c>
      <c r="AK29">
        <f t="shared" si="13"/>
        <v>104.94331530624476</v>
      </c>
      <c r="AL29">
        <f t="shared" si="14"/>
        <v>1</v>
      </c>
      <c r="AM29">
        <f t="shared" si="15"/>
        <v>112.19</v>
      </c>
      <c r="AN29">
        <f t="shared" si="16"/>
        <v>8.5560279222048052</v>
      </c>
      <c r="AO29">
        <f t="shared" si="17"/>
        <v>5.6027922204805236E-2</v>
      </c>
      <c r="AP29">
        <f t="shared" si="18"/>
        <v>0.78356653909124918</v>
      </c>
      <c r="AQ29">
        <f t="shared" si="19"/>
        <v>2.8939959485839981E-2</v>
      </c>
      <c r="AR29">
        <f t="shared" si="20"/>
        <v>-5.6414981941674928E-2</v>
      </c>
      <c r="AS29">
        <f t="shared" si="21"/>
        <v>0.10814456801322408</v>
      </c>
      <c r="AT29">
        <f t="shared" si="22"/>
        <v>8.5700486266317807E-2</v>
      </c>
      <c r="AU29">
        <f t="shared" si="23"/>
        <v>1.3093432284495741</v>
      </c>
      <c r="AV29">
        <f t="shared" si="24"/>
        <v>-0.25065677155042598</v>
      </c>
      <c r="AW29">
        <f t="shared" si="25"/>
        <v>-0.21643346090875082</v>
      </c>
      <c r="AX29">
        <f t="shared" si="26"/>
        <v>2.8939959485839981E-2</v>
      </c>
      <c r="AY29">
        <f t="shared" si="27"/>
        <v>-5.4324477652705906E-2</v>
      </c>
      <c r="AZ29">
        <f t="shared" si="28"/>
        <v>0.10814456801322408</v>
      </c>
      <c r="BA29">
        <f t="shared" si="29"/>
        <v>-2.7638294264426509E-2</v>
      </c>
    </row>
    <row r="30" spans="3:53">
      <c r="C30">
        <f>RTD("tos.rtd", , "LAST", ".AAPL160520C110")</f>
        <v>4.9000000000000004</v>
      </c>
      <c r="D30" t="str">
        <f>RTD("tos.rtd", , "LX", ".AAPL160520C110")</f>
        <v>A</v>
      </c>
      <c r="E30">
        <f>RTD("tos.rtd", , "NET_CHANGE", ".AAPL160520C110")</f>
        <v>0.93</v>
      </c>
      <c r="F30">
        <f>RTD("tos.rtd", , "BID", ".AAPL160520C110")</f>
        <v>4.9000000000000004</v>
      </c>
      <c r="G30" t="str">
        <f>RTD("tos.rtd", , "BX", ".AAPL160520C110")</f>
        <v>C</v>
      </c>
      <c r="H30">
        <f>RTD("tos.rtd", , "ASK", ".AAPL160520C110")</f>
        <v>5</v>
      </c>
      <c r="I30" t="str">
        <f>RTD("tos.rtd", , "AX", ".AAPL160520C110")</f>
        <v>C</v>
      </c>
      <c r="J30" t="str">
        <f>RTD("tos.rtd", , "EXPIRATION_DAY", ".AAPL160520C110")</f>
        <v>2016-05-21</v>
      </c>
      <c r="K30">
        <f>RTD("tos.rtd", , "STRIKE", ".AAPL160520C110")</f>
        <v>110</v>
      </c>
      <c r="L30">
        <f>RTD("tos.rtd", , "BID", ".AAPL160520P110")</f>
        <v>3.1</v>
      </c>
      <c r="M30" t="str">
        <f>RTD("tos.rtd", , "BX", ".AAPL160520P110")</f>
        <v>C</v>
      </c>
      <c r="N30">
        <f>RTD("tos.rtd", , "ASK", ".AAPL160520P110")</f>
        <v>3.2</v>
      </c>
      <c r="O30" t="str">
        <f>RTD("tos.rtd", , "AX", ".AAPL160520P110")</f>
        <v>C</v>
      </c>
      <c r="P30">
        <f>RTD("tos.rtd", , "LAST", ".AAPL160520P110")</f>
        <v>3.17</v>
      </c>
      <c r="Q30" t="str">
        <f>RTD("tos.rtd", , "LX", ".AAPL160520P110")</f>
        <v>C</v>
      </c>
      <c r="R30">
        <f>RTD("tos.rtd", , "NET_CHANGE", ".AAPL160520P110")</f>
        <v>-0.73</v>
      </c>
      <c r="T30">
        <f t="shared" si="0"/>
        <v>112.19</v>
      </c>
      <c r="U30">
        <f t="shared" si="1"/>
        <v>110</v>
      </c>
      <c r="V30" s="1">
        <v>0.27489999999999998</v>
      </c>
      <c r="W30" s="1">
        <v>5.0000000000000001E-3</v>
      </c>
      <c r="X30" s="1">
        <v>0</v>
      </c>
      <c r="Y30" s="2">
        <v>27</v>
      </c>
      <c r="Z30" s="1">
        <f t="shared" si="2"/>
        <v>0.108</v>
      </c>
      <c r="AA30" s="3">
        <f t="shared" si="3"/>
        <v>1.9713496764457054E-2</v>
      </c>
      <c r="AB30" s="3">
        <f t="shared" si="4"/>
        <v>4.6207805399999993E-3</v>
      </c>
      <c r="AC30" s="3">
        <f t="shared" si="5"/>
        <v>9.03413586349021E-2</v>
      </c>
      <c r="AD30" s="3">
        <f t="shared" si="6"/>
        <v>0.26935921345614844</v>
      </c>
      <c r="AE30" s="3">
        <f t="shared" si="7"/>
        <v>0.17901785482124632</v>
      </c>
      <c r="AF30">
        <f t="shared" si="8"/>
        <v>0.60617336523377785</v>
      </c>
      <c r="AG30">
        <f t="shared" si="9"/>
        <v>0.39382663476622215</v>
      </c>
      <c r="AH30">
        <f t="shared" si="10"/>
        <v>0.57103815897967325</v>
      </c>
      <c r="AI30">
        <f t="shared" si="11"/>
        <v>0.42896184102032675</v>
      </c>
      <c r="AJ30">
        <f t="shared" si="12"/>
        <v>0.99946014577375952</v>
      </c>
      <c r="AK30">
        <f t="shared" si="13"/>
        <v>109.94061603511355</v>
      </c>
      <c r="AL30">
        <f t="shared" si="14"/>
        <v>1</v>
      </c>
      <c r="AM30">
        <f t="shared" si="15"/>
        <v>112.19</v>
      </c>
      <c r="AN30">
        <f t="shared" si="16"/>
        <v>5.2263028677951482</v>
      </c>
      <c r="AO30">
        <f t="shared" si="17"/>
        <v>0.22630286779514819</v>
      </c>
      <c r="AP30">
        <f t="shared" si="18"/>
        <v>0.60617336523377785</v>
      </c>
      <c r="AQ30">
        <f t="shared" si="19"/>
        <v>3.7958960907882984E-2</v>
      </c>
      <c r="AR30">
        <f t="shared" si="20"/>
        <v>-7.3173699380625651E-2</v>
      </c>
      <c r="AS30">
        <f t="shared" si="21"/>
        <v>0.14184731086518718</v>
      </c>
      <c r="AT30">
        <f t="shared" si="22"/>
        <v>6.7802709936004971E-2</v>
      </c>
      <c r="AU30">
        <f t="shared" si="23"/>
        <v>2.9769189029087002</v>
      </c>
      <c r="AV30">
        <f t="shared" si="24"/>
        <v>-0.22308109709129997</v>
      </c>
      <c r="AW30">
        <f t="shared" si="25"/>
        <v>-0.39382663476622215</v>
      </c>
      <c r="AX30">
        <f t="shared" si="26"/>
        <v>3.7958960907882984E-2</v>
      </c>
      <c r="AY30">
        <f t="shared" si="27"/>
        <v>-7.0983647268372391E-2</v>
      </c>
      <c r="AZ30">
        <f t="shared" si="28"/>
        <v>0.14184731086518718</v>
      </c>
      <c r="BA30">
        <f t="shared" si="29"/>
        <v>-5.0933155381917644E-2</v>
      </c>
    </row>
    <row r="31" spans="3:53">
      <c r="C31">
        <f>RTD("tos.rtd", , "LAST", ".AAPL160520C115")</f>
        <v>2.4900000000000002</v>
      </c>
      <c r="D31" t="str">
        <f>RTD("tos.rtd", , "LX", ".AAPL160520C115")</f>
        <v>B</v>
      </c>
      <c r="E31">
        <f>RTD("tos.rtd", , "NET_CHANGE", ".AAPL160520C115")</f>
        <v>0.61</v>
      </c>
      <c r="F31">
        <f>RTD("tos.rtd", , "BID", ".AAPL160520C115")</f>
        <v>2.48</v>
      </c>
      <c r="G31" t="str">
        <f>RTD("tos.rtd", , "BX", ".AAPL160520C115")</f>
        <v>Z</v>
      </c>
      <c r="H31">
        <f>RTD("tos.rtd", , "ASK", ".AAPL160520C115")</f>
        <v>2.5</v>
      </c>
      <c r="I31" t="str">
        <f>RTD("tos.rtd", , "AX", ".AAPL160520C115")</f>
        <v>Z</v>
      </c>
      <c r="J31" t="str">
        <f>RTD("tos.rtd", , "EXPIRATION_DAY", ".AAPL160520C115")</f>
        <v>2016-05-21</v>
      </c>
      <c r="K31">
        <f>RTD("tos.rtd", , "STRIKE", ".AAPL160520C115")</f>
        <v>115</v>
      </c>
      <c r="L31">
        <f>RTD("tos.rtd", , "BID", ".AAPL160520P115")</f>
        <v>5.7</v>
      </c>
      <c r="M31" t="str">
        <f>RTD("tos.rtd", , "BX", ".AAPL160520P115")</f>
        <v>C</v>
      </c>
      <c r="N31">
        <f>RTD("tos.rtd", , "ASK", ".AAPL160520P115")</f>
        <v>5.8</v>
      </c>
      <c r="O31" t="str">
        <f>RTD("tos.rtd", , "AX", ".AAPL160520P115")</f>
        <v>C</v>
      </c>
      <c r="P31">
        <f>RTD("tos.rtd", , "LAST", ".AAPL160520P115")</f>
        <v>5.65</v>
      </c>
      <c r="Q31" t="str">
        <f>RTD("tos.rtd", , "LX", ".AAPL160520P115")</f>
        <v>Q</v>
      </c>
      <c r="R31">
        <f>RTD("tos.rtd", , "NET_CHANGE", ".AAPL160520P115")</f>
        <v>-1.3</v>
      </c>
      <c r="T31">
        <f t="shared" si="0"/>
        <v>112.19</v>
      </c>
      <c r="U31">
        <f t="shared" si="1"/>
        <v>115</v>
      </c>
      <c r="V31" s="1">
        <v>0.27489999999999998</v>
      </c>
      <c r="W31" s="1">
        <v>5.0000000000000001E-3</v>
      </c>
      <c r="X31" s="1">
        <v>0</v>
      </c>
      <c r="Y31" s="2">
        <v>27</v>
      </c>
      <c r="Z31" s="1">
        <f t="shared" si="2"/>
        <v>0.108</v>
      </c>
      <c r="AA31" s="3">
        <f t="shared" si="3"/>
        <v>-2.4738265806376794E-2</v>
      </c>
      <c r="AB31" s="3">
        <f t="shared" si="4"/>
        <v>4.6207805399999993E-3</v>
      </c>
      <c r="AC31" s="3">
        <f t="shared" si="5"/>
        <v>9.03413586349021E-2</v>
      </c>
      <c r="AD31" s="3">
        <f t="shared" si="6"/>
        <v>-0.2226830055509558</v>
      </c>
      <c r="AE31" s="3">
        <f t="shared" si="7"/>
        <v>-0.31302436418585788</v>
      </c>
      <c r="AF31">
        <f t="shared" si="8"/>
        <v>0.41189111444185533</v>
      </c>
      <c r="AG31">
        <f t="shared" si="9"/>
        <v>0.58810888555814467</v>
      </c>
      <c r="AH31">
        <f t="shared" si="10"/>
        <v>0.3771310758577161</v>
      </c>
      <c r="AI31">
        <f t="shared" si="11"/>
        <v>0.6228689241422839</v>
      </c>
      <c r="AJ31">
        <f t="shared" si="12"/>
        <v>0.99946014577375952</v>
      </c>
      <c r="AK31">
        <f t="shared" si="13"/>
        <v>114.93791676398234</v>
      </c>
      <c r="AL31">
        <f t="shared" si="14"/>
        <v>1</v>
      </c>
      <c r="AM31">
        <f t="shared" si="15"/>
        <v>112.19</v>
      </c>
      <c r="AN31">
        <f t="shared" si="16"/>
        <v>2.8634039231864605</v>
      </c>
      <c r="AO31">
        <f t="shared" si="17"/>
        <v>0.36340392318646053</v>
      </c>
      <c r="AP31">
        <f t="shared" si="18"/>
        <v>0.41189111444185533</v>
      </c>
      <c r="AQ31">
        <f t="shared" si="19"/>
        <v>3.839736864899064E-2</v>
      </c>
      <c r="AR31">
        <f t="shared" si="20"/>
        <v>-7.3617252507437642E-2</v>
      </c>
      <c r="AS31">
        <f t="shared" si="21"/>
        <v>0.14348557908041876</v>
      </c>
      <c r="AT31">
        <f t="shared" si="22"/>
        <v>4.6814393022528912E-2</v>
      </c>
      <c r="AU31">
        <f t="shared" si="23"/>
        <v>5.6113206871688135</v>
      </c>
      <c r="AV31">
        <f t="shared" si="24"/>
        <v>-0.18867931283118633</v>
      </c>
      <c r="AW31">
        <f t="shared" si="25"/>
        <v>-0.58810888555814467</v>
      </c>
      <c r="AX31">
        <f t="shared" si="26"/>
        <v>3.839736864899064E-2</v>
      </c>
      <c r="AY31">
        <f t="shared" si="27"/>
        <v>-7.1327652571900144E-2</v>
      </c>
      <c r="AZ31">
        <f t="shared" si="28"/>
        <v>0.14348557908041876</v>
      </c>
      <c r="BA31">
        <f t="shared" si="29"/>
        <v>-7.7318557082572029E-2</v>
      </c>
    </row>
    <row r="32" spans="3:53">
      <c r="C32">
        <f>RTD("tos.rtd", , "LAST", ".AAPL160520C120")</f>
        <v>1.07</v>
      </c>
      <c r="D32" t="str">
        <f>RTD("tos.rtd", , "LX", ".AAPL160520C120")</f>
        <v>C</v>
      </c>
      <c r="E32">
        <f>RTD("tos.rtd", , "NET_CHANGE", ".AAPL160520C120")</f>
        <v>0.3</v>
      </c>
      <c r="F32">
        <f>RTD("tos.rtd", , "BID", ".AAPL160520C120")</f>
        <v>1.07</v>
      </c>
      <c r="G32" t="str">
        <f>RTD("tos.rtd", , "BX", ".AAPL160520C120")</f>
        <v>W</v>
      </c>
      <c r="H32">
        <f>RTD("tos.rtd", , "ASK", ".AAPL160520C120")</f>
        <v>1.0900000000000001</v>
      </c>
      <c r="I32" t="str">
        <f>RTD("tos.rtd", , "AX", ".AAPL160520C120")</f>
        <v>Z</v>
      </c>
      <c r="J32" t="str">
        <f>RTD("tos.rtd", , "EXPIRATION_DAY", ".AAPL160520C120")</f>
        <v>2016-05-21</v>
      </c>
      <c r="K32">
        <f>RTD("tos.rtd", , "STRIKE", ".AAPL160520C120")</f>
        <v>120</v>
      </c>
      <c r="L32">
        <f>RTD("tos.rtd", , "BID", ".AAPL160520P120")</f>
        <v>9.3000000000000007</v>
      </c>
      <c r="M32" t="str">
        <f>RTD("tos.rtd", , "BX", ".AAPL160520P120")</f>
        <v>C</v>
      </c>
      <c r="N32">
        <f>RTD("tos.rtd", , "ASK", ".AAPL160520P120")</f>
        <v>9.4</v>
      </c>
      <c r="O32" t="str">
        <f>RTD("tos.rtd", , "AX", ".AAPL160520P120")</f>
        <v>C</v>
      </c>
      <c r="P32">
        <f>RTD("tos.rtd", , "LAST", ".AAPL160520P120")</f>
        <v>9.4</v>
      </c>
      <c r="Q32" t="str">
        <f>RTD("tos.rtd", , "LX", ".AAPL160520P120")</f>
        <v>C</v>
      </c>
      <c r="R32">
        <f>RTD("tos.rtd", , "NET_CHANGE", ".AAPL160520P120")</f>
        <v>-1.5</v>
      </c>
      <c r="T32">
        <f t="shared" si="0"/>
        <v>112.19</v>
      </c>
      <c r="U32">
        <f t="shared" si="1"/>
        <v>120</v>
      </c>
      <c r="V32" s="1">
        <v>0.27489999999999998</v>
      </c>
      <c r="W32" s="1">
        <v>5.0000000000000001E-3</v>
      </c>
      <c r="X32" s="1">
        <v>0</v>
      </c>
      <c r="Y32" s="2">
        <v>27</v>
      </c>
      <c r="Z32" s="1">
        <f t="shared" si="2"/>
        <v>0.108</v>
      </c>
      <c r="AA32" s="3">
        <f t="shared" si="3"/>
        <v>-6.7297880225172732E-2</v>
      </c>
      <c r="AB32" s="3">
        <f t="shared" si="4"/>
        <v>4.6207805399999993E-3</v>
      </c>
      <c r="AC32" s="3">
        <f t="shared" si="5"/>
        <v>9.03413586349021E-2</v>
      </c>
      <c r="AD32" s="3">
        <f t="shared" si="6"/>
        <v>-0.69378079577561647</v>
      </c>
      <c r="AE32" s="3">
        <f t="shared" si="7"/>
        <v>-0.78412215441051858</v>
      </c>
      <c r="AF32">
        <f t="shared" si="8"/>
        <v>0.24390984391573811</v>
      </c>
      <c r="AG32">
        <f t="shared" si="9"/>
        <v>0.75609015608426189</v>
      </c>
      <c r="AH32">
        <f t="shared" si="10"/>
        <v>0.21648421849011601</v>
      </c>
      <c r="AI32">
        <f t="shared" si="11"/>
        <v>0.78351578150988399</v>
      </c>
      <c r="AJ32">
        <f t="shared" si="12"/>
        <v>0.99946014577375952</v>
      </c>
      <c r="AK32">
        <f t="shared" si="13"/>
        <v>119.93521749285114</v>
      </c>
      <c r="AL32">
        <f t="shared" si="14"/>
        <v>1</v>
      </c>
      <c r="AM32">
        <f t="shared" si="15"/>
        <v>112.19</v>
      </c>
      <c r="AN32">
        <f t="shared" si="16"/>
        <v>1.4001635605246889</v>
      </c>
      <c r="AO32">
        <f t="shared" si="17"/>
        <v>0.31016356052468885</v>
      </c>
      <c r="AP32">
        <f t="shared" si="18"/>
        <v>0.24390984391573811</v>
      </c>
      <c r="AQ32">
        <f t="shared" si="19"/>
        <v>3.0942074643645241E-2</v>
      </c>
      <c r="AR32">
        <f t="shared" si="20"/>
        <v>-5.9144997990536109E-2</v>
      </c>
      <c r="AS32">
        <f t="shared" si="21"/>
        <v>0.11562619143980553</v>
      </c>
      <c r="AT32">
        <f t="shared" si="22"/>
        <v>2.8041208374652529E-2</v>
      </c>
      <c r="AU32">
        <f t="shared" si="23"/>
        <v>9.1453810533758286</v>
      </c>
      <c r="AV32">
        <f t="shared" si="24"/>
        <v>-0.25461894662417173</v>
      </c>
      <c r="AW32">
        <f t="shared" si="25"/>
        <v>-0.75609015608426189</v>
      </c>
      <c r="AX32">
        <f t="shared" si="26"/>
        <v>3.0942074643645241E-2</v>
      </c>
      <c r="AY32">
        <f t="shared" si="27"/>
        <v>-5.6755850231714373E-2</v>
      </c>
      <c r="AZ32">
        <f t="shared" si="28"/>
        <v>0.11562619143980553</v>
      </c>
      <c r="BA32">
        <f t="shared" si="29"/>
        <v>-0.10148882651762671</v>
      </c>
    </row>
    <row r="33" spans="3:53">
      <c r="C33">
        <f>RTD("tos.rtd", , "LAST", ".AAPL160520C125")</f>
        <v>0.45</v>
      </c>
      <c r="D33" t="str">
        <f>RTD("tos.rtd", , "LX", ".AAPL160520C125")</f>
        <v>X</v>
      </c>
      <c r="E33">
        <f>RTD("tos.rtd", , "NET_CHANGE", ".AAPL160520C125")</f>
        <v>0.15</v>
      </c>
      <c r="F33">
        <f>RTD("tos.rtd", , "BID", ".AAPL160520C125")</f>
        <v>0.43</v>
      </c>
      <c r="G33" t="str">
        <f>RTD("tos.rtd", , "BX", ".AAPL160520C125")</f>
        <v>X</v>
      </c>
      <c r="H33">
        <f>RTD("tos.rtd", , "ASK", ".AAPL160520C125")</f>
        <v>0.44</v>
      </c>
      <c r="I33" t="str">
        <f>RTD("tos.rtd", , "AX", ".AAPL160520C125")</f>
        <v>Z</v>
      </c>
      <c r="J33" t="str">
        <f>RTD("tos.rtd", , "EXPIRATION_DAY", ".AAPL160520C125")</f>
        <v>2016-05-21</v>
      </c>
      <c r="K33">
        <f>RTD("tos.rtd", , "STRIKE", ".AAPL160520C125")</f>
        <v>125</v>
      </c>
      <c r="L33">
        <f>RTD("tos.rtd", , "BID", ".AAPL160520P125")</f>
        <v>13.65</v>
      </c>
      <c r="M33" t="str">
        <f>RTD("tos.rtd", , "BX", ".AAPL160520P125")</f>
        <v>C</v>
      </c>
      <c r="N33">
        <f>RTD("tos.rtd", , "ASK", ".AAPL160520P125")</f>
        <v>13.9</v>
      </c>
      <c r="O33" t="str">
        <f>RTD("tos.rtd", , "AX", ".AAPL160520P125")</f>
        <v>C</v>
      </c>
      <c r="P33">
        <f>RTD("tos.rtd", , "LAST", ".AAPL160520P125")</f>
        <v>13.7</v>
      </c>
      <c r="Q33" t="str">
        <f>RTD("tos.rtd", , "LX", ".AAPL160520P125")</f>
        <v>H</v>
      </c>
      <c r="R33">
        <f>RTD("tos.rtd", , "NET_CHANGE", ".AAPL160520P125")</f>
        <v>-1.82</v>
      </c>
      <c r="T33">
        <f t="shared" si="0"/>
        <v>112.19</v>
      </c>
      <c r="U33">
        <f t="shared" si="1"/>
        <v>125</v>
      </c>
      <c r="V33" s="1">
        <v>0.27489999999999998</v>
      </c>
      <c r="W33" s="1">
        <v>5.0000000000000001E-3</v>
      </c>
      <c r="X33" s="1">
        <v>0</v>
      </c>
      <c r="Y33" s="2">
        <v>27</v>
      </c>
      <c r="Z33" s="1">
        <f t="shared" si="2"/>
        <v>0.108</v>
      </c>
      <c r="AA33" s="3">
        <f t="shared" si="3"/>
        <v>-0.10811987474542782</v>
      </c>
      <c r="AB33" s="3">
        <f t="shared" si="4"/>
        <v>4.6207805399999993E-3</v>
      </c>
      <c r="AC33" s="3">
        <f t="shared" si="5"/>
        <v>9.03413586349021E-2</v>
      </c>
      <c r="AD33" s="3">
        <f t="shared" si="6"/>
        <v>-1.1456446501286337</v>
      </c>
      <c r="AE33" s="3">
        <f t="shared" si="7"/>
        <v>-1.2359860087635357</v>
      </c>
      <c r="AF33">
        <f t="shared" si="8"/>
        <v>0.12597110723866478</v>
      </c>
      <c r="AG33">
        <f t="shared" si="9"/>
        <v>0.87402889276133522</v>
      </c>
      <c r="AH33">
        <f t="shared" si="10"/>
        <v>0.10823188220198587</v>
      </c>
      <c r="AI33">
        <f t="shared" si="11"/>
        <v>0.89176811779801413</v>
      </c>
      <c r="AJ33">
        <f t="shared" si="12"/>
        <v>0.99946014577375952</v>
      </c>
      <c r="AK33">
        <f t="shared" si="13"/>
        <v>124.93251822171995</v>
      </c>
      <c r="AL33">
        <f t="shared" si="14"/>
        <v>1</v>
      </c>
      <c r="AM33">
        <f t="shared" si="15"/>
        <v>112.19</v>
      </c>
      <c r="AN33">
        <f t="shared" si="16"/>
        <v>0.61101692573515543</v>
      </c>
      <c r="AO33">
        <f t="shared" si="17"/>
        <v>0.17101692573515542</v>
      </c>
      <c r="AP33">
        <f t="shared" si="18"/>
        <v>0.12597110723866478</v>
      </c>
      <c r="AQ33">
        <f t="shared" si="19"/>
        <v>2.0420350165974783E-2</v>
      </c>
      <c r="AR33">
        <f t="shared" si="20"/>
        <v>-3.896100559167464E-2</v>
      </c>
      <c r="AS33">
        <f t="shared" si="21"/>
        <v>7.6307983377054647E-2</v>
      </c>
      <c r="AT33">
        <f t="shared" si="22"/>
        <v>1.4603416123000298E-2</v>
      </c>
      <c r="AU33">
        <f t="shared" si="23"/>
        <v>13.353535147455091</v>
      </c>
      <c r="AV33">
        <f t="shared" si="24"/>
        <v>-0.54646485254490962</v>
      </c>
      <c r="AW33">
        <f t="shared" si="25"/>
        <v>-0.87402889276133522</v>
      </c>
      <c r="AX33">
        <f t="shared" si="26"/>
        <v>2.0420350165974783E-2</v>
      </c>
      <c r="AY33">
        <f t="shared" si="27"/>
        <v>-3.6472310009568659E-2</v>
      </c>
      <c r="AZ33">
        <f t="shared" si="28"/>
        <v>7.6307983377054647E-2</v>
      </c>
      <c r="BA33">
        <f t="shared" si="29"/>
        <v>-0.12032370355645725</v>
      </c>
    </row>
    <row r="34" spans="3:53">
      <c r="C34">
        <f>RTD("tos.rtd", , "LAST", ".AAPL160520C130")</f>
        <v>0.17</v>
      </c>
      <c r="D34" t="str">
        <f>RTD("tos.rtd", , "LX", ".AAPL160520C130")</f>
        <v>I</v>
      </c>
      <c r="E34">
        <f>RTD("tos.rtd", , "NET_CHANGE", ".AAPL160520C130")</f>
        <v>0.04</v>
      </c>
      <c r="F34">
        <f>RTD("tos.rtd", , "BID", ".AAPL160520C130")</f>
        <v>0.18</v>
      </c>
      <c r="G34" t="str">
        <f>RTD("tos.rtd", , "BX", ".AAPL160520C130")</f>
        <v>Z</v>
      </c>
      <c r="H34">
        <f>RTD("tos.rtd", , "ASK", ".AAPL160520C130")</f>
        <v>0.19</v>
      </c>
      <c r="I34" t="str">
        <f>RTD("tos.rtd", , "AX", ".AAPL160520C130")</f>
        <v>Z</v>
      </c>
      <c r="J34" t="str">
        <f>RTD("tos.rtd", , "EXPIRATION_DAY", ".AAPL160520C130")</f>
        <v>2016-05-21</v>
      </c>
      <c r="K34">
        <f>RTD("tos.rtd", , "STRIKE", ".AAPL160520C130")</f>
        <v>130</v>
      </c>
      <c r="L34">
        <f>RTD("tos.rtd", , "BID", ".AAPL160520P130")</f>
        <v>18.350000000000001</v>
      </c>
      <c r="M34" t="str">
        <f>RTD("tos.rtd", , "BX", ".AAPL160520P130")</f>
        <v>A</v>
      </c>
      <c r="N34">
        <f>RTD("tos.rtd", , "ASK", ".AAPL160520P130")</f>
        <v>18.649999999999999</v>
      </c>
      <c r="O34" t="str">
        <f>RTD("tos.rtd", , "AX", ".AAPL160520P130")</f>
        <v>A</v>
      </c>
      <c r="P34">
        <f>RTD("tos.rtd", , "LAST", ".AAPL160520P130")</f>
        <v>18.8</v>
      </c>
      <c r="Q34" t="str">
        <f>RTD("tos.rtd", , "LX", ".AAPL160520P130")</f>
        <v>I</v>
      </c>
      <c r="R34">
        <f>RTD("tos.rtd", , "NET_CHANGE", ".AAPL160520P130")</f>
        <v>-2.5</v>
      </c>
      <c r="T34">
        <f t="shared" si="0"/>
        <v>112.19</v>
      </c>
      <c r="U34">
        <f t="shared" si="1"/>
        <v>130</v>
      </c>
      <c r="V34" s="1">
        <v>0.27489999999999998</v>
      </c>
      <c r="W34" s="1">
        <v>5.0000000000000001E-3</v>
      </c>
      <c r="X34" s="1">
        <v>0</v>
      </c>
      <c r="Y34" s="2">
        <v>27</v>
      </c>
      <c r="Z34" s="1">
        <f t="shared" si="2"/>
        <v>0.108</v>
      </c>
      <c r="AA34" s="3">
        <f t="shared" si="3"/>
        <v>-0.14734058789870913</v>
      </c>
      <c r="AB34" s="3">
        <f t="shared" si="4"/>
        <v>4.6207805399999993E-3</v>
      </c>
      <c r="AC34" s="3">
        <f t="shared" si="5"/>
        <v>9.03413586349021E-2</v>
      </c>
      <c r="AD34" s="3">
        <f t="shared" si="6"/>
        <v>-1.5797837171730484</v>
      </c>
      <c r="AE34" s="3">
        <f t="shared" si="7"/>
        <v>-1.6701250758079504</v>
      </c>
      <c r="AF34">
        <f t="shared" si="8"/>
        <v>5.7078202891447716E-2</v>
      </c>
      <c r="AG34">
        <f t="shared" si="9"/>
        <v>0.94292179710855228</v>
      </c>
      <c r="AH34">
        <f t="shared" si="10"/>
        <v>4.7447309911944568E-2</v>
      </c>
      <c r="AI34">
        <f t="shared" si="11"/>
        <v>0.95255269008805543</v>
      </c>
      <c r="AJ34">
        <f t="shared" si="12"/>
        <v>0.99946014577375952</v>
      </c>
      <c r="AK34">
        <f t="shared" si="13"/>
        <v>129.92981895058873</v>
      </c>
      <c r="AL34">
        <f t="shared" si="14"/>
        <v>1</v>
      </c>
      <c r="AM34">
        <f t="shared" si="15"/>
        <v>112.19</v>
      </c>
      <c r="AN34">
        <f t="shared" si="16"/>
        <v>0.23878319584008789</v>
      </c>
      <c r="AO34">
        <f t="shared" si="17"/>
        <v>4.878319584008789E-2</v>
      </c>
      <c r="AP34">
        <f t="shared" si="18"/>
        <v>5.7078202891447716E-2</v>
      </c>
      <c r="AQ34">
        <f t="shared" si="19"/>
        <v>1.1301376092914197E-2</v>
      </c>
      <c r="AR34">
        <f t="shared" si="20"/>
        <v>-2.1536193194358288E-2</v>
      </c>
      <c r="AS34">
        <f t="shared" si="21"/>
        <v>4.2231656755469388E-2</v>
      </c>
      <c r="AT34">
        <f t="shared" si="22"/>
        <v>6.6580060174755464E-3</v>
      </c>
      <c r="AU34">
        <f t="shared" si="23"/>
        <v>17.978602146428827</v>
      </c>
      <c r="AV34">
        <f t="shared" si="24"/>
        <v>-0.67139785357117177</v>
      </c>
      <c r="AW34">
        <f t="shared" si="25"/>
        <v>-0.94292179710855228</v>
      </c>
      <c r="AX34">
        <f t="shared" si="26"/>
        <v>1.1301376092914197E-2</v>
      </c>
      <c r="AY34">
        <f t="shared" si="27"/>
        <v>-1.8947949788968074E-2</v>
      </c>
      <c r="AZ34">
        <f t="shared" si="28"/>
        <v>4.2231656755469388E-2</v>
      </c>
      <c r="BA34">
        <f t="shared" si="29"/>
        <v>-0.13366619844916028</v>
      </c>
    </row>
    <row r="35" spans="3:53">
      <c r="C35">
        <f>RTD("tos.rtd", , "LAST", ".AAPL160520C135")</f>
        <v>0.08</v>
      </c>
      <c r="D35" t="str">
        <f>RTD("tos.rtd", , "LX", ".AAPL160520C135")</f>
        <v>W</v>
      </c>
      <c r="E35">
        <f>RTD("tos.rtd", , "NET_CHANGE", ".AAPL160520C135")</f>
        <v>0.01</v>
      </c>
      <c r="F35">
        <f>RTD("tos.rtd", , "BID", ".AAPL160520C135")</f>
        <v>0.08</v>
      </c>
      <c r="G35" t="str">
        <f>RTD("tos.rtd", , "BX", ".AAPL160520C135")</f>
        <v>X</v>
      </c>
      <c r="H35">
        <f>RTD("tos.rtd", , "ASK", ".AAPL160520C135")</f>
        <v>0.1</v>
      </c>
      <c r="I35" t="str">
        <f>RTD("tos.rtd", , "AX", ".AAPL160520C135")</f>
        <v>Z</v>
      </c>
      <c r="J35" t="str">
        <f>RTD("tos.rtd", , "EXPIRATION_DAY", ".AAPL160520C135")</f>
        <v>2016-05-21</v>
      </c>
      <c r="K35">
        <f>RTD("tos.rtd", , "STRIKE", ".AAPL160520C135")</f>
        <v>135</v>
      </c>
      <c r="L35">
        <f>RTD("tos.rtd", , "BID", ".AAPL160520P135")</f>
        <v>23.3</v>
      </c>
      <c r="M35" t="str">
        <f>RTD("tos.rtd", , "BX", ".AAPL160520P135")</f>
        <v>C</v>
      </c>
      <c r="N35">
        <f>RTD("tos.rtd", , "ASK", ".AAPL160520P135")</f>
        <v>23.55</v>
      </c>
      <c r="O35" t="str">
        <f>RTD("tos.rtd", , "AX", ".AAPL160520P135")</f>
        <v>X</v>
      </c>
      <c r="P35">
        <f>RTD("tos.rtd", , "LAST", ".AAPL160520P135")</f>
        <v>23.52</v>
      </c>
      <c r="Q35" t="str">
        <f>RTD("tos.rtd", , "LX", ".AAPL160520P135")</f>
        <v>X</v>
      </c>
      <c r="R35">
        <f>RTD("tos.rtd", , "NET_CHANGE", ".AAPL160520P135")</f>
        <v>-2.6</v>
      </c>
      <c r="T35">
        <f t="shared" si="0"/>
        <v>112.19</v>
      </c>
      <c r="U35">
        <f t="shared" si="1"/>
        <v>135</v>
      </c>
      <c r="V35" s="1">
        <v>0.27489999999999998</v>
      </c>
      <c r="W35" s="1">
        <v>5.0000000000000001E-3</v>
      </c>
      <c r="X35" s="1">
        <v>0</v>
      </c>
      <c r="Y35" s="2">
        <v>27</v>
      </c>
      <c r="Z35" s="1">
        <f t="shared" si="2"/>
        <v>0.108</v>
      </c>
      <c r="AA35" s="3">
        <f t="shared" si="3"/>
        <v>-0.18508091588155615</v>
      </c>
      <c r="AB35" s="3">
        <f t="shared" si="4"/>
        <v>4.6207805399999993E-3</v>
      </c>
      <c r="AC35" s="3">
        <f t="shared" si="5"/>
        <v>9.03413586349021E-2</v>
      </c>
      <c r="AD35" s="3">
        <f t="shared" si="6"/>
        <v>-1.9975362122995339</v>
      </c>
      <c r="AE35" s="3">
        <f t="shared" si="7"/>
        <v>-2.0878775709344359</v>
      </c>
      <c r="AF35">
        <f t="shared" si="8"/>
        <v>2.2883482369970842E-2</v>
      </c>
      <c r="AG35">
        <f t="shared" si="9"/>
        <v>0.97711651763002916</v>
      </c>
      <c r="AH35">
        <f t="shared" si="10"/>
        <v>1.840443994365093E-2</v>
      </c>
      <c r="AI35">
        <f t="shared" si="11"/>
        <v>0.98159556005634907</v>
      </c>
      <c r="AJ35">
        <f t="shared" si="12"/>
        <v>0.99946014577375952</v>
      </c>
      <c r="AK35">
        <f t="shared" si="13"/>
        <v>134.92711967945755</v>
      </c>
      <c r="AL35">
        <f t="shared" si="14"/>
        <v>1</v>
      </c>
      <c r="AM35">
        <f t="shared" si="15"/>
        <v>112.19</v>
      </c>
      <c r="AN35">
        <f t="shared" si="16"/>
        <v>8.4039816176650906E-2</v>
      </c>
      <c r="AO35">
        <f t="shared" si="17"/>
        <v>-1.59601838233491E-2</v>
      </c>
      <c r="AP35">
        <f t="shared" si="18"/>
        <v>2.2883482369970842E-2</v>
      </c>
      <c r="AQ35">
        <f t="shared" si="19"/>
        <v>5.353268630050723E-3</v>
      </c>
      <c r="AR35">
        <f t="shared" si="20"/>
        <v>-1.0192623076159309E-2</v>
      </c>
      <c r="AS35">
        <f t="shared" si="21"/>
        <v>2.0004413749744269E-2</v>
      </c>
      <c r="AT35">
        <f t="shared" si="22"/>
        <v>2.6819187165832083E-3</v>
      </c>
      <c r="AU35">
        <f t="shared" si="23"/>
        <v>22.821159495634191</v>
      </c>
      <c r="AV35">
        <f t="shared" si="24"/>
        <v>-0.72884050436580949</v>
      </c>
      <c r="AW35">
        <f t="shared" si="25"/>
        <v>-0.97711651763002916</v>
      </c>
      <c r="AX35">
        <f t="shared" si="26"/>
        <v>5.353268630050723E-3</v>
      </c>
      <c r="AY35">
        <f t="shared" si="27"/>
        <v>-7.5048318474848575E-3</v>
      </c>
      <c r="AZ35">
        <f t="shared" si="28"/>
        <v>2.0004413749744269E-2</v>
      </c>
      <c r="BA35">
        <f t="shared" si="29"/>
        <v>-0.14303937053723093</v>
      </c>
    </row>
    <row r="36" spans="3:53">
      <c r="C36">
        <f>RTD("tos.rtd", , "LAST", ".AAPL160520C140")</f>
        <v>0.04</v>
      </c>
      <c r="D36" t="str">
        <f>RTD("tos.rtd", , "LX", ".AAPL160520C140")</f>
        <v>Q</v>
      </c>
      <c r="E36">
        <f>RTD("tos.rtd", , "NET_CHANGE", ".AAPL160520C140")</f>
        <v>-0.01</v>
      </c>
      <c r="F36">
        <f>RTD("tos.rtd", , "BID", ".AAPL160520C140")</f>
        <v>0.04</v>
      </c>
      <c r="G36" t="str">
        <f>RTD("tos.rtd", , "BX", ".AAPL160520C140")</f>
        <v>C</v>
      </c>
      <c r="H36">
        <f>RTD("tos.rtd", , "ASK", ".AAPL160520C140")</f>
        <v>0.05</v>
      </c>
      <c r="I36" t="str">
        <f>RTD("tos.rtd", , "AX", ".AAPL160520C140")</f>
        <v>W</v>
      </c>
      <c r="J36" t="str">
        <f>RTD("tos.rtd", , "EXPIRATION_DAY", ".AAPL160520C140")</f>
        <v>2016-05-21</v>
      </c>
      <c r="K36">
        <f>RTD("tos.rtd", , "STRIKE", ".AAPL160520C140")</f>
        <v>140</v>
      </c>
      <c r="L36">
        <f>RTD("tos.rtd", , "BID", ".AAPL160520P140")</f>
        <v>28.2</v>
      </c>
      <c r="M36" t="str">
        <f>RTD("tos.rtd", , "BX", ".AAPL160520P140")</f>
        <v>C</v>
      </c>
      <c r="N36">
        <f>RTD("tos.rtd", , "ASK", ".AAPL160520P140")</f>
        <v>28.55</v>
      </c>
      <c r="O36" t="str">
        <f>RTD("tos.rtd", , "AX", ".AAPL160520P140")</f>
        <v>X</v>
      </c>
      <c r="P36">
        <f>RTD("tos.rtd", , "LAST", ".AAPL160520P140")</f>
        <v>35.450000000000003</v>
      </c>
      <c r="Q36" t="str">
        <f>RTD("tos.rtd", , "LX", ".AAPL160520P140")</f>
        <v>I</v>
      </c>
      <c r="R36">
        <f>RTD("tos.rtd", , "NET_CHANGE", ".AAPL160520P140")</f>
        <v>0</v>
      </c>
      <c r="T36">
        <f t="shared" si="0"/>
        <v>112.19</v>
      </c>
      <c r="U36">
        <f t="shared" si="1"/>
        <v>140</v>
      </c>
      <c r="V36" s="1">
        <v>0.27489999999999998</v>
      </c>
      <c r="W36" s="1">
        <v>5.0000000000000001E-3</v>
      </c>
      <c r="X36" s="1">
        <v>0</v>
      </c>
      <c r="Y36" s="2">
        <v>27</v>
      </c>
      <c r="Z36" s="1">
        <f t="shared" si="2"/>
        <v>0.108</v>
      </c>
      <c r="AA36" s="3">
        <f t="shared" si="3"/>
        <v>-0.22144856005243096</v>
      </c>
      <c r="AB36" s="3">
        <f t="shared" si="4"/>
        <v>4.6207805399999993E-3</v>
      </c>
      <c r="AC36" s="3">
        <f t="shared" si="5"/>
        <v>9.03413586349021E-2</v>
      </c>
      <c r="AD36" s="3">
        <f t="shared" si="6"/>
        <v>-2.4000942955562619</v>
      </c>
      <c r="AE36" s="3">
        <f t="shared" si="7"/>
        <v>-2.4904356541911641</v>
      </c>
      <c r="AF36">
        <f t="shared" si="8"/>
        <v>8.1954244588393621E-3</v>
      </c>
      <c r="AG36">
        <f t="shared" si="9"/>
        <v>0.99180457554116064</v>
      </c>
      <c r="AH36">
        <f t="shared" si="10"/>
        <v>6.3793298107395202E-3</v>
      </c>
      <c r="AI36">
        <f t="shared" si="11"/>
        <v>0.99362067018926048</v>
      </c>
      <c r="AJ36">
        <f t="shared" si="12"/>
        <v>0.99946014577375952</v>
      </c>
      <c r="AK36">
        <f t="shared" si="13"/>
        <v>139.92442040832634</v>
      </c>
      <c r="AL36">
        <f t="shared" si="14"/>
        <v>1</v>
      </c>
      <c r="AM36">
        <f t="shared" si="15"/>
        <v>112.19</v>
      </c>
      <c r="AN36">
        <f t="shared" si="16"/>
        <v>2.6820643675902422E-2</v>
      </c>
      <c r="AO36">
        <f t="shared" si="17"/>
        <v>-2.317935632409758E-2</v>
      </c>
      <c r="AP36">
        <f t="shared" si="18"/>
        <v>8.1954244588393621E-3</v>
      </c>
      <c r="AQ36">
        <f t="shared" si="19"/>
        <v>2.2090365697270101E-3</v>
      </c>
      <c r="AR36">
        <f t="shared" si="20"/>
        <v>-4.2033740476377429E-3</v>
      </c>
      <c r="AS36">
        <f t="shared" si="21"/>
        <v>8.2548597096492437E-3</v>
      </c>
      <c r="AT36">
        <f t="shared" si="22"/>
        <v>9.6403394847018823E-4</v>
      </c>
      <c r="AU36">
        <f t="shared" si="23"/>
        <v>27.761241052002248</v>
      </c>
      <c r="AV36">
        <f t="shared" si="24"/>
        <v>-0.78875894799775281</v>
      </c>
      <c r="AW36">
        <f t="shared" si="25"/>
        <v>-0.99180457554116064</v>
      </c>
      <c r="AX36">
        <f t="shared" si="26"/>
        <v>2.2090365697270101E-3</v>
      </c>
      <c r="AY36">
        <f t="shared" si="27"/>
        <v>-1.4160349956790508E-3</v>
      </c>
      <c r="AZ36">
        <f t="shared" si="28"/>
        <v>8.2548597096492437E-3</v>
      </c>
      <c r="BA36">
        <f t="shared" si="29"/>
        <v>-0.15015434009252224</v>
      </c>
    </row>
    <row r="37" spans="3:53">
      <c r="C37">
        <f>RTD("tos.rtd", , "LAST", ".AAPL160520C145")</f>
        <v>0.02</v>
      </c>
      <c r="D37" t="str">
        <f>RTD("tos.rtd", , "LX", ".AAPL160520C145")</f>
        <v>Q</v>
      </c>
      <c r="E37">
        <f>RTD("tos.rtd", , "NET_CHANGE", ".AAPL160520C145")</f>
        <v>0</v>
      </c>
      <c r="F37">
        <f>RTD("tos.rtd", , "BID", ".AAPL160520C145")</f>
        <v>0.02</v>
      </c>
      <c r="G37" t="str">
        <f>RTD("tos.rtd", , "BX", ".AAPL160520C145")</f>
        <v>H</v>
      </c>
      <c r="H37">
        <f>RTD("tos.rtd", , "ASK", ".AAPL160520C145")</f>
        <v>0.03</v>
      </c>
      <c r="I37" t="str">
        <f>RTD("tos.rtd", , "AX", ".AAPL160520C145")</f>
        <v>W</v>
      </c>
      <c r="J37" t="str">
        <f>RTD("tos.rtd", , "EXPIRATION_DAY", ".AAPL160520C145")</f>
        <v>2016-05-21</v>
      </c>
      <c r="K37">
        <f>RTD("tos.rtd", , "STRIKE", ".AAPL160520C145")</f>
        <v>145</v>
      </c>
      <c r="L37">
        <f>RTD("tos.rtd", , "BID", ".AAPL160520P145")</f>
        <v>33.15</v>
      </c>
      <c r="M37" t="str">
        <f>RTD("tos.rtd", , "BX", ".AAPL160520P145")</f>
        <v>C</v>
      </c>
      <c r="N37">
        <f>RTD("tos.rtd", , "ASK", ".AAPL160520P145")</f>
        <v>33.549999999999997</v>
      </c>
      <c r="O37" t="str">
        <f>RTD("tos.rtd", , "AX", ".AAPL160520P145")</f>
        <v>C</v>
      </c>
      <c r="P37">
        <f>RTD("tos.rtd", , "LAST", ".AAPL160520P145")</f>
        <v>35.15</v>
      </c>
      <c r="Q37" t="str">
        <f>RTD("tos.rtd", , "LX", ".AAPL160520P145")</f>
        <v>X</v>
      </c>
      <c r="R37">
        <f>RTD("tos.rtd", , "NET_CHANGE", ".AAPL160520P145")</f>
        <v>0</v>
      </c>
      <c r="T37">
        <f t="shared" si="0"/>
        <v>112.19</v>
      </c>
      <c r="U37">
        <f t="shared" si="1"/>
        <v>145</v>
      </c>
      <c r="V37" s="1">
        <v>0.27489999999999998</v>
      </c>
      <c r="W37" s="1">
        <v>5.0000000000000001E-3</v>
      </c>
      <c r="X37" s="1">
        <v>0</v>
      </c>
      <c r="Y37" s="2">
        <v>27</v>
      </c>
      <c r="Z37" s="1">
        <f t="shared" si="2"/>
        <v>0.108</v>
      </c>
      <c r="AA37" s="3">
        <f t="shared" si="3"/>
        <v>-0.25653987986370114</v>
      </c>
      <c r="AB37" s="3">
        <f t="shared" si="4"/>
        <v>4.6207805399999993E-3</v>
      </c>
      <c r="AC37" s="3">
        <f t="shared" si="5"/>
        <v>9.03413586349021E-2</v>
      </c>
      <c r="AD37" s="3">
        <f t="shared" si="6"/>
        <v>-2.7885245819889164</v>
      </c>
      <c r="AE37" s="3">
        <f t="shared" si="7"/>
        <v>-2.8788659406238186</v>
      </c>
      <c r="AF37">
        <f t="shared" si="8"/>
        <v>2.6474364469564193E-3</v>
      </c>
      <c r="AG37">
        <f t="shared" si="9"/>
        <v>0.99735256355304358</v>
      </c>
      <c r="AH37">
        <f t="shared" si="10"/>
        <v>1.9955397481579151E-3</v>
      </c>
      <c r="AI37">
        <f t="shared" si="11"/>
        <v>0.99800446025184208</v>
      </c>
      <c r="AJ37">
        <f t="shared" si="12"/>
        <v>0.99946014577375952</v>
      </c>
      <c r="AK37">
        <f t="shared" si="13"/>
        <v>144.92172113719514</v>
      </c>
      <c r="AL37">
        <f t="shared" si="14"/>
        <v>1</v>
      </c>
      <c r="AM37">
        <f t="shared" si="15"/>
        <v>112.19</v>
      </c>
      <c r="AN37">
        <f t="shared" si="16"/>
        <v>7.8188400833106853E-3</v>
      </c>
      <c r="AO37">
        <f t="shared" si="17"/>
        <v>-2.2181159916689314E-2</v>
      </c>
      <c r="AP37">
        <f t="shared" si="18"/>
        <v>2.6474364469564193E-3</v>
      </c>
      <c r="AQ37">
        <f t="shared" si="19"/>
        <v>8.0641895259620942E-4</v>
      </c>
      <c r="AR37">
        <f t="shared" si="20"/>
        <v>-1.5337307470620228E-3</v>
      </c>
      <c r="AS37">
        <f t="shared" si="21"/>
        <v>3.0134744766613986E-3</v>
      </c>
      <c r="AT37">
        <f t="shared" si="22"/>
        <v>3.1233281929278841E-4</v>
      </c>
      <c r="AU37">
        <f t="shared" si="23"/>
        <v>32.73953997727844</v>
      </c>
      <c r="AV37">
        <f t="shared" si="24"/>
        <v>-0.81046002272155704</v>
      </c>
      <c r="AW37">
        <f t="shared" si="25"/>
        <v>-0.99735256355304358</v>
      </c>
      <c r="AX37">
        <f t="shared" si="26"/>
        <v>8.0641895259620942E-4</v>
      </c>
      <c r="AY37">
        <f t="shared" si="27"/>
        <v>1.3531561281809083E-3</v>
      </c>
      <c r="AZ37">
        <f t="shared" si="28"/>
        <v>3.0134744766613986E-3</v>
      </c>
      <c r="BA37">
        <f t="shared" si="29"/>
        <v>-0.15620312600887798</v>
      </c>
    </row>
    <row r="38" spans="3:53">
      <c r="C38">
        <f>RTD("tos.rtd", , "LAST", ".AAPL160520C150")</f>
        <v>0.01</v>
      </c>
      <c r="D38" t="str">
        <f>RTD("tos.rtd", , "LX", ".AAPL160520C150")</f>
        <v>W</v>
      </c>
      <c r="E38">
        <f>RTD("tos.rtd", , "NET_CHANGE", ".AAPL160520C150")</f>
        <v>0</v>
      </c>
      <c r="F38">
        <f>RTD("tos.rtd", , "BID", ".AAPL160520C150")</f>
        <v>0</v>
      </c>
      <c r="G38" t="str">
        <f>RTD("tos.rtd", , "BX", ".AAPL160520C150")</f>
        <v>W</v>
      </c>
      <c r="H38">
        <f>RTD("tos.rtd", , "ASK", ".AAPL160520C150")</f>
        <v>0.01</v>
      </c>
      <c r="I38" t="str">
        <f>RTD("tos.rtd", , "AX", ".AAPL160520C150")</f>
        <v>W</v>
      </c>
      <c r="J38" t="str">
        <f>RTD("tos.rtd", , "EXPIRATION_DAY", ".AAPL160520C150")</f>
        <v>2016-05-21</v>
      </c>
      <c r="K38">
        <f>RTD("tos.rtd", , "STRIKE", ".AAPL160520C150")</f>
        <v>150</v>
      </c>
      <c r="L38">
        <f>RTD("tos.rtd", , "BID", ".AAPL160520P150")</f>
        <v>38.1</v>
      </c>
      <c r="M38" t="str">
        <f>RTD("tos.rtd", , "BX", ".AAPL160520P150")</f>
        <v>C</v>
      </c>
      <c r="N38">
        <f>RTD("tos.rtd", , "ASK", ".AAPL160520P150")</f>
        <v>38.5</v>
      </c>
      <c r="O38" t="str">
        <f>RTD("tos.rtd", , "AX", ".AAPL160520P150")</f>
        <v>W</v>
      </c>
      <c r="P38">
        <f>RTD("tos.rtd", , "LAST", ".AAPL160520P150")</f>
        <v>0</v>
      </c>
      <c r="Q38" t="str">
        <f>RTD("tos.rtd", , "LX", ".AAPL160520P150")</f>
        <v/>
      </c>
      <c r="R38">
        <f>RTD("tos.rtd", , "NET_CHANGE", ".AAPL160520P150")</f>
        <v>0</v>
      </c>
      <c r="T38">
        <f>$A$4</f>
        <v>112.19</v>
      </c>
      <c r="U38">
        <f>K38</f>
        <v>150</v>
      </c>
      <c r="V38" s="1">
        <v>0.27489999999999998</v>
      </c>
      <c r="W38" s="1">
        <v>5.0000000000000001E-3</v>
      </c>
      <c r="X38" s="1">
        <v>0</v>
      </c>
      <c r="Y38" s="2">
        <v>27</v>
      </c>
      <c r="Z38" s="1">
        <f>Y38/250</f>
        <v>0.108</v>
      </c>
      <c r="AA38" s="3">
        <f>LN(T38/U38)</f>
        <v>-0.29044143153938246</v>
      </c>
      <c r="AB38" s="3">
        <f>(W38-X38+POWER(V38,2)/2)*Z38</f>
        <v>4.6207805399999993E-3</v>
      </c>
      <c r="AC38" s="3">
        <f>V38*SQRT(Z38)</f>
        <v>9.03413586349021E-2</v>
      </c>
      <c r="AD38" s="3">
        <f>(AA38+AB38)/AC38</f>
        <v>-3.1637851734605165</v>
      </c>
      <c r="AE38" s="3">
        <f>AD38-AC38</f>
        <v>-3.2541265320954187</v>
      </c>
      <c r="AF38">
        <f>NORMDIST(AD38,0,1,TRUE)</f>
        <v>7.7865850012059923E-4</v>
      </c>
      <c r="AG38">
        <f>NORMDIST(-1*AD38,0,1,TRUE)</f>
        <v>0.9992213414998794</v>
      </c>
      <c r="AH38">
        <f>NORMDIST(AE38,0,1,TRUE)</f>
        <v>5.6870802948472132E-4</v>
      </c>
      <c r="AI38">
        <f>NORMDIST(-1*AE38,0,1,TRUE)</f>
        <v>0.99943129197051528</v>
      </c>
      <c r="AJ38">
        <f>EXP(-W38*Z38)</f>
        <v>0.99946014577375952</v>
      </c>
      <c r="AK38">
        <f>U38*AJ38</f>
        <v>149.91902186606393</v>
      </c>
      <c r="AL38">
        <f>EXP(-X38*Z38)</f>
        <v>1</v>
      </c>
      <c r="AM38">
        <f>T38*AL38</f>
        <v>112.19</v>
      </c>
      <c r="AN38">
        <f>AM38*AF38-AK38*AH38</f>
        <v>2.09754562080397E-3</v>
      </c>
      <c r="AO38">
        <f>AN38-H38</f>
        <v>-7.9024543791960302E-3</v>
      </c>
      <c r="AP38">
        <f>AL38*AF38</f>
        <v>7.7865850012059923E-4</v>
      </c>
      <c r="AQ38">
        <f>EXP(-1*POWER(AD38,2)/2)/SQRT(2*PI())*AL38/(T38*AC38)</f>
        <v>2.6395265766487907E-4</v>
      </c>
      <c r="AR38">
        <f>(-(T38*EXP(-1*POWER(AD38,2)/2)/SQRT(2*PI())*V38*AL38/ (2*SQRT(Z38)))-(W38*AK38*AH38)+(X38*T38*AF38*AL38))/ 251</f>
        <v>-5.0182517516757068E-4</v>
      </c>
      <c r="AS38">
        <f>EXP(-1*POWER(AD38,2)/2)/SQRT(2*PI())*AL38*T38*SQRT(Z38)/100</f>
        <v>9.863540463170852E-4</v>
      </c>
      <c r="AT38">
        <f>U38*Z38*AJ38*AH38/100</f>
        <v>9.2080963628344138E-5</v>
      </c>
      <c r="AU38">
        <f>AK38*AI38-AM38*AG38</f>
        <v>37.73111941168473</v>
      </c>
      <c r="AV38">
        <f>AU38-N38</f>
        <v>-0.76888058831526962</v>
      </c>
      <c r="AW38">
        <f>AL38*(AF38-1)</f>
        <v>-0.9992213414998794</v>
      </c>
      <c r="AX38">
        <f>EXP(-1*POWER(AD38,2)/2)/SQRT(2*PI())*AL38/(T38*AC38)</f>
        <v>2.6395265766487907E-4</v>
      </c>
      <c r="AY38">
        <f>(-(T38*EXP(-1*POWER(AD38,2)/2)/SQRT(2*PI())*V38*AL38/ (2*SQRT(Z38)))+(W38*AK38*AI38)-(X38*T38*AG38*AL38))/251</f>
        <v>2.4846095233595996E-3</v>
      </c>
      <c r="AZ38">
        <f>EXP(-1*POWER(AD38,2)/2)/SQRT(2*PI())*AL38*T38*SQRT(Z38)/100</f>
        <v>9.863540463170852E-4</v>
      </c>
      <c r="BA38">
        <f>-U38*Z38*AJ38*AI38/100</f>
        <v>-0.16182046265172068</v>
      </c>
    </row>
    <row r="39" spans="3:53">
      <c r="C39">
        <f>RTD("tos.rtd", , "LAST", ".AAPL160520C155")</f>
        <v>0.01</v>
      </c>
      <c r="D39" t="str">
        <f>RTD("tos.rtd", , "LX", ".AAPL160520C155")</f>
        <v>W</v>
      </c>
      <c r="E39">
        <f>RTD("tos.rtd", , "NET_CHANGE", ".AAPL160520C155")</f>
        <v>0</v>
      </c>
      <c r="F39">
        <f>RTD("tos.rtd", , "BID", ".AAPL160520C155")</f>
        <v>0</v>
      </c>
      <c r="G39" t="str">
        <f>RTD("tos.rtd", , "BX", ".AAPL160520C155")</f>
        <v>W</v>
      </c>
      <c r="H39">
        <f>RTD("tos.rtd", , "ASK", ".AAPL160520C155")</f>
        <v>0.01</v>
      </c>
      <c r="I39" t="str">
        <f>RTD("tos.rtd", , "AX", ".AAPL160520C155")</f>
        <v>W</v>
      </c>
      <c r="J39" t="str">
        <f>RTD("tos.rtd", , "EXPIRATION_DAY", ".AAPL160520C155")</f>
        <v>2016-05-21</v>
      </c>
      <c r="K39">
        <f>RTD("tos.rtd", , "STRIKE", ".AAPL160520C155")</f>
        <v>155</v>
      </c>
      <c r="L39">
        <f>RTD("tos.rtd", , "BID", ".AAPL160520P155")</f>
        <v>43.1</v>
      </c>
      <c r="M39" t="str">
        <f>RTD("tos.rtd", , "BX", ".AAPL160520P155")</f>
        <v>C</v>
      </c>
      <c r="N39">
        <f>RTD("tos.rtd", , "ASK", ".AAPL160520P155")</f>
        <v>43.5</v>
      </c>
      <c r="O39" t="str">
        <f>RTD("tos.rtd", , "AX", ".AAPL160520P155")</f>
        <v>W</v>
      </c>
      <c r="P39">
        <f>RTD("tos.rtd", , "LAST", ".AAPL160520P155")</f>
        <v>0</v>
      </c>
      <c r="Q39" t="str">
        <f>RTD("tos.rtd", , "LX", ".AAPL160520P155")</f>
        <v/>
      </c>
      <c r="R39">
        <f>RTD("tos.rtd", , "NET_CHANGE", ".AAPL160520P155")</f>
        <v>0</v>
      </c>
      <c r="T39">
        <f t="shared" si="0"/>
        <v>112.19</v>
      </c>
      <c r="U39">
        <f t="shared" ref="U39:U49" si="30">K39</f>
        <v>155</v>
      </c>
      <c r="V39" s="1">
        <v>0.27489999999999998</v>
      </c>
      <c r="W39" s="1">
        <v>5.0000000000000001E-3</v>
      </c>
      <c r="X39" s="1">
        <v>0</v>
      </c>
      <c r="Y39" s="2">
        <v>27</v>
      </c>
      <c r="Z39" s="1">
        <f t="shared" si="2"/>
        <v>0.108</v>
      </c>
      <c r="AA39" s="3">
        <f t="shared" ref="AA39:AA49" si="31">LN(T39/U39)</f>
        <v>-0.32323125436237327</v>
      </c>
      <c r="AB39" s="3">
        <f t="shared" ref="AB39:AB49" si="32">(W39-X39+POWER(V39,2)/2)*Z39</f>
        <v>4.6207805399999993E-3</v>
      </c>
      <c r="AC39" s="3">
        <f t="shared" ref="AC39:AC49" si="33">V39*SQRT(Z39)</f>
        <v>9.03413586349021E-2</v>
      </c>
      <c r="AD39" s="3">
        <f t="shared" ref="AD39:AD49" si="34">(AA39+AB39)/AC39</f>
        <v>-3.5267398967285692</v>
      </c>
      <c r="AE39" s="3">
        <f t="shared" ref="AE39:AE49" si="35">AD39-AC39</f>
        <v>-3.6170812553634715</v>
      </c>
      <c r="AF39">
        <f t="shared" ref="AF39:AF49" si="36">NORMDIST(AD39,0,1,TRUE)</f>
        <v>2.1035492079879425E-4</v>
      </c>
      <c r="AG39">
        <f t="shared" ref="AG39:AG49" si="37">NORMDIST(-1*AD39,0,1,TRUE)</f>
        <v>0.99978964507920121</v>
      </c>
      <c r="AH39">
        <f t="shared" ref="AH39:AH49" si="38">NORMDIST(AE39,0,1,TRUE)</f>
        <v>1.489718968613607E-4</v>
      </c>
      <c r="AI39">
        <f t="shared" ref="AI39:AI49" si="39">NORMDIST(-1*AE39,0,1,TRUE)</f>
        <v>0.99985102810313864</v>
      </c>
      <c r="AJ39">
        <f t="shared" ref="AJ39:AJ49" si="40">EXP(-W39*Z39)</f>
        <v>0.99946014577375952</v>
      </c>
      <c r="AK39">
        <f t="shared" ref="AK39:AK49" si="41">U39*AJ39</f>
        <v>154.91632259493272</v>
      </c>
      <c r="AL39">
        <f t="shared" ref="AL39:AL49" si="42">EXP(-X39*Z39)</f>
        <v>1</v>
      </c>
      <c r="AM39">
        <f t="shared" ref="AM39:AM49" si="43">T39*AL39</f>
        <v>112.19</v>
      </c>
      <c r="AN39">
        <f t="shared" ref="AN39:AN49" si="44">AM39*AF39-AK39*AH39</f>
        <v>5.215401326631279E-4</v>
      </c>
      <c r="AO39">
        <f t="shared" ref="AO39:AO49" si="45">AN39-H39</f>
        <v>-9.4784598673368723E-3</v>
      </c>
      <c r="AP39">
        <f t="shared" ref="AP39:AP49" si="46">AL39*AF39</f>
        <v>2.1035492079879425E-4</v>
      </c>
      <c r="AQ39">
        <f t="shared" ref="AQ39:AQ49" si="47">EXP(-1*POWER(AD39,2)/2)/SQRT(2*PI())*AL39/(T39*AC39)</f>
        <v>7.8381734535877889E-5</v>
      </c>
      <c r="AR39">
        <f t="shared" ref="AR39:AR49" si="48">(-(T39*EXP(-1*POWER(AD39,2)/2)/SQRT(2*PI())*V39*AL39/ (2*SQRT(Z39)))-(W39*AK39*AH39)+(X39*T39*AF39*AL39))/ 251</f>
        <v>-1.4897424896405235E-4</v>
      </c>
      <c r="AS39">
        <f t="shared" ref="AS39:AS49" si="49">EXP(-1*POWER(AD39,2)/2)/SQRT(2*PI())*AL39*T39*SQRT(Z39)/100</f>
        <v>2.9290154416619743E-4</v>
      </c>
      <c r="AT39">
        <f t="shared" ref="AT39:AT49" si="50">U39*Z39*AJ39*AH39/100</f>
        <v>2.4924432706293885E-5</v>
      </c>
      <c r="AU39">
        <f t="shared" ref="AU39:AU49" si="51">AK39*AI39-AM39*AG39</f>
        <v>42.726844135065392</v>
      </c>
      <c r="AV39">
        <f t="shared" ref="AV39:AV49" si="52">AU39-N39</f>
        <v>-0.77315586493460842</v>
      </c>
      <c r="AW39">
        <f t="shared" ref="AW39:AW49" si="53">AL39*(AF39-1)</f>
        <v>-0.99978964507920121</v>
      </c>
      <c r="AX39">
        <f t="shared" ref="AX39:AX49" si="54">EXP(-1*POWER(AD39,2)/2)/SQRT(2*PI())*AL39/(T39*AC39)</f>
        <v>7.8381734535877889E-5</v>
      </c>
      <c r="AY39">
        <f t="shared" ref="AY39:AY49" si="55">(-(T39*EXP(-1*POWER(AD39,2)/2)/SQRT(2*PI())*V39*AL39/ (2*SQRT(Z39)))+(W39*AK39*AI39)-(X39*T39*AG39*AL39))/251</f>
        <v>2.9370082728473568E-3</v>
      </c>
      <c r="AZ39">
        <f t="shared" ref="AZ39:AZ49" si="56">EXP(-1*POWER(AD39,2)/2)/SQRT(2*PI())*AL39*T39*SQRT(Z39)/100</f>
        <v>2.9290154416619743E-4</v>
      </c>
      <c r="BA39">
        <f t="shared" ref="BA39:BA49" si="57">-U39*Z39*AJ39*AI39/100</f>
        <v>-0.16728470396982104</v>
      </c>
    </row>
    <row r="40" spans="3:53">
      <c r="C40">
        <f>RTD("tos.rtd", , "LAST", ".AAPL160520C160")</f>
        <v>0</v>
      </c>
      <c r="D40" t="str">
        <f>RTD("tos.rtd", , "LX", ".AAPL160520C160")</f>
        <v/>
      </c>
      <c r="E40">
        <f>RTD("tos.rtd", , "NET_CHANGE", ".AAPL160520C160")</f>
        <v>0</v>
      </c>
      <c r="F40">
        <f>RTD("tos.rtd", , "BID", ".AAPL160520C160")</f>
        <v>0</v>
      </c>
      <c r="G40" t="str">
        <f>RTD("tos.rtd", , "BX", ".AAPL160520C160")</f>
        <v>W</v>
      </c>
      <c r="H40">
        <f>RTD("tos.rtd", , "ASK", ".AAPL160520C160")</f>
        <v>0.03</v>
      </c>
      <c r="I40" t="str">
        <f>RTD("tos.rtd", , "AX", ".AAPL160520C160")</f>
        <v>W</v>
      </c>
      <c r="J40" t="str">
        <f>RTD("tos.rtd", , "EXPIRATION_DAY", ".AAPL160520C160")</f>
        <v>2016-05-21</v>
      </c>
      <c r="K40">
        <f>RTD("tos.rtd", , "STRIKE", ".AAPL160520C160")</f>
        <v>160</v>
      </c>
      <c r="L40">
        <f>RTD("tos.rtd", , "BID", ".AAPL160520P160")</f>
        <v>48.1</v>
      </c>
      <c r="M40" t="str">
        <f>RTD("tos.rtd", , "BX", ".AAPL160520P160")</f>
        <v>C</v>
      </c>
      <c r="N40">
        <f>RTD("tos.rtd", , "ASK", ".AAPL160520P160")</f>
        <v>48.5</v>
      </c>
      <c r="O40" t="str">
        <f>RTD("tos.rtd", , "AX", ".AAPL160520P160")</f>
        <v>W</v>
      </c>
      <c r="P40">
        <f>RTD("tos.rtd", , "LAST", ".AAPL160520P160")</f>
        <v>53.66</v>
      </c>
      <c r="Q40" t="str">
        <f>RTD("tos.rtd", , "LX", ".AAPL160520P160")</f>
        <v>C</v>
      </c>
      <c r="R40">
        <f>RTD("tos.rtd", , "NET_CHANGE", ".AAPL160520P160")</f>
        <v>0</v>
      </c>
      <c r="T40">
        <f t="shared" si="0"/>
        <v>112.19</v>
      </c>
      <c r="U40">
        <f t="shared" si="30"/>
        <v>160</v>
      </c>
      <c r="V40" s="1">
        <v>0.27489999999999998</v>
      </c>
      <c r="W40" s="1">
        <v>5.0000000000000001E-3</v>
      </c>
      <c r="X40" s="1">
        <v>0</v>
      </c>
      <c r="Y40" s="2">
        <v>27</v>
      </c>
      <c r="Z40" s="1">
        <f t="shared" si="2"/>
        <v>0.108</v>
      </c>
      <c r="AA40" s="3">
        <f t="shared" si="31"/>
        <v>-0.35497995267695365</v>
      </c>
      <c r="AB40" s="3">
        <f t="shared" si="32"/>
        <v>4.6207805399999993E-3</v>
      </c>
      <c r="AC40" s="3">
        <f t="shared" si="33"/>
        <v>9.03413586349021E-2</v>
      </c>
      <c r="AD40" s="3">
        <f t="shared" si="34"/>
        <v>-3.8781702802684812</v>
      </c>
      <c r="AE40" s="3">
        <f t="shared" si="35"/>
        <v>-3.9685116389033834</v>
      </c>
      <c r="AF40">
        <f t="shared" si="36"/>
        <v>5.2622522143330741E-5</v>
      </c>
      <c r="AG40">
        <f t="shared" si="37"/>
        <v>0.99994737747785667</v>
      </c>
      <c r="AH40">
        <f t="shared" si="38"/>
        <v>3.6161462809269906E-5</v>
      </c>
      <c r="AI40">
        <f t="shared" si="39"/>
        <v>0.99996383853719073</v>
      </c>
      <c r="AJ40">
        <f t="shared" si="40"/>
        <v>0.99946014577375952</v>
      </c>
      <c r="AK40">
        <f t="shared" si="41"/>
        <v>159.91362332380152</v>
      </c>
      <c r="AL40">
        <f t="shared" si="42"/>
        <v>1</v>
      </c>
      <c r="AM40">
        <f t="shared" si="43"/>
        <v>112.19</v>
      </c>
      <c r="AN40">
        <f t="shared" si="44"/>
        <v>1.2101021674103003E-4</v>
      </c>
      <c r="AO40">
        <f t="shared" si="45"/>
        <v>-2.987898978325897E-2</v>
      </c>
      <c r="AP40">
        <f t="shared" si="46"/>
        <v>5.2622522143330741E-5</v>
      </c>
      <c r="AQ40">
        <f t="shared" si="47"/>
        <v>2.1336851828726964E-5</v>
      </c>
      <c r="AR40">
        <f t="shared" si="48"/>
        <v>-4.054339291547077E-5</v>
      </c>
      <c r="AS40">
        <f t="shared" si="49"/>
        <v>7.973282149578912E-5</v>
      </c>
      <c r="AT40">
        <f t="shared" si="50"/>
        <v>6.2453273859207857E-6</v>
      </c>
      <c r="AU40">
        <f t="shared" si="51"/>
        <v>47.723744334018264</v>
      </c>
      <c r="AV40">
        <f t="shared" si="52"/>
        <v>-0.77625566598173634</v>
      </c>
      <c r="AW40">
        <f t="shared" si="53"/>
        <v>-0.99994737747785667</v>
      </c>
      <c r="AX40">
        <f t="shared" si="54"/>
        <v>2.1336851828726964E-5</v>
      </c>
      <c r="AY40">
        <f t="shared" si="55"/>
        <v>3.1449869521801769E-3</v>
      </c>
      <c r="AZ40">
        <f t="shared" si="56"/>
        <v>7.973282149578912E-5</v>
      </c>
      <c r="BA40">
        <f t="shared" si="57"/>
        <v>-0.17270046786231977</v>
      </c>
    </row>
    <row r="41" spans="3:53">
      <c r="C41">
        <f>RTD("tos.rtd", , "LAST", ".AAPL160520C165")</f>
        <v>0.01</v>
      </c>
      <c r="D41" t="str">
        <f>RTD("tos.rtd", , "LX", ".AAPL160520C165")</f>
        <v>I</v>
      </c>
      <c r="E41">
        <f>RTD("tos.rtd", , "NET_CHANGE", ".AAPL160520C165")</f>
        <v>0</v>
      </c>
      <c r="F41">
        <f>RTD("tos.rtd", , "BID", ".AAPL160520C165")</f>
        <v>0</v>
      </c>
      <c r="G41" t="str">
        <f>RTD("tos.rtd", , "BX", ".AAPL160520C165")</f>
        <v>B</v>
      </c>
      <c r="H41">
        <f>RTD("tos.rtd", , "ASK", ".AAPL160520C165")</f>
        <v>0.03</v>
      </c>
      <c r="I41" t="str">
        <f>RTD("tos.rtd", , "AX", ".AAPL160520C165")</f>
        <v>C</v>
      </c>
      <c r="J41" t="str">
        <f>RTD("tos.rtd", , "EXPIRATION_DAY", ".AAPL160520C165")</f>
        <v>2016-05-21</v>
      </c>
      <c r="K41">
        <f>RTD("tos.rtd", , "STRIKE", ".AAPL160520C165")</f>
        <v>165</v>
      </c>
      <c r="L41">
        <f>RTD("tos.rtd", , "BID", ".AAPL160520P165")</f>
        <v>53.1</v>
      </c>
      <c r="M41" t="str">
        <f>RTD("tos.rtd", , "BX", ".AAPL160520P165")</f>
        <v>W</v>
      </c>
      <c r="N41">
        <f>RTD("tos.rtd", , "ASK", ".AAPL160520P165")</f>
        <v>53.5</v>
      </c>
      <c r="O41" t="str">
        <f>RTD("tos.rtd", , "AX", ".AAPL160520P165")</f>
        <v>W</v>
      </c>
      <c r="P41">
        <f>RTD("tos.rtd", , "LAST", ".AAPL160520P165")</f>
        <v>0</v>
      </c>
      <c r="Q41" t="str">
        <f>RTD("tos.rtd", , "LX", ".AAPL160520P165")</f>
        <v/>
      </c>
      <c r="R41">
        <f>RTD("tos.rtd", , "NET_CHANGE", ".AAPL160520P165")</f>
        <v>0</v>
      </c>
      <c r="T41">
        <f t="shared" si="0"/>
        <v>112.19</v>
      </c>
      <c r="U41">
        <f t="shared" si="30"/>
        <v>165</v>
      </c>
      <c r="V41" s="1">
        <v>0.27489999999999998</v>
      </c>
      <c r="W41" s="1">
        <v>5.0000000000000001E-3</v>
      </c>
      <c r="X41" s="1">
        <v>0</v>
      </c>
      <c r="Y41" s="2">
        <v>27</v>
      </c>
      <c r="Z41" s="1">
        <f t="shared" si="2"/>
        <v>0.108</v>
      </c>
      <c r="AA41" s="3">
        <f t="shared" si="31"/>
        <v>-0.38575161134370728</v>
      </c>
      <c r="AB41" s="3">
        <f t="shared" si="32"/>
        <v>4.6207805399999993E-3</v>
      </c>
      <c r="AC41" s="3">
        <f t="shared" si="33"/>
        <v>9.03413586349021E-2</v>
      </c>
      <c r="AD41" s="3">
        <f t="shared" si="34"/>
        <v>-4.2187856875606347</v>
      </c>
      <c r="AE41" s="3">
        <f t="shared" si="35"/>
        <v>-4.3091270461955364</v>
      </c>
      <c r="AF41">
        <f t="shared" si="36"/>
        <v>1.2281080182474646E-5</v>
      </c>
      <c r="AG41">
        <f t="shared" si="37"/>
        <v>0.99998771891981753</v>
      </c>
      <c r="AH41">
        <f t="shared" si="38"/>
        <v>8.1950100039307472E-6</v>
      </c>
      <c r="AI41">
        <f t="shared" si="39"/>
        <v>0.99999180498999607</v>
      </c>
      <c r="AJ41">
        <f t="shared" si="40"/>
        <v>0.99946014577375952</v>
      </c>
      <c r="AK41">
        <f t="shared" si="41"/>
        <v>164.91092405267031</v>
      </c>
      <c r="AL41">
        <f t="shared" si="42"/>
        <v>1</v>
      </c>
      <c r="AM41">
        <f t="shared" si="43"/>
        <v>112.19</v>
      </c>
      <c r="AN41">
        <f t="shared" si="44"/>
        <v>2.6367713302733733E-5</v>
      </c>
      <c r="AO41">
        <f t="shared" si="45"/>
        <v>-2.9973632286697267E-2</v>
      </c>
      <c r="AP41">
        <f t="shared" si="46"/>
        <v>1.2281080182474646E-5</v>
      </c>
      <c r="AQ41">
        <f t="shared" si="47"/>
        <v>5.3734047171922419E-6</v>
      </c>
      <c r="AR41">
        <f t="shared" si="48"/>
        <v>-1.0208230071725131E-5</v>
      </c>
      <c r="AS41">
        <f t="shared" si="49"/>
        <v>2.0079659482084074E-5</v>
      </c>
      <c r="AT41">
        <f t="shared" si="50"/>
        <v>1.4595624061586247E-6</v>
      </c>
      <c r="AU41">
        <f t="shared" si="51"/>
        <v>52.720950420383616</v>
      </c>
      <c r="AV41">
        <f t="shared" si="52"/>
        <v>-0.77904957961638388</v>
      </c>
      <c r="AW41">
        <f t="shared" si="53"/>
        <v>-0.99998771891981753</v>
      </c>
      <c r="AX41">
        <f t="shared" si="54"/>
        <v>5.3734047171922419E-6</v>
      </c>
      <c r="AY41">
        <f t="shared" si="55"/>
        <v>3.2748699383081618E-3</v>
      </c>
      <c r="AZ41">
        <f t="shared" si="56"/>
        <v>2.0079659482084074E-5</v>
      </c>
      <c r="BA41">
        <f t="shared" si="57"/>
        <v>-0.17810233841447778</v>
      </c>
    </row>
    <row r="42" spans="3:53">
      <c r="C42">
        <f>RTD("tos.rtd", , "LAST", ".AAPL160520C170")</f>
        <v>0</v>
      </c>
      <c r="D42" t="str">
        <f>RTD("tos.rtd", , "LX", ".AAPL160520C170")</f>
        <v/>
      </c>
      <c r="E42">
        <f>RTD("tos.rtd", , "NET_CHANGE", ".AAPL160520C170")</f>
        <v>0</v>
      </c>
      <c r="F42">
        <f>RTD("tos.rtd", , "BID", ".AAPL160520C170")</f>
        <v>0</v>
      </c>
      <c r="G42" t="str">
        <f>RTD("tos.rtd", , "BX", ".AAPL160520C170")</f>
        <v>B</v>
      </c>
      <c r="H42">
        <f>RTD("tos.rtd", , "ASK", ".AAPL160520C170")</f>
        <v>0.03</v>
      </c>
      <c r="I42" t="str">
        <f>RTD("tos.rtd", , "AX", ".AAPL160520C170")</f>
        <v>C</v>
      </c>
      <c r="J42" t="str">
        <f>RTD("tos.rtd", , "EXPIRATION_DAY", ".AAPL160520C170")</f>
        <v>2016-05-21</v>
      </c>
      <c r="K42">
        <f>RTD("tos.rtd", , "STRIKE", ".AAPL160520C170")</f>
        <v>170</v>
      </c>
      <c r="L42">
        <f>RTD("tos.rtd", , "BID", ".AAPL160520P170")</f>
        <v>58.1</v>
      </c>
      <c r="M42" t="str">
        <f>RTD("tos.rtd", , "BX", ".AAPL160520P170")</f>
        <v>W</v>
      </c>
      <c r="N42">
        <f>RTD("tos.rtd", , "ASK", ".AAPL160520P170")</f>
        <v>58.5</v>
      </c>
      <c r="O42" t="str">
        <f>RTD("tos.rtd", , "AX", ".AAPL160520P170")</f>
        <v>W</v>
      </c>
      <c r="P42">
        <f>RTD("tos.rtd", , "LAST", ".AAPL160520P170")</f>
        <v>0</v>
      </c>
      <c r="Q42" t="str">
        <f>RTD("tos.rtd", , "LX", ".AAPL160520P170")</f>
        <v/>
      </c>
      <c r="R42">
        <f>RTD("tos.rtd", , "NET_CHANGE", ".AAPL160520P170")</f>
        <v>0</v>
      </c>
      <c r="T42">
        <f t="shared" si="0"/>
        <v>112.19</v>
      </c>
      <c r="U42">
        <f t="shared" si="30"/>
        <v>170</v>
      </c>
      <c r="V42" s="1">
        <v>0.27489999999999998</v>
      </c>
      <c r="W42" s="1">
        <v>5.0000000000000001E-3</v>
      </c>
      <c r="X42" s="1">
        <v>0</v>
      </c>
      <c r="Y42" s="2">
        <v>27</v>
      </c>
      <c r="Z42" s="1">
        <f t="shared" si="2"/>
        <v>0.108</v>
      </c>
      <c r="AA42" s="3">
        <f t="shared" si="31"/>
        <v>-0.41560457449338845</v>
      </c>
      <c r="AB42" s="3">
        <f t="shared" si="32"/>
        <v>4.6207805399999993E-3</v>
      </c>
      <c r="AC42" s="3">
        <f t="shared" si="33"/>
        <v>9.03413586349021E-2</v>
      </c>
      <c r="AD42" s="3">
        <f t="shared" si="34"/>
        <v>-4.5492319372160814</v>
      </c>
      <c r="AE42" s="3">
        <f t="shared" si="35"/>
        <v>-4.6395732958509832</v>
      </c>
      <c r="AF42">
        <f t="shared" si="36"/>
        <v>2.6921037226124156E-6</v>
      </c>
      <c r="AG42">
        <f t="shared" si="37"/>
        <v>0.99999730789627739</v>
      </c>
      <c r="AH42">
        <f t="shared" si="38"/>
        <v>1.7456466077092614E-6</v>
      </c>
      <c r="AI42">
        <f t="shared" si="39"/>
        <v>0.99999825435339229</v>
      </c>
      <c r="AJ42">
        <f t="shared" si="40"/>
        <v>0.99946014577375952</v>
      </c>
      <c r="AK42">
        <f t="shared" si="41"/>
        <v>169.90822478153913</v>
      </c>
      <c r="AL42">
        <f t="shared" si="42"/>
        <v>1</v>
      </c>
      <c r="AM42">
        <f t="shared" si="43"/>
        <v>112.19</v>
      </c>
      <c r="AN42">
        <f t="shared" si="44"/>
        <v>5.4274004280904396E-6</v>
      </c>
      <c r="AO42">
        <f t="shared" si="45"/>
        <v>-2.999457259957191E-2</v>
      </c>
      <c r="AP42">
        <f t="shared" si="46"/>
        <v>2.6921037226124156E-6</v>
      </c>
      <c r="AQ42">
        <f t="shared" si="47"/>
        <v>1.2621068940719493E-6</v>
      </c>
      <c r="AR42">
        <f t="shared" si="48"/>
        <v>-2.3972971977225151E-6</v>
      </c>
      <c r="AS42">
        <f t="shared" si="49"/>
        <v>4.7163163760718489E-6</v>
      </c>
      <c r="AT42">
        <f t="shared" si="50"/>
        <v>3.2032769350874017E-7</v>
      </c>
      <c r="AU42">
        <f t="shared" si="51"/>
        <v>57.718230208939559</v>
      </c>
      <c r="AV42">
        <f t="shared" si="52"/>
        <v>-0.78176979106044087</v>
      </c>
      <c r="AW42">
        <f t="shared" si="53"/>
        <v>-0.99999730789627739</v>
      </c>
      <c r="AX42">
        <f t="shared" si="54"/>
        <v>1.2621068940719493E-6</v>
      </c>
      <c r="AY42">
        <f t="shared" si="55"/>
        <v>3.3822286944664038E-3</v>
      </c>
      <c r="AZ42">
        <f t="shared" si="56"/>
        <v>4.7163163760718489E-6</v>
      </c>
      <c r="BA42">
        <f t="shared" si="57"/>
        <v>-0.18350056243636875</v>
      </c>
    </row>
    <row r="43" spans="3:53">
      <c r="C43">
        <f>RTD("tos.rtd", , "LAST", ".AAPL160520C175")</f>
        <v>0</v>
      </c>
      <c r="D43" t="str">
        <f>RTD("tos.rtd", , "LX", ".AAPL160520C175")</f>
        <v/>
      </c>
      <c r="E43">
        <f>RTD("tos.rtd", , "NET_CHANGE", ".AAPL160520C175")</f>
        <v>0</v>
      </c>
      <c r="F43">
        <f>RTD("tos.rtd", , "BID", ".AAPL160520C175")</f>
        <v>0</v>
      </c>
      <c r="G43" t="str">
        <f>RTD("tos.rtd", , "BX", ".AAPL160520C175")</f>
        <v>B</v>
      </c>
      <c r="H43">
        <f>RTD("tos.rtd", , "ASK", ".AAPL160520C175")</f>
        <v>0.03</v>
      </c>
      <c r="I43" t="str">
        <f>RTD("tos.rtd", , "AX", ".AAPL160520C175")</f>
        <v>C</v>
      </c>
      <c r="J43" t="str">
        <f>RTD("tos.rtd", , "EXPIRATION_DAY", ".AAPL160520C175")</f>
        <v>2016-05-21</v>
      </c>
      <c r="K43">
        <f>RTD("tos.rtd", , "STRIKE", ".AAPL160520C175")</f>
        <v>175</v>
      </c>
      <c r="L43">
        <f>RTD("tos.rtd", , "BID", ".AAPL160520P175")</f>
        <v>63.1</v>
      </c>
      <c r="M43" t="str">
        <f>RTD("tos.rtd", , "BX", ".AAPL160520P175")</f>
        <v>W</v>
      </c>
      <c r="N43">
        <f>RTD("tos.rtd", , "ASK", ".AAPL160520P175")</f>
        <v>63.5</v>
      </c>
      <c r="O43" t="str">
        <f>RTD("tos.rtd", , "AX", ".AAPL160520P175")</f>
        <v>C</v>
      </c>
      <c r="P43">
        <f>RTD("tos.rtd", , "LAST", ".AAPL160520P175")</f>
        <v>0</v>
      </c>
      <c r="Q43" t="str">
        <f>RTD("tos.rtd", , "LX", ".AAPL160520P175")</f>
        <v/>
      </c>
      <c r="R43">
        <f>RTD("tos.rtd", , "NET_CHANGE", ".AAPL160520P175")</f>
        <v>0</v>
      </c>
      <c r="T43">
        <f t="shared" si="0"/>
        <v>112.19</v>
      </c>
      <c r="U43">
        <f t="shared" si="30"/>
        <v>175</v>
      </c>
      <c r="V43" s="1">
        <v>0.27489999999999998</v>
      </c>
      <c r="W43" s="1">
        <v>5.0000000000000001E-3</v>
      </c>
      <c r="X43" s="1">
        <v>0</v>
      </c>
      <c r="Y43" s="2">
        <v>27</v>
      </c>
      <c r="Z43" s="1">
        <f t="shared" si="2"/>
        <v>0.108</v>
      </c>
      <c r="AA43" s="3">
        <f t="shared" si="31"/>
        <v>-0.44459211136664079</v>
      </c>
      <c r="AB43" s="3">
        <f t="shared" si="32"/>
        <v>4.6207805399999993E-3</v>
      </c>
      <c r="AC43" s="3">
        <f t="shared" si="33"/>
        <v>9.03413586349021E-2</v>
      </c>
      <c r="AD43" s="3">
        <f t="shared" si="34"/>
        <v>-4.8700986732411629</v>
      </c>
      <c r="AE43" s="3">
        <f t="shared" si="35"/>
        <v>-4.9604400318760646</v>
      </c>
      <c r="AF43">
        <f t="shared" si="36"/>
        <v>5.5771272000626482E-7</v>
      </c>
      <c r="AG43">
        <f t="shared" si="37"/>
        <v>0.99999944228727999</v>
      </c>
      <c r="AH43">
        <f t="shared" si="38"/>
        <v>3.5166796519270349E-7</v>
      </c>
      <c r="AI43">
        <f t="shared" si="39"/>
        <v>0.99999964833203481</v>
      </c>
      <c r="AJ43">
        <f t="shared" si="40"/>
        <v>0.99946014577375952</v>
      </c>
      <c r="AK43">
        <f t="shared" si="41"/>
        <v>174.90552551040793</v>
      </c>
      <c r="AL43">
        <f t="shared" si="42"/>
        <v>1</v>
      </c>
      <c r="AM43">
        <f t="shared" si="43"/>
        <v>112.19</v>
      </c>
      <c r="AN43">
        <f t="shared" si="44"/>
        <v>1.0611198002972007E-6</v>
      </c>
      <c r="AO43">
        <f t="shared" si="45"/>
        <v>-2.9998938880199701E-2</v>
      </c>
      <c r="AP43">
        <f t="shared" si="46"/>
        <v>5.5771272000626482E-7</v>
      </c>
      <c r="AQ43">
        <f t="shared" si="47"/>
        <v>2.7848461274441659E-7</v>
      </c>
      <c r="AR43">
        <f t="shared" si="48"/>
        <v>-5.288865958354755E-7</v>
      </c>
      <c r="AS43">
        <f t="shared" si="49"/>
        <v>1.0406579234608352E-6</v>
      </c>
      <c r="AT43">
        <f t="shared" si="50"/>
        <v>6.6429363877782082E-8</v>
      </c>
      <c r="AU43">
        <f t="shared" si="51"/>
        <v>62.715526571527732</v>
      </c>
      <c r="AV43">
        <f t="shared" si="52"/>
        <v>-0.78447342847226764</v>
      </c>
      <c r="AW43">
        <f t="shared" si="53"/>
        <v>-0.99999944228727999</v>
      </c>
      <c r="AX43">
        <f t="shared" si="54"/>
        <v>2.7848461274441659E-7</v>
      </c>
      <c r="AY43">
        <f t="shared" si="55"/>
        <v>3.4836449283525295E-3</v>
      </c>
      <c r="AZ43">
        <f t="shared" si="56"/>
        <v>1.0406579234608352E-6</v>
      </c>
      <c r="BA43">
        <f t="shared" si="57"/>
        <v>-0.18889790112187665</v>
      </c>
    </row>
    <row r="44" spans="3:53">
      <c r="C44">
        <f>RTD("tos.rtd", , "LAST", ".AAPL160520C180")</f>
        <v>0</v>
      </c>
      <c r="D44" t="str">
        <f>RTD("tos.rtd", , "LX", ".AAPL160520C180")</f>
        <v/>
      </c>
      <c r="E44">
        <f>RTD("tos.rtd", , "NET_CHANGE", ".AAPL160520C180")</f>
        <v>0</v>
      </c>
      <c r="F44">
        <f>RTD("tos.rtd", , "BID", ".AAPL160520C180")</f>
        <v>0</v>
      </c>
      <c r="G44" t="str">
        <f>RTD("tos.rtd", , "BX", ".AAPL160520C180")</f>
        <v>B</v>
      </c>
      <c r="H44">
        <f>RTD("tos.rtd", , "ASK", ".AAPL160520C180")</f>
        <v>0.03</v>
      </c>
      <c r="I44" t="str">
        <f>RTD("tos.rtd", , "AX", ".AAPL160520C180")</f>
        <v>C</v>
      </c>
      <c r="J44" t="str">
        <f>RTD("tos.rtd", , "EXPIRATION_DAY", ".AAPL160520C180")</f>
        <v>2016-05-21</v>
      </c>
      <c r="K44">
        <f>RTD("tos.rtd", , "STRIKE", ".AAPL160520C180")</f>
        <v>180</v>
      </c>
      <c r="L44">
        <f>RTD("tos.rtd", , "BID", ".AAPL160520P180")</f>
        <v>68.099999999999994</v>
      </c>
      <c r="M44" t="str">
        <f>RTD("tos.rtd", , "BX", ".AAPL160520P180")</f>
        <v>W</v>
      </c>
      <c r="N44">
        <f>RTD("tos.rtd", , "ASK", ".AAPL160520P180")</f>
        <v>68.5</v>
      </c>
      <c r="O44" t="str">
        <f>RTD("tos.rtd", , "AX", ".AAPL160520P180")</f>
        <v>C</v>
      </c>
      <c r="P44">
        <f>RTD("tos.rtd", , "LAST", ".AAPL160520P180")</f>
        <v>0</v>
      </c>
      <c r="Q44" t="str">
        <f>RTD("tos.rtd", , "LX", ".AAPL160520P180")</f>
        <v/>
      </c>
      <c r="R44">
        <f>RTD("tos.rtd", , "NET_CHANGE", ".AAPL160520P180")</f>
        <v>0</v>
      </c>
      <c r="T44">
        <f t="shared" si="0"/>
        <v>112.19</v>
      </c>
      <c r="U44">
        <f t="shared" si="30"/>
        <v>180</v>
      </c>
      <c r="V44" s="1">
        <v>0.27489999999999998</v>
      </c>
      <c r="W44" s="1">
        <v>5.0000000000000001E-3</v>
      </c>
      <c r="X44" s="1">
        <v>0</v>
      </c>
      <c r="Y44" s="2">
        <v>27</v>
      </c>
      <c r="Z44" s="1">
        <f t="shared" si="2"/>
        <v>0.108</v>
      </c>
      <c r="AA44" s="3">
        <f t="shared" si="31"/>
        <v>-0.47276298833333702</v>
      </c>
      <c r="AB44" s="3">
        <f t="shared" si="32"/>
        <v>4.6207805399999993E-3</v>
      </c>
      <c r="AC44" s="3">
        <f t="shared" si="33"/>
        <v>9.03413586349021E-2</v>
      </c>
      <c r="AD44" s="3">
        <f t="shared" si="34"/>
        <v>-5.1819256967923986</v>
      </c>
      <c r="AE44" s="3">
        <f t="shared" si="35"/>
        <v>-5.2722670554273003</v>
      </c>
      <c r="AF44">
        <f t="shared" si="36"/>
        <v>1.0980335178042311E-7</v>
      </c>
      <c r="AG44">
        <f t="shared" si="37"/>
        <v>0.99999989019664826</v>
      </c>
      <c r="AH44">
        <f t="shared" si="38"/>
        <v>6.737440515327292E-8</v>
      </c>
      <c r="AI44">
        <f t="shared" si="39"/>
        <v>0.99999993262559483</v>
      </c>
      <c r="AJ44">
        <f t="shared" si="40"/>
        <v>0.99946014577375952</v>
      </c>
      <c r="AK44">
        <f t="shared" si="41"/>
        <v>179.90282623927672</v>
      </c>
      <c r="AL44">
        <f t="shared" si="42"/>
        <v>1</v>
      </c>
      <c r="AM44">
        <f t="shared" si="43"/>
        <v>112.19</v>
      </c>
      <c r="AN44">
        <f t="shared" si="44"/>
        <v>1.9799213298178095E-7</v>
      </c>
      <c r="AO44">
        <f t="shared" si="45"/>
        <v>-2.9999802007867019E-2</v>
      </c>
      <c r="AP44">
        <f t="shared" si="46"/>
        <v>1.0980335178042311E-7</v>
      </c>
      <c r="AQ44">
        <f t="shared" si="47"/>
        <v>5.8097137107525798E-8</v>
      </c>
      <c r="AR44">
        <f t="shared" si="48"/>
        <v>-1.1032154479186041E-7</v>
      </c>
      <c r="AS44">
        <f t="shared" si="49"/>
        <v>2.1710084972208001E-7</v>
      </c>
      <c r="AT44">
        <f t="shared" si="50"/>
        <v>1.3090513575525001E-8</v>
      </c>
      <c r="AU44">
        <f t="shared" si="51"/>
        <v>67.712826437268859</v>
      </c>
      <c r="AV44">
        <f t="shared" si="52"/>
        <v>-0.78717356273114092</v>
      </c>
      <c r="AW44">
        <f t="shared" si="53"/>
        <v>-0.99999989019664826</v>
      </c>
      <c r="AX44">
        <f t="shared" si="54"/>
        <v>5.8097137107525798E-8</v>
      </c>
      <c r="AY44">
        <f t="shared" si="55"/>
        <v>3.5836113166878118E-3</v>
      </c>
      <c r="AZ44">
        <f t="shared" si="56"/>
        <v>2.1710084972208001E-7</v>
      </c>
      <c r="BA44">
        <f t="shared" si="57"/>
        <v>-0.19429503924790531</v>
      </c>
    </row>
    <row r="45" spans="3:53">
      <c r="C45">
        <f>RTD("tos.rtd", , "LAST", ".AAPL160520C185")</f>
        <v>0</v>
      </c>
      <c r="D45" t="str">
        <f>RTD("tos.rtd", , "LX", ".AAPL160520C185")</f>
        <v/>
      </c>
      <c r="E45">
        <f>RTD("tos.rtd", , "NET_CHANGE", ".AAPL160520C185")</f>
        <v>0</v>
      </c>
      <c r="F45">
        <f>RTD("tos.rtd", , "BID", ".AAPL160520C185")</f>
        <v>0</v>
      </c>
      <c r="G45" t="str">
        <f>RTD("tos.rtd", , "BX", ".AAPL160520C185")</f>
        <v>B</v>
      </c>
      <c r="H45">
        <f>RTD("tos.rtd", , "ASK", ".AAPL160520C185")</f>
        <v>0.03</v>
      </c>
      <c r="I45" t="str">
        <f>RTD("tos.rtd", , "AX", ".AAPL160520C185")</f>
        <v>C</v>
      </c>
      <c r="J45" t="str">
        <f>RTD("tos.rtd", , "EXPIRATION_DAY", ".AAPL160520C185")</f>
        <v>2016-05-21</v>
      </c>
      <c r="K45">
        <f>RTD("tos.rtd", , "STRIKE", ".AAPL160520C185")</f>
        <v>185</v>
      </c>
      <c r="L45">
        <f>RTD("tos.rtd", , "BID", ".AAPL160520P185")</f>
        <v>73.099999999999994</v>
      </c>
      <c r="M45" t="str">
        <f>RTD("tos.rtd", , "BX", ".AAPL160520P185")</f>
        <v>W</v>
      </c>
      <c r="N45">
        <f>RTD("tos.rtd", , "ASK", ".AAPL160520P185")</f>
        <v>73.5</v>
      </c>
      <c r="O45" t="str">
        <f>RTD("tos.rtd", , "AX", ".AAPL160520P185")</f>
        <v>C</v>
      </c>
      <c r="P45">
        <f>RTD("tos.rtd", , "LAST", ".AAPL160520P185")</f>
        <v>0</v>
      </c>
      <c r="Q45" t="str">
        <f>RTD("tos.rtd", , "LX", ".AAPL160520P185")</f>
        <v/>
      </c>
      <c r="R45">
        <f>RTD("tos.rtd", , "NET_CHANGE", ".AAPL160520P185")</f>
        <v>0</v>
      </c>
      <c r="T45">
        <f t="shared" si="0"/>
        <v>112.19</v>
      </c>
      <c r="U45">
        <f t="shared" si="30"/>
        <v>185</v>
      </c>
      <c r="V45" s="1">
        <v>0.27489999999999998</v>
      </c>
      <c r="W45" s="1">
        <v>5.0000000000000001E-3</v>
      </c>
      <c r="X45" s="1">
        <v>0</v>
      </c>
      <c r="Y45" s="2">
        <v>27</v>
      </c>
      <c r="Z45" s="1">
        <f t="shared" si="2"/>
        <v>0.108</v>
      </c>
      <c r="AA45" s="3">
        <f t="shared" si="31"/>
        <v>-0.50016196252145162</v>
      </c>
      <c r="AB45" s="3">
        <f t="shared" si="32"/>
        <v>4.6207805399999993E-3</v>
      </c>
      <c r="AC45" s="3">
        <f t="shared" si="33"/>
        <v>9.03413586349021E-2</v>
      </c>
      <c r="AD45" s="3">
        <f t="shared" si="34"/>
        <v>-5.4852084302173241</v>
      </c>
      <c r="AE45" s="3">
        <f t="shared" si="35"/>
        <v>-5.5755497888522259</v>
      </c>
      <c r="AF45">
        <f t="shared" si="36"/>
        <v>2.0649109667019418E-8</v>
      </c>
      <c r="AG45">
        <f t="shared" si="37"/>
        <v>0.99999997935089036</v>
      </c>
      <c r="AH45">
        <f t="shared" si="38"/>
        <v>1.2337465980108174E-8</v>
      </c>
      <c r="AI45">
        <f t="shared" si="39"/>
        <v>0.99999998766253406</v>
      </c>
      <c r="AJ45">
        <f t="shared" si="40"/>
        <v>0.99946014577375952</v>
      </c>
      <c r="AK45">
        <f t="shared" si="41"/>
        <v>184.90012696814551</v>
      </c>
      <c r="AL45">
        <f t="shared" si="42"/>
        <v>1</v>
      </c>
      <c r="AM45">
        <f t="shared" si="43"/>
        <v>112.19</v>
      </c>
      <c r="AN45">
        <f t="shared" si="44"/>
        <v>3.542458735573102E-8</v>
      </c>
      <c r="AO45">
        <f t="shared" si="45"/>
        <v>-2.9999964575412642E-2</v>
      </c>
      <c r="AP45">
        <f t="shared" si="46"/>
        <v>2.0649109667019418E-8</v>
      </c>
      <c r="AQ45">
        <f t="shared" si="47"/>
        <v>1.1525218983747017E-8</v>
      </c>
      <c r="AR45">
        <f t="shared" si="48"/>
        <v>-2.188295862914035E-8</v>
      </c>
      <c r="AS45">
        <f t="shared" si="49"/>
        <v>4.3068126230963676E-8</v>
      </c>
      <c r="AT45">
        <f t="shared" si="50"/>
        <v>2.4636949482821511E-9</v>
      </c>
      <c r="AU45">
        <f t="shared" si="51"/>
        <v>72.710127003570108</v>
      </c>
      <c r="AV45">
        <f t="shared" si="52"/>
        <v>-0.78987299642989228</v>
      </c>
      <c r="AW45">
        <f t="shared" si="53"/>
        <v>-0.99999997935089036</v>
      </c>
      <c r="AX45">
        <f t="shared" si="54"/>
        <v>1.1525218983747017E-8</v>
      </c>
      <c r="AY45">
        <f t="shared" si="55"/>
        <v>3.6832475785582145E-3</v>
      </c>
      <c r="AZ45">
        <f t="shared" si="56"/>
        <v>4.3068126230963676E-8</v>
      </c>
      <c r="BA45">
        <f t="shared" si="57"/>
        <v>-0.19969213466190219</v>
      </c>
    </row>
    <row r="46" spans="3:53">
      <c r="C46">
        <f>RTD("tos.rtd", , "LAST", ".AAPL160520C190")</f>
        <v>0</v>
      </c>
      <c r="D46" t="str">
        <f>RTD("tos.rtd", , "LX", ".AAPL160520C190")</f>
        <v/>
      </c>
      <c r="E46">
        <f>RTD("tos.rtd", , "NET_CHANGE", ".AAPL160520C190")</f>
        <v>0</v>
      </c>
      <c r="F46">
        <f>RTD("tos.rtd", , "BID", ".AAPL160520C190")</f>
        <v>0</v>
      </c>
      <c r="G46" t="str">
        <f>RTD("tos.rtd", , "BX", ".AAPL160520C190")</f>
        <v>B</v>
      </c>
      <c r="H46">
        <f>RTD("tos.rtd", , "ASK", ".AAPL160520C190")</f>
        <v>0.03</v>
      </c>
      <c r="I46" t="str">
        <f>RTD("tos.rtd", , "AX", ".AAPL160520C190")</f>
        <v>C</v>
      </c>
      <c r="J46" t="str">
        <f>RTD("tos.rtd", , "EXPIRATION_DAY", ".AAPL160520C190")</f>
        <v>2016-05-21</v>
      </c>
      <c r="K46">
        <f>RTD("tos.rtd", , "STRIKE", ".AAPL160520C190")</f>
        <v>190</v>
      </c>
      <c r="L46">
        <f>RTD("tos.rtd", , "BID", ".AAPL160520P190")</f>
        <v>78.099999999999994</v>
      </c>
      <c r="M46" t="str">
        <f>RTD("tos.rtd", , "BX", ".AAPL160520P190")</f>
        <v>W</v>
      </c>
      <c r="N46">
        <f>RTD("tos.rtd", , "ASK", ".AAPL160520P190")</f>
        <v>78.5</v>
      </c>
      <c r="O46" t="str">
        <f>RTD("tos.rtd", , "AX", ".AAPL160520P190")</f>
        <v>C</v>
      </c>
      <c r="P46">
        <f>RTD("tos.rtd", , "LAST", ".AAPL160520P190")</f>
        <v>0</v>
      </c>
      <c r="Q46" t="str">
        <f>RTD("tos.rtd", , "LX", ".AAPL160520P190")</f>
        <v/>
      </c>
      <c r="R46">
        <f>RTD("tos.rtd", , "NET_CHANGE", ".AAPL160520P190")</f>
        <v>0</v>
      </c>
      <c r="T46">
        <f t="shared" si="0"/>
        <v>112.19</v>
      </c>
      <c r="U46">
        <f t="shared" si="30"/>
        <v>190</v>
      </c>
      <c r="V46" s="1">
        <v>0.27489999999999998</v>
      </c>
      <c r="W46" s="1">
        <v>5.0000000000000001E-3</v>
      </c>
      <c r="X46" s="1">
        <v>0</v>
      </c>
      <c r="Y46" s="2">
        <v>27</v>
      </c>
      <c r="Z46" s="1">
        <f t="shared" si="2"/>
        <v>0.108</v>
      </c>
      <c r="AA46" s="3">
        <f t="shared" si="31"/>
        <v>-0.52683020960361293</v>
      </c>
      <c r="AB46" s="3">
        <f t="shared" si="32"/>
        <v>4.6207805399999993E-3</v>
      </c>
      <c r="AC46" s="3">
        <f t="shared" si="33"/>
        <v>9.03413586349021E-2</v>
      </c>
      <c r="AD46" s="3">
        <f t="shared" si="34"/>
        <v>-5.7804026522782967</v>
      </c>
      <c r="AE46" s="3">
        <f t="shared" si="35"/>
        <v>-5.8707440109131985</v>
      </c>
      <c r="AF46">
        <f t="shared" si="36"/>
        <v>3.726102471074342E-9</v>
      </c>
      <c r="AG46">
        <f t="shared" si="37"/>
        <v>0.99999999627389757</v>
      </c>
      <c r="AH46">
        <f t="shared" si="38"/>
        <v>2.1692186007146585E-9</v>
      </c>
      <c r="AI46">
        <f t="shared" si="39"/>
        <v>0.99999999783078142</v>
      </c>
      <c r="AJ46">
        <f t="shared" si="40"/>
        <v>0.99946014577375952</v>
      </c>
      <c r="AK46">
        <f t="shared" si="41"/>
        <v>189.89742769701431</v>
      </c>
      <c r="AL46">
        <f t="shared" si="42"/>
        <v>1</v>
      </c>
      <c r="AM46">
        <f t="shared" si="43"/>
        <v>112.19</v>
      </c>
      <c r="AN46">
        <f t="shared" si="44"/>
        <v>6.1024038416000416E-9</v>
      </c>
      <c r="AO46">
        <f t="shared" si="45"/>
        <v>-2.9999993897596156E-2</v>
      </c>
      <c r="AP46">
        <f t="shared" si="46"/>
        <v>3.726102471074342E-9</v>
      </c>
      <c r="AQ46">
        <f t="shared" si="47"/>
        <v>2.1853280174690529E-9</v>
      </c>
      <c r="AR46">
        <f t="shared" si="48"/>
        <v>-4.1488764491088212E-9</v>
      </c>
      <c r="AS46">
        <f t="shared" si="49"/>
        <v>8.1662641764243202E-9</v>
      </c>
      <c r="AT46">
        <f t="shared" si="50"/>
        <v>4.4488335497928887E-10</v>
      </c>
      <c r="AU46">
        <f t="shared" si="51"/>
        <v>77.707427703116721</v>
      </c>
      <c r="AV46">
        <f t="shared" si="52"/>
        <v>-0.79257229688327868</v>
      </c>
      <c r="AW46">
        <f t="shared" si="53"/>
        <v>-0.99999999627389757</v>
      </c>
      <c r="AX46">
        <f t="shared" si="54"/>
        <v>2.1853280174690529E-9</v>
      </c>
      <c r="AY46">
        <f t="shared" si="55"/>
        <v>3.782813135924633E-3</v>
      </c>
      <c r="AZ46">
        <f t="shared" si="56"/>
        <v>8.1662641764243202E-9</v>
      </c>
      <c r="BA46">
        <f t="shared" si="57"/>
        <v>-0.2050892214678921</v>
      </c>
    </row>
    <row r="47" spans="3:53">
      <c r="C47">
        <f>RTD("tos.rtd", , "LAST", ".AAPL160520C195")</f>
        <v>0</v>
      </c>
      <c r="D47" t="str">
        <f>RTD("tos.rtd", , "LX", ".AAPL160520C195")</f>
        <v/>
      </c>
      <c r="E47">
        <f>RTD("tos.rtd", , "NET_CHANGE", ".AAPL160520C195")</f>
        <v>0</v>
      </c>
      <c r="F47">
        <f>RTD("tos.rtd", , "BID", ".AAPL160520C195")</f>
        <v>0</v>
      </c>
      <c r="G47" t="str">
        <f>RTD("tos.rtd", , "BX", ".AAPL160520C195")</f>
        <v>B</v>
      </c>
      <c r="H47">
        <f>RTD("tos.rtd", , "ASK", ".AAPL160520C195")</f>
        <v>0.03</v>
      </c>
      <c r="I47" t="str">
        <f>RTD("tos.rtd", , "AX", ".AAPL160520C195")</f>
        <v>C</v>
      </c>
      <c r="J47" t="str">
        <f>RTD("tos.rtd", , "EXPIRATION_DAY", ".AAPL160520C195")</f>
        <v>2016-05-21</v>
      </c>
      <c r="K47">
        <f>RTD("tos.rtd", , "STRIKE", ".AAPL160520C195")</f>
        <v>195</v>
      </c>
      <c r="L47">
        <f>RTD("tos.rtd", , "BID", ".AAPL160520P195")</f>
        <v>83.1</v>
      </c>
      <c r="M47" t="str">
        <f>RTD("tos.rtd", , "BX", ".AAPL160520P195")</f>
        <v>W</v>
      </c>
      <c r="N47">
        <f>RTD("tos.rtd", , "ASK", ".AAPL160520P195")</f>
        <v>83.5</v>
      </c>
      <c r="O47" t="str">
        <f>RTD("tos.rtd", , "AX", ".AAPL160520P195")</f>
        <v>C</v>
      </c>
      <c r="P47">
        <f>RTD("tos.rtd", , "LAST", ".AAPL160520P195")</f>
        <v>0</v>
      </c>
      <c r="Q47" t="str">
        <f>RTD("tos.rtd", , "LX", ".AAPL160520P195")</f>
        <v/>
      </c>
      <c r="R47">
        <f>RTD("tos.rtd", , "NET_CHANGE", ".AAPL160520P195")</f>
        <v>0</v>
      </c>
      <c r="T47">
        <f t="shared" si="0"/>
        <v>112.19</v>
      </c>
      <c r="U47">
        <f t="shared" si="30"/>
        <v>195</v>
      </c>
      <c r="V47" s="1">
        <v>0.27489999999999998</v>
      </c>
      <c r="W47" s="1">
        <v>5.0000000000000001E-3</v>
      </c>
      <c r="X47" s="1">
        <v>0</v>
      </c>
      <c r="Y47" s="2">
        <v>27</v>
      </c>
      <c r="Z47" s="1">
        <f t="shared" si="2"/>
        <v>0.108</v>
      </c>
      <c r="AA47" s="3">
        <f t="shared" si="31"/>
        <v>-0.55280569600687346</v>
      </c>
      <c r="AB47" s="3">
        <f t="shared" si="32"/>
        <v>4.6207805399999993E-3</v>
      </c>
      <c r="AC47" s="3">
        <f t="shared" si="33"/>
        <v>9.03413586349021E-2</v>
      </c>
      <c r="AD47" s="3">
        <f t="shared" si="34"/>
        <v>-6.0679286181898311</v>
      </c>
      <c r="AE47" s="3">
        <f t="shared" si="35"/>
        <v>-6.1582699768247329</v>
      </c>
      <c r="AF47">
        <f t="shared" si="36"/>
        <v>6.4785233107292711E-10</v>
      </c>
      <c r="AG47">
        <f t="shared" si="37"/>
        <v>0.99999999935214767</v>
      </c>
      <c r="AH47">
        <f t="shared" si="38"/>
        <v>3.6771952666209531E-10</v>
      </c>
      <c r="AI47">
        <f t="shared" si="39"/>
        <v>0.99999999963228048</v>
      </c>
      <c r="AJ47">
        <f t="shared" si="40"/>
        <v>0.99946014577375952</v>
      </c>
      <c r="AK47">
        <f t="shared" si="41"/>
        <v>194.8947284258831</v>
      </c>
      <c r="AL47">
        <f t="shared" si="42"/>
        <v>1</v>
      </c>
      <c r="AM47">
        <f t="shared" si="43"/>
        <v>112.19</v>
      </c>
      <c r="AN47">
        <f t="shared" si="44"/>
        <v>1.0159557373683422E-9</v>
      </c>
      <c r="AO47">
        <f t="shared" si="45"/>
        <v>-2.9999998984044263E-2</v>
      </c>
      <c r="AP47">
        <f t="shared" si="46"/>
        <v>6.4785233107292711E-10</v>
      </c>
      <c r="AQ47">
        <f t="shared" si="47"/>
        <v>3.9788768707571367E-10</v>
      </c>
      <c r="AR47">
        <f t="shared" si="48"/>
        <v>-7.5532903635494517E-10</v>
      </c>
      <c r="AS47">
        <f t="shared" si="49"/>
        <v>1.4868504587104822E-9</v>
      </c>
      <c r="AT47">
        <f t="shared" si="50"/>
        <v>7.7399925068559612E-11</v>
      </c>
      <c r="AU47">
        <f t="shared" si="51"/>
        <v>82.704728426899067</v>
      </c>
      <c r="AV47">
        <f t="shared" si="52"/>
        <v>-0.79527157310093344</v>
      </c>
      <c r="AW47">
        <f t="shared" si="53"/>
        <v>-0.99999999935214767</v>
      </c>
      <c r="AX47">
        <f t="shared" si="54"/>
        <v>3.9788768707571367E-10</v>
      </c>
      <c r="AY47">
        <f t="shared" si="55"/>
        <v>3.8823643527562844E-3</v>
      </c>
      <c r="AZ47">
        <f t="shared" si="56"/>
        <v>1.4868504587104822E-9</v>
      </c>
      <c r="BA47">
        <f t="shared" si="57"/>
        <v>-0.21048630662255385</v>
      </c>
    </row>
    <row r="48" spans="3:53">
      <c r="C48">
        <f>RTD("tos.rtd", , "LAST", ".AAPL160520C200")</f>
        <v>0</v>
      </c>
      <c r="D48" t="str">
        <f>RTD("tos.rtd", , "LX", ".AAPL160520C200")</f>
        <v/>
      </c>
      <c r="E48">
        <f>RTD("tos.rtd", , "NET_CHANGE", ".AAPL160520C200")</f>
        <v>0</v>
      </c>
      <c r="F48">
        <f>RTD("tos.rtd", , "BID", ".AAPL160520C200")</f>
        <v>0</v>
      </c>
      <c r="G48" t="str">
        <f>RTD("tos.rtd", , "BX", ".AAPL160520C200")</f>
        <v>B</v>
      </c>
      <c r="H48">
        <f>RTD("tos.rtd", , "ASK", ".AAPL160520C200")</f>
        <v>0.03</v>
      </c>
      <c r="I48" t="str">
        <f>RTD("tos.rtd", , "AX", ".AAPL160520C200")</f>
        <v>C</v>
      </c>
      <c r="J48" t="str">
        <f>RTD("tos.rtd", , "EXPIRATION_DAY", ".AAPL160520C200")</f>
        <v>2016-05-21</v>
      </c>
      <c r="K48">
        <f>RTD("tos.rtd", , "STRIKE", ".AAPL160520C200")</f>
        <v>200</v>
      </c>
      <c r="L48">
        <f>RTD("tos.rtd", , "BID", ".AAPL160520P200")</f>
        <v>88.05</v>
      </c>
      <c r="M48" t="str">
        <f>RTD("tos.rtd", , "BX", ".AAPL160520P200")</f>
        <v>W</v>
      </c>
      <c r="N48">
        <f>RTD("tos.rtd", , "ASK", ".AAPL160520P200")</f>
        <v>88.5</v>
      </c>
      <c r="O48" t="str">
        <f>RTD("tos.rtd", , "AX", ".AAPL160520P200")</f>
        <v>C</v>
      </c>
      <c r="P48">
        <f>RTD("tos.rtd", , "LAST", ".AAPL160520P200")</f>
        <v>90.85</v>
      </c>
      <c r="Q48" t="str">
        <f>RTD("tos.rtd", , "LX", ".AAPL160520P200")</f>
        <v>N</v>
      </c>
      <c r="R48">
        <f>RTD("tos.rtd", , "NET_CHANGE", ".AAPL160520P200")</f>
        <v>0</v>
      </c>
      <c r="T48">
        <f t="shared" si="0"/>
        <v>112.19</v>
      </c>
      <c r="U48">
        <f t="shared" si="30"/>
        <v>200</v>
      </c>
      <c r="V48" s="1">
        <v>0.27489999999999998</v>
      </c>
      <c r="W48" s="1">
        <v>5.0000000000000001E-3</v>
      </c>
      <c r="X48" s="1">
        <v>0</v>
      </c>
      <c r="Y48" s="2">
        <v>27</v>
      </c>
      <c r="Z48" s="1">
        <f t="shared" si="2"/>
        <v>0.108</v>
      </c>
      <c r="AA48" s="3">
        <f t="shared" si="31"/>
        <v>-0.57812350399116341</v>
      </c>
      <c r="AB48" s="3">
        <f t="shared" si="32"/>
        <v>4.6207805399999993E-3</v>
      </c>
      <c r="AC48" s="3">
        <f t="shared" si="33"/>
        <v>9.03413586349021E-2</v>
      </c>
      <c r="AD48" s="3">
        <f t="shared" si="34"/>
        <v>-6.3481746579533809</v>
      </c>
      <c r="AE48" s="3">
        <f t="shared" si="35"/>
        <v>-6.4385160165882827</v>
      </c>
      <c r="AF48">
        <f t="shared" si="36"/>
        <v>1.0894231798582244E-10</v>
      </c>
      <c r="AG48">
        <f t="shared" si="37"/>
        <v>0.9999999998910577</v>
      </c>
      <c r="AH48">
        <f t="shared" si="38"/>
        <v>6.0323615806822564E-11</v>
      </c>
      <c r="AI48">
        <f t="shared" si="39"/>
        <v>0.99999999993967637</v>
      </c>
      <c r="AJ48">
        <f t="shared" si="40"/>
        <v>0.99946014577375952</v>
      </c>
      <c r="AK48">
        <f t="shared" si="41"/>
        <v>199.8920291547519</v>
      </c>
      <c r="AL48">
        <f t="shared" si="42"/>
        <v>1</v>
      </c>
      <c r="AM48">
        <f t="shared" si="43"/>
        <v>112.19</v>
      </c>
      <c r="AN48">
        <f t="shared" si="44"/>
        <v>1.6402868525198996E-10</v>
      </c>
      <c r="AO48">
        <f t="shared" si="45"/>
        <v>-2.9999999835971312E-2</v>
      </c>
      <c r="AP48">
        <f t="shared" si="46"/>
        <v>1.0894231798582244E-10</v>
      </c>
      <c r="AQ48">
        <f t="shared" si="47"/>
        <v>6.9852640398285754E-11</v>
      </c>
      <c r="AR48">
        <f t="shared" si="48"/>
        <v>-1.3259414682517657E-10</v>
      </c>
      <c r="AS48">
        <f t="shared" si="49"/>
        <v>2.6102951609700356E-10</v>
      </c>
      <c r="AT48">
        <f t="shared" si="50"/>
        <v>1.3022866767143625E-11</v>
      </c>
      <c r="AU48">
        <f t="shared" si="51"/>
        <v>87.702029154915905</v>
      </c>
      <c r="AV48">
        <f t="shared" si="52"/>
        <v>-0.79797084508409455</v>
      </c>
      <c r="AW48">
        <f t="shared" si="53"/>
        <v>-0.9999999998910577</v>
      </c>
      <c r="AX48">
        <f t="shared" si="54"/>
        <v>6.9852640398285754E-11</v>
      </c>
      <c r="AY48">
        <f t="shared" si="55"/>
        <v>3.9819127987754128E-3</v>
      </c>
      <c r="AZ48">
        <f t="shared" si="56"/>
        <v>2.6102951609700356E-10</v>
      </c>
      <c r="BA48">
        <f t="shared" si="57"/>
        <v>-0.2158833914741092</v>
      </c>
    </row>
    <row r="49" spans="1:53">
      <c r="C49">
        <f>RTD("tos.rtd", , "LAST", ".AAPL160520C210")</f>
        <v>0</v>
      </c>
      <c r="D49" t="str">
        <f>RTD("tos.rtd", , "LX", ".AAPL160520C210")</f>
        <v/>
      </c>
      <c r="E49">
        <f>RTD("tos.rtd", , "NET_CHANGE", ".AAPL160520C210")</f>
        <v>0</v>
      </c>
      <c r="F49">
        <f>RTD("tos.rtd", , "BID", ".AAPL160520C210")</f>
        <v>0</v>
      </c>
      <c r="G49" t="str">
        <f>RTD("tos.rtd", , "BX", ".AAPL160520C210")</f>
        <v>B</v>
      </c>
      <c r="H49">
        <f>RTD("tos.rtd", , "ASK", ".AAPL160520C210")</f>
        <v>0.03</v>
      </c>
      <c r="I49" t="str">
        <f>RTD("tos.rtd", , "AX", ".AAPL160520C210")</f>
        <v>C</v>
      </c>
      <c r="J49" t="str">
        <f>RTD("tos.rtd", , "EXPIRATION_DAY", ".AAPL160520C210")</f>
        <v>2016-05-21</v>
      </c>
      <c r="K49">
        <f>RTD("tos.rtd", , "STRIKE", ".AAPL160520C210")</f>
        <v>210</v>
      </c>
      <c r="L49">
        <f>RTD("tos.rtd", , "BID", ".AAPL160520P210")</f>
        <v>98.05</v>
      </c>
      <c r="M49" t="str">
        <f>RTD("tos.rtd", , "BX", ".AAPL160520P210")</f>
        <v>W</v>
      </c>
      <c r="N49">
        <f>RTD("tos.rtd", , "ASK", ".AAPL160520P210")</f>
        <v>98.5</v>
      </c>
      <c r="O49" t="str">
        <f>RTD("tos.rtd", , "AX", ".AAPL160520P210")</f>
        <v>C</v>
      </c>
      <c r="P49">
        <f>RTD("tos.rtd", , "LAST", ".AAPL160520P210")</f>
        <v>100.5</v>
      </c>
      <c r="Q49" t="str">
        <f>RTD("tos.rtd", , "LX", ".AAPL160520P210")</f>
        <v>Z</v>
      </c>
      <c r="R49">
        <f>RTD("tos.rtd", , "NET_CHANGE", ".AAPL160520P210")</f>
        <v>0</v>
      </c>
      <c r="T49">
        <f t="shared" si="0"/>
        <v>112.19</v>
      </c>
      <c r="U49">
        <f t="shared" si="30"/>
        <v>210</v>
      </c>
      <c r="V49" s="1">
        <v>0.27489999999999998</v>
      </c>
      <c r="W49" s="1">
        <v>5.0000000000000001E-3</v>
      </c>
      <c r="X49" s="1">
        <v>0</v>
      </c>
      <c r="Y49" s="2">
        <v>27</v>
      </c>
      <c r="Z49" s="1">
        <f t="shared" si="2"/>
        <v>0.108</v>
      </c>
      <c r="AA49" s="3">
        <f t="shared" si="31"/>
        <v>-0.62691366816059546</v>
      </c>
      <c r="AB49" s="3">
        <f t="shared" si="32"/>
        <v>4.6207805399999993E-3</v>
      </c>
      <c r="AC49" s="3">
        <f t="shared" si="33"/>
        <v>9.03413586349021E-2</v>
      </c>
      <c r="AD49" s="3">
        <f t="shared" si="34"/>
        <v>-6.8882391965730454</v>
      </c>
      <c r="AE49" s="3">
        <f t="shared" si="35"/>
        <v>-6.9785805552079472</v>
      </c>
      <c r="AF49">
        <f t="shared" si="36"/>
        <v>2.8243587934304056E-12</v>
      </c>
      <c r="AG49">
        <f t="shared" si="37"/>
        <v>0.99999999999717559</v>
      </c>
      <c r="AH49">
        <f t="shared" si="38"/>
        <v>1.490886160755892E-12</v>
      </c>
      <c r="AI49">
        <f t="shared" si="39"/>
        <v>0.99999999999850908</v>
      </c>
      <c r="AJ49">
        <f t="shared" si="40"/>
        <v>0.99946014577375952</v>
      </c>
      <c r="AK49">
        <f t="shared" si="41"/>
        <v>209.88663061248951</v>
      </c>
      <c r="AL49">
        <f t="shared" si="42"/>
        <v>1</v>
      </c>
      <c r="AM49">
        <f t="shared" si="43"/>
        <v>112.19</v>
      </c>
      <c r="AN49">
        <f t="shared" si="44"/>
        <v>3.9477401271126225E-12</v>
      </c>
      <c r="AO49">
        <f t="shared" si="45"/>
        <v>-2.9999999996052257E-2</v>
      </c>
      <c r="AP49">
        <f t="shared" si="46"/>
        <v>2.8243587934304056E-12</v>
      </c>
      <c r="AQ49">
        <f t="shared" si="47"/>
        <v>1.9584023539363138E-12</v>
      </c>
      <c r="AR49">
        <f t="shared" si="48"/>
        <v>-3.7169345768365686E-12</v>
      </c>
      <c r="AS49">
        <f t="shared" si="49"/>
        <v>7.3182748118963609E-12</v>
      </c>
      <c r="AT49">
        <f t="shared" si="50"/>
        <v>3.3795043874047207E-13</v>
      </c>
      <c r="AU49">
        <f t="shared" si="51"/>
        <v>97.696630612493465</v>
      </c>
      <c r="AV49">
        <f t="shared" si="52"/>
        <v>-0.8033693875065353</v>
      </c>
      <c r="AW49">
        <f t="shared" si="53"/>
        <v>-0.99999999999717559</v>
      </c>
      <c r="AX49">
        <f t="shared" si="54"/>
        <v>1.9584023539363138E-12</v>
      </c>
      <c r="AY49">
        <f t="shared" si="55"/>
        <v>4.1810085742211038E-3</v>
      </c>
      <c r="AZ49">
        <f t="shared" si="56"/>
        <v>7.3182748118963609E-12</v>
      </c>
      <c r="BA49">
        <f t="shared" si="57"/>
        <v>-0.22667756106115067</v>
      </c>
    </row>
    <row r="50" spans="1:53">
      <c r="A50" t="s">
        <v>37</v>
      </c>
    </row>
    <row r="51" spans="1:53">
      <c r="A51" t="s">
        <v>38</v>
      </c>
    </row>
    <row r="52" spans="1:53">
      <c r="A52" t="s">
        <v>77</v>
      </c>
    </row>
    <row r="53" spans="1:53">
      <c r="C53" t="s">
        <v>2</v>
      </c>
      <c r="D53" t="s">
        <v>3</v>
      </c>
      <c r="E53" t="s">
        <v>4</v>
      </c>
      <c r="F53" t="s">
        <v>5</v>
      </c>
      <c r="G53" t="s">
        <v>6</v>
      </c>
      <c r="H53" t="s">
        <v>7</v>
      </c>
      <c r="I53" t="s">
        <v>8</v>
      </c>
      <c r="J53" t="s">
        <v>35</v>
      </c>
      <c r="K53" t="s">
        <v>36</v>
      </c>
      <c r="L53" t="s">
        <v>5</v>
      </c>
      <c r="M53" t="s">
        <v>6</v>
      </c>
      <c r="N53" t="s">
        <v>7</v>
      </c>
      <c r="O53" t="s">
        <v>8</v>
      </c>
      <c r="P53" t="s">
        <v>2</v>
      </c>
      <c r="Q53" t="s">
        <v>3</v>
      </c>
      <c r="R53" t="s">
        <v>4</v>
      </c>
    </row>
    <row r="54" spans="1:53">
      <c r="C54">
        <f>RTD("tos.rtd", , "LAST", ".AAPL160715C50")</f>
        <v>46.64</v>
      </c>
      <c r="D54" t="str">
        <f>RTD("tos.rtd", , "LX", ".AAPL160715C50")</f>
        <v>I</v>
      </c>
      <c r="E54">
        <f>RTD("tos.rtd", , "NET_CHANGE", ".AAPL160715C50")</f>
        <v>0</v>
      </c>
      <c r="F54">
        <f>RTD("tos.rtd", , "BID", ".AAPL160715C50")</f>
        <v>62</v>
      </c>
      <c r="G54" t="str">
        <f>RTD("tos.rtd", , "BX", ".AAPL160715C50")</f>
        <v>C</v>
      </c>
      <c r="H54">
        <f>RTD("tos.rtd", , "ASK", ".AAPL160715C50")</f>
        <v>62.35</v>
      </c>
      <c r="I54" t="str">
        <f>RTD("tos.rtd", , "AX", ".AAPL160715C50")</f>
        <v>M</v>
      </c>
      <c r="J54" t="str">
        <f>RTD("tos.rtd", , "EXPIRATION_DAY", ".AAPL160715C50")</f>
        <v>2016-07-16</v>
      </c>
      <c r="K54">
        <f>RTD("tos.rtd", , "STRIKE", ".AAPL160715C50")</f>
        <v>50</v>
      </c>
      <c r="L54">
        <f>RTD("tos.rtd", , "BID", ".AAPL160715P50")</f>
        <v>0</v>
      </c>
      <c r="M54" t="str">
        <f>RTD("tos.rtd", , "BX", ".AAPL160715P50")</f>
        <v>B</v>
      </c>
      <c r="N54">
        <f>RTD("tos.rtd", , "ASK", ".AAPL160715P50")</f>
        <v>0.04</v>
      </c>
      <c r="O54" t="str">
        <f>RTD("tos.rtd", , "AX", ".AAPL160715P50")</f>
        <v>W</v>
      </c>
      <c r="P54">
        <f>RTD("tos.rtd", , "LAST", ".AAPL160715P50")</f>
        <v>0.03</v>
      </c>
      <c r="Q54" t="str">
        <f>RTD("tos.rtd", , "LX", ".AAPL160715P50")</f>
        <v>C</v>
      </c>
      <c r="R54">
        <f>RTD("tos.rtd", , "NET_CHANGE", ".AAPL160715P50")</f>
        <v>0</v>
      </c>
    </row>
    <row r="55" spans="1:53">
      <c r="C55">
        <f>RTD("tos.rtd", , "LAST", ".AAPL160715C55")</f>
        <v>48</v>
      </c>
      <c r="D55" t="str">
        <f>RTD("tos.rtd", , "LX", ".AAPL160715C55")</f>
        <v>Q</v>
      </c>
      <c r="E55">
        <f>RTD("tos.rtd", , "NET_CHANGE", ".AAPL160715C55")</f>
        <v>0</v>
      </c>
      <c r="F55">
        <f>RTD("tos.rtd", , "BID", ".AAPL160715C55")</f>
        <v>57</v>
      </c>
      <c r="G55" t="str">
        <f>RTD("tos.rtd", , "BX", ".AAPL160715C55")</f>
        <v>M</v>
      </c>
      <c r="H55">
        <f>RTD("tos.rtd", , "ASK", ".AAPL160715C55")</f>
        <v>57.35</v>
      </c>
      <c r="I55" t="str">
        <f>RTD("tos.rtd", , "AX", ".AAPL160715C55")</f>
        <v>M</v>
      </c>
      <c r="J55" t="str">
        <f>RTD("tos.rtd", , "EXPIRATION_DAY", ".AAPL160715C55")</f>
        <v>2016-07-16</v>
      </c>
      <c r="K55">
        <f>RTD("tos.rtd", , "STRIKE", ".AAPL160715C55")</f>
        <v>55</v>
      </c>
      <c r="L55">
        <f>RTD("tos.rtd", , "BID", ".AAPL160715P55")</f>
        <v>0</v>
      </c>
      <c r="M55" t="str">
        <f>RTD("tos.rtd", , "BX", ".AAPL160715P55")</f>
        <v>B</v>
      </c>
      <c r="N55">
        <f>RTD("tos.rtd", , "ASK", ".AAPL160715P55")</f>
        <v>0.05</v>
      </c>
      <c r="O55" t="str">
        <f>RTD("tos.rtd", , "AX", ".AAPL160715P55")</f>
        <v>C</v>
      </c>
      <c r="P55">
        <f>RTD("tos.rtd", , "LAST", ".AAPL160715P55")</f>
        <v>0.06</v>
      </c>
      <c r="Q55" t="str">
        <f>RTD("tos.rtd", , "LX", ".AAPL160715P55")</f>
        <v>Q</v>
      </c>
      <c r="R55">
        <f>RTD("tos.rtd", , "NET_CHANGE", ".AAPL160715P55")</f>
        <v>0</v>
      </c>
    </row>
    <row r="56" spans="1:53">
      <c r="C56">
        <f>RTD("tos.rtd", , "LAST", ".AAPL160715C60")</f>
        <v>49.91</v>
      </c>
      <c r="D56" t="str">
        <f>RTD("tos.rtd", , "LX", ".AAPL160715C60")</f>
        <v>C</v>
      </c>
      <c r="E56">
        <f>RTD("tos.rtd", , "NET_CHANGE", ".AAPL160715C60")</f>
        <v>0</v>
      </c>
      <c r="F56">
        <f>RTD("tos.rtd", , "BID", ".AAPL160715C60")</f>
        <v>52</v>
      </c>
      <c r="G56" t="str">
        <f>RTD("tos.rtd", , "BX", ".AAPL160715C60")</f>
        <v>M</v>
      </c>
      <c r="H56">
        <f>RTD("tos.rtd", , "ASK", ".AAPL160715C60")</f>
        <v>52.35</v>
      </c>
      <c r="I56" t="str">
        <f>RTD("tos.rtd", , "AX", ".AAPL160715C60")</f>
        <v>T</v>
      </c>
      <c r="J56" t="str">
        <f>RTD("tos.rtd", , "EXPIRATION_DAY", ".AAPL160715C60")</f>
        <v>2016-07-16</v>
      </c>
      <c r="K56">
        <f>RTD("tos.rtd", , "STRIKE", ".AAPL160715C60")</f>
        <v>60</v>
      </c>
      <c r="L56">
        <f>RTD("tos.rtd", , "BID", ".AAPL160715P60")</f>
        <v>0.03</v>
      </c>
      <c r="M56" t="str">
        <f>RTD("tos.rtd", , "BX", ".AAPL160715P60")</f>
        <v>H</v>
      </c>
      <c r="N56">
        <f>RTD("tos.rtd", , "ASK", ".AAPL160715P60")</f>
        <v>7.0000000000000007E-2</v>
      </c>
      <c r="O56" t="str">
        <f>RTD("tos.rtd", , "AX", ".AAPL160715P60")</f>
        <v>C</v>
      </c>
      <c r="P56">
        <f>RTD("tos.rtd", , "LAST", ".AAPL160715P60")</f>
        <v>0.09</v>
      </c>
      <c r="Q56" t="str">
        <f>RTD("tos.rtd", , "LX", ".AAPL160715P60")</f>
        <v>Q</v>
      </c>
      <c r="R56">
        <f>RTD("tos.rtd", , "NET_CHANGE", ".AAPL160715P60")</f>
        <v>0</v>
      </c>
    </row>
    <row r="57" spans="1:53">
      <c r="C57">
        <f>RTD("tos.rtd", , "LAST", ".AAPL160715C65")</f>
        <v>40.5</v>
      </c>
      <c r="D57" t="str">
        <f>RTD("tos.rtd", , "LX", ".AAPL160715C65")</f>
        <v>Q</v>
      </c>
      <c r="E57">
        <f>RTD("tos.rtd", , "NET_CHANGE", ".AAPL160715C65")</f>
        <v>0</v>
      </c>
      <c r="F57">
        <f>RTD("tos.rtd", , "BID", ".AAPL160715C65")</f>
        <v>47</v>
      </c>
      <c r="G57" t="str">
        <f>RTD("tos.rtd", , "BX", ".AAPL160715C65")</f>
        <v>C</v>
      </c>
      <c r="H57">
        <f>RTD("tos.rtd", , "ASK", ".AAPL160715C65")</f>
        <v>47.4</v>
      </c>
      <c r="I57" t="str">
        <f>RTD("tos.rtd", , "AX", ".AAPL160715C65")</f>
        <v>C</v>
      </c>
      <c r="J57" t="str">
        <f>RTD("tos.rtd", , "EXPIRATION_DAY", ".AAPL160715C65")</f>
        <v>2016-07-16</v>
      </c>
      <c r="K57">
        <f>RTD("tos.rtd", , "STRIKE", ".AAPL160715C65")</f>
        <v>65</v>
      </c>
      <c r="L57">
        <f>RTD("tos.rtd", , "BID", ".AAPL160715P65")</f>
        <v>0.05</v>
      </c>
      <c r="M57" t="str">
        <f>RTD("tos.rtd", , "BX", ".AAPL160715P65")</f>
        <v>H</v>
      </c>
      <c r="N57">
        <f>RTD("tos.rtd", , "ASK", ".AAPL160715P65")</f>
        <v>0.09</v>
      </c>
      <c r="O57" t="str">
        <f>RTD("tos.rtd", , "AX", ".AAPL160715P65")</f>
        <v>C</v>
      </c>
      <c r="P57">
        <f>RTD("tos.rtd", , "LAST", ".AAPL160715P65")</f>
        <v>7.0000000000000007E-2</v>
      </c>
      <c r="Q57" t="str">
        <f>RTD("tos.rtd", , "LX", ".AAPL160715P65")</f>
        <v>M</v>
      </c>
      <c r="R57">
        <f>RTD("tos.rtd", , "NET_CHANGE", ".AAPL160715P65")</f>
        <v>0</v>
      </c>
    </row>
    <row r="58" spans="1:53">
      <c r="C58">
        <f>RTD("tos.rtd", , "LAST", ".AAPL160715C70")</f>
        <v>42</v>
      </c>
      <c r="D58" t="str">
        <f>RTD("tos.rtd", , "LX", ".AAPL160715C70")</f>
        <v>C</v>
      </c>
      <c r="E58">
        <f>RTD("tos.rtd", , "NET_CHANGE", ".AAPL160715C70")</f>
        <v>1.5</v>
      </c>
      <c r="F58">
        <f>RTD("tos.rtd", , "BID", ".AAPL160715C70")</f>
        <v>42.05</v>
      </c>
      <c r="G58" t="str">
        <f>RTD("tos.rtd", , "BX", ".AAPL160715C70")</f>
        <v>M</v>
      </c>
      <c r="H58">
        <f>RTD("tos.rtd", , "ASK", ".AAPL160715C70")</f>
        <v>42.35</v>
      </c>
      <c r="I58" t="str">
        <f>RTD("tos.rtd", , "AX", ".AAPL160715C70")</f>
        <v>X</v>
      </c>
      <c r="J58" t="str">
        <f>RTD("tos.rtd", , "EXPIRATION_DAY", ".AAPL160715C70")</f>
        <v>2016-07-16</v>
      </c>
      <c r="K58">
        <f>RTD("tos.rtd", , "STRIKE", ".AAPL160715C70")</f>
        <v>70</v>
      </c>
      <c r="L58">
        <f>RTD("tos.rtd", , "BID", ".AAPL160715P70")</f>
        <v>0.09</v>
      </c>
      <c r="M58" t="str">
        <f>RTD("tos.rtd", , "BX", ".AAPL160715P70")</f>
        <v>C</v>
      </c>
      <c r="N58">
        <f>RTD("tos.rtd", , "ASK", ".AAPL160715P70")</f>
        <v>0.12</v>
      </c>
      <c r="O58" t="str">
        <f>RTD("tos.rtd", , "AX", ".AAPL160715P70")</f>
        <v>C</v>
      </c>
      <c r="P58">
        <f>RTD("tos.rtd", , "LAST", ".AAPL160715P70")</f>
        <v>0.11</v>
      </c>
      <c r="Q58" t="str">
        <f>RTD("tos.rtd", , "LX", ".AAPL160715P70")</f>
        <v>C</v>
      </c>
      <c r="R58">
        <f>RTD("tos.rtd", , "NET_CHANGE", ".AAPL160715P70")</f>
        <v>-0.03</v>
      </c>
    </row>
    <row r="59" spans="1:53">
      <c r="C59">
        <f>RTD("tos.rtd", , "LAST", ".AAPL160715C75")</f>
        <v>36</v>
      </c>
      <c r="D59" t="str">
        <f>RTD("tos.rtd", , "LX", ".AAPL160715C75")</f>
        <v>T</v>
      </c>
      <c r="E59">
        <f>RTD("tos.rtd", , "NET_CHANGE", ".AAPL160715C75")</f>
        <v>0.05</v>
      </c>
      <c r="F59">
        <f>RTD("tos.rtd", , "BID", ".AAPL160715C75")</f>
        <v>37.049999999999997</v>
      </c>
      <c r="G59" t="str">
        <f>RTD("tos.rtd", , "BX", ".AAPL160715C75")</f>
        <v>C</v>
      </c>
      <c r="H59">
        <f>RTD("tos.rtd", , "ASK", ".AAPL160715C75")</f>
        <v>37.35</v>
      </c>
      <c r="I59" t="str">
        <f>RTD("tos.rtd", , "AX", ".AAPL160715C75")</f>
        <v>M</v>
      </c>
      <c r="J59" t="str">
        <f>RTD("tos.rtd", , "EXPIRATION_DAY", ".AAPL160715C75")</f>
        <v>2016-07-16</v>
      </c>
      <c r="K59">
        <f>RTD("tos.rtd", , "STRIKE", ".AAPL160715C75")</f>
        <v>75</v>
      </c>
      <c r="L59">
        <f>RTD("tos.rtd", , "BID", ".AAPL160715P75")</f>
        <v>0.15</v>
      </c>
      <c r="M59" t="str">
        <f>RTD("tos.rtd", , "BX", ".AAPL160715P75")</f>
        <v>Z</v>
      </c>
      <c r="N59">
        <f>RTD("tos.rtd", , "ASK", ".AAPL160715P75")</f>
        <v>0.16</v>
      </c>
      <c r="O59" t="str">
        <f>RTD("tos.rtd", , "AX", ".AAPL160715P75")</f>
        <v>W</v>
      </c>
      <c r="P59">
        <f>RTD("tos.rtd", , "LAST", ".AAPL160715P75")</f>
        <v>0.16</v>
      </c>
      <c r="Q59" t="str">
        <f>RTD("tos.rtd", , "LX", ".AAPL160715P75")</f>
        <v>Z</v>
      </c>
      <c r="R59">
        <f>RTD("tos.rtd", , "NET_CHANGE", ".AAPL160715P75")</f>
        <v>-0.03</v>
      </c>
    </row>
    <row r="60" spans="1:53">
      <c r="C60">
        <f>RTD("tos.rtd", , "LAST", ".AAPL160715C80")</f>
        <v>32.25</v>
      </c>
      <c r="D60" t="str">
        <f>RTD("tos.rtd", , "LX", ".AAPL160715C80")</f>
        <v>X</v>
      </c>
      <c r="E60">
        <f>RTD("tos.rtd", , "NET_CHANGE", ".AAPL160715C80")</f>
        <v>1.65</v>
      </c>
      <c r="F60">
        <f>RTD("tos.rtd", , "BID", ".AAPL160715C80")</f>
        <v>32.1</v>
      </c>
      <c r="G60" t="str">
        <f>RTD("tos.rtd", , "BX", ".AAPL160715C80")</f>
        <v>C</v>
      </c>
      <c r="H60">
        <f>RTD("tos.rtd", , "ASK", ".AAPL160715C80")</f>
        <v>32.4</v>
      </c>
      <c r="I60" t="str">
        <f>RTD("tos.rtd", , "AX", ".AAPL160715C80")</f>
        <v>C</v>
      </c>
      <c r="J60" t="str">
        <f>RTD("tos.rtd", , "EXPIRATION_DAY", ".AAPL160715C80")</f>
        <v>2016-07-16</v>
      </c>
      <c r="K60">
        <f>RTD("tos.rtd", , "STRIKE", ".AAPL160715C80")</f>
        <v>80</v>
      </c>
      <c r="L60">
        <f>RTD("tos.rtd", , "BID", ".AAPL160715P80")</f>
        <v>0.23</v>
      </c>
      <c r="M60" t="str">
        <f>RTD("tos.rtd", , "BX", ".AAPL160715P80")</f>
        <v>Z</v>
      </c>
      <c r="N60">
        <f>RTD("tos.rtd", , "ASK", ".AAPL160715P80")</f>
        <v>0.24</v>
      </c>
      <c r="O60" t="str">
        <f>RTD("tos.rtd", , "AX", ".AAPL160715P80")</f>
        <v>Z</v>
      </c>
      <c r="P60">
        <f>RTD("tos.rtd", , "LAST", ".AAPL160715P80")</f>
        <v>0.24</v>
      </c>
      <c r="Q60" t="str">
        <f>RTD("tos.rtd", , "LX", ".AAPL160715P80")</f>
        <v>H</v>
      </c>
      <c r="R60">
        <f>RTD("tos.rtd", , "NET_CHANGE", ".AAPL160715P80")</f>
        <v>-0.06</v>
      </c>
    </row>
    <row r="61" spans="1:53">
      <c r="C61">
        <f>RTD("tos.rtd", , "LAST", ".AAPL160715C85")</f>
        <v>27</v>
      </c>
      <c r="D61" t="str">
        <f>RTD("tos.rtd", , "LX", ".AAPL160715C85")</f>
        <v>M</v>
      </c>
      <c r="E61">
        <f>RTD("tos.rtd", , "NET_CHANGE", ".AAPL160715C85")</f>
        <v>2.97</v>
      </c>
      <c r="F61">
        <f>RTD("tos.rtd", , "BID", ".AAPL160715C85")</f>
        <v>27.2</v>
      </c>
      <c r="G61" t="str">
        <f>RTD("tos.rtd", , "BX", ".AAPL160715C85")</f>
        <v>C</v>
      </c>
      <c r="H61">
        <f>RTD("tos.rtd", , "ASK", ".AAPL160715C85")</f>
        <v>27.45</v>
      </c>
      <c r="I61" t="str">
        <f>RTD("tos.rtd", , "AX", ".AAPL160715C85")</f>
        <v>H</v>
      </c>
      <c r="J61" t="str">
        <f>RTD("tos.rtd", , "EXPIRATION_DAY", ".AAPL160715C85")</f>
        <v>2016-07-16</v>
      </c>
      <c r="K61">
        <f>RTD("tos.rtd", , "STRIKE", ".AAPL160715C85")</f>
        <v>85</v>
      </c>
      <c r="L61">
        <f>RTD("tos.rtd", , "BID", ".AAPL160715P85")</f>
        <v>0.37</v>
      </c>
      <c r="M61" t="str">
        <f>RTD("tos.rtd", , "BX", ".AAPL160715P85")</f>
        <v>Z</v>
      </c>
      <c r="N61">
        <f>RTD("tos.rtd", , "ASK", ".AAPL160715P85")</f>
        <v>0.38</v>
      </c>
      <c r="O61" t="str">
        <f>RTD("tos.rtd", , "AX", ".AAPL160715P85")</f>
        <v>Z</v>
      </c>
      <c r="P61">
        <f>RTD("tos.rtd", , "LAST", ".AAPL160715P85")</f>
        <v>0.36</v>
      </c>
      <c r="Q61" t="str">
        <f>RTD("tos.rtd", , "LX", ".AAPL160715P85")</f>
        <v>I</v>
      </c>
      <c r="R61">
        <f>RTD("tos.rtd", , "NET_CHANGE", ".AAPL160715P85")</f>
        <v>-0.11</v>
      </c>
    </row>
    <row r="62" spans="1:53">
      <c r="C62">
        <f>RTD("tos.rtd", , "LAST", ".AAPL160715C87.5")</f>
        <v>24.57</v>
      </c>
      <c r="D62" t="str">
        <f>RTD("tos.rtd", , "LX", ".AAPL160715C87.5")</f>
        <v>I</v>
      </c>
      <c r="E62">
        <f>RTD("tos.rtd", , "NET_CHANGE", ".AAPL160715C87.5")</f>
        <v>2.97</v>
      </c>
      <c r="F62">
        <f>RTD("tos.rtd", , "BID", ".AAPL160715C87.5")</f>
        <v>24.8</v>
      </c>
      <c r="G62" t="str">
        <f>RTD("tos.rtd", , "BX", ".AAPL160715C87.5")</f>
        <v>C</v>
      </c>
      <c r="H62">
        <f>RTD("tos.rtd", , "ASK", ".AAPL160715C87.5")</f>
        <v>25.05</v>
      </c>
      <c r="I62" t="str">
        <f>RTD("tos.rtd", , "AX", ".AAPL160715C87.5")</f>
        <v>M</v>
      </c>
      <c r="J62" t="str">
        <f>RTD("tos.rtd", , "EXPIRATION_DAY", ".AAPL160715C87.5")</f>
        <v>2016-07-16</v>
      </c>
      <c r="K62">
        <f>RTD("tos.rtd", , "STRIKE", ".AAPL160715C87.5")</f>
        <v>87.5</v>
      </c>
      <c r="L62">
        <f>RTD("tos.rtd", , "BID", ".AAPL160715P87.5")</f>
        <v>0.46</v>
      </c>
      <c r="M62" t="str">
        <f>RTD("tos.rtd", , "BX", ".AAPL160715P87.5")</f>
        <v>Z</v>
      </c>
      <c r="N62">
        <f>RTD("tos.rtd", , "ASK", ".AAPL160715P87.5")</f>
        <v>0.47</v>
      </c>
      <c r="O62" t="str">
        <f>RTD("tos.rtd", , "AX", ".AAPL160715P87.5")</f>
        <v>Z</v>
      </c>
      <c r="P62">
        <f>RTD("tos.rtd", , "LAST", ".AAPL160715P87.5")</f>
        <v>0.47</v>
      </c>
      <c r="Q62" t="str">
        <f>RTD("tos.rtd", , "LX", ".AAPL160715P87.5")</f>
        <v>Z</v>
      </c>
      <c r="R62">
        <f>RTD("tos.rtd", , "NET_CHANGE", ".AAPL160715P87.5")</f>
        <v>-0.1</v>
      </c>
    </row>
    <row r="63" spans="1:53">
      <c r="C63">
        <f>RTD("tos.rtd", , "LAST", ".AAPL160715C90")</f>
        <v>22.15</v>
      </c>
      <c r="D63" t="str">
        <f>RTD("tos.rtd", , "LX", ".AAPL160715C90")</f>
        <v>N</v>
      </c>
      <c r="E63">
        <f>RTD("tos.rtd", , "NET_CHANGE", ".AAPL160715C90")</f>
        <v>2.25</v>
      </c>
      <c r="F63">
        <f>RTD("tos.rtd", , "BID", ".AAPL160715C90")</f>
        <v>22.4</v>
      </c>
      <c r="G63" t="str">
        <f>RTD("tos.rtd", , "BX", ".AAPL160715C90")</f>
        <v>X</v>
      </c>
      <c r="H63">
        <f>RTD("tos.rtd", , "ASK", ".AAPL160715C90")</f>
        <v>22.65</v>
      </c>
      <c r="I63" t="str">
        <f>RTD("tos.rtd", , "AX", ".AAPL160715C90")</f>
        <v>C</v>
      </c>
      <c r="J63" t="str">
        <f>RTD("tos.rtd", , "EXPIRATION_DAY", ".AAPL160715C90")</f>
        <v>2016-07-16</v>
      </c>
      <c r="K63">
        <f>RTD("tos.rtd", , "STRIKE", ".AAPL160715C90")</f>
        <v>90</v>
      </c>
      <c r="L63">
        <f>RTD("tos.rtd", , "BID", ".AAPL160715P90")</f>
        <v>0.6</v>
      </c>
      <c r="M63" t="str">
        <f>RTD("tos.rtd", , "BX", ".AAPL160715P90")</f>
        <v>Z</v>
      </c>
      <c r="N63">
        <f>RTD("tos.rtd", , "ASK", ".AAPL160715P90")</f>
        <v>0.61</v>
      </c>
      <c r="O63" t="str">
        <f>RTD("tos.rtd", , "AX", ".AAPL160715P90")</f>
        <v>Z</v>
      </c>
      <c r="P63">
        <f>RTD("tos.rtd", , "LAST", ".AAPL160715P90")</f>
        <v>0.59</v>
      </c>
      <c r="Q63" t="str">
        <f>RTD("tos.rtd", , "LX", ".AAPL160715P90")</f>
        <v>I</v>
      </c>
      <c r="R63">
        <f>RTD("tos.rtd", , "NET_CHANGE", ".AAPL160715P90")</f>
        <v>-0.14000000000000001</v>
      </c>
    </row>
    <row r="64" spans="1:53">
      <c r="C64">
        <f>RTD("tos.rtd", , "LAST", ".AAPL160715C92.5")</f>
        <v>20.100000000000001</v>
      </c>
      <c r="D64" t="str">
        <f>RTD("tos.rtd", , "LX", ".AAPL160715C92.5")</f>
        <v>I</v>
      </c>
      <c r="E64">
        <f>RTD("tos.rtd", , "NET_CHANGE", ".AAPL160715C92.5")</f>
        <v>1.7</v>
      </c>
      <c r="F64">
        <f>RTD("tos.rtd", , "BID", ".AAPL160715C92.5")</f>
        <v>20.05</v>
      </c>
      <c r="G64" t="str">
        <f>RTD("tos.rtd", , "BX", ".AAPL160715C92.5")</f>
        <v>X</v>
      </c>
      <c r="H64">
        <f>RTD("tos.rtd", , "ASK", ".AAPL160715C92.5")</f>
        <v>20.3</v>
      </c>
      <c r="I64" t="str">
        <f>RTD("tos.rtd", , "AX", ".AAPL160715C92.5")</f>
        <v>X</v>
      </c>
      <c r="J64" t="str">
        <f>RTD("tos.rtd", , "EXPIRATION_DAY", ".AAPL160715C92.5")</f>
        <v>2016-07-16</v>
      </c>
      <c r="K64">
        <f>RTD("tos.rtd", , "STRIKE", ".AAPL160715C92.5")</f>
        <v>92.5</v>
      </c>
      <c r="L64">
        <f>RTD("tos.rtd", , "BID", ".AAPL160715P92.5")</f>
        <v>0.76</v>
      </c>
      <c r="M64" t="str">
        <f>RTD("tos.rtd", , "BX", ".AAPL160715P92.5")</f>
        <v>C</v>
      </c>
      <c r="N64">
        <f>RTD("tos.rtd", , "ASK", ".AAPL160715P92.5")</f>
        <v>0.79</v>
      </c>
      <c r="O64" t="str">
        <f>RTD("tos.rtd", , "AX", ".AAPL160715P92.5")</f>
        <v>C</v>
      </c>
      <c r="P64">
        <f>RTD("tos.rtd", , "LAST", ".AAPL160715P92.5")</f>
        <v>0.82</v>
      </c>
      <c r="Q64" t="str">
        <f>RTD("tos.rtd", , "LX", ".AAPL160715P92.5")</f>
        <v>N</v>
      </c>
      <c r="R64">
        <f>RTD("tos.rtd", , "NET_CHANGE", ".AAPL160715P92.5")</f>
        <v>-0.15</v>
      </c>
    </row>
    <row r="65" spans="3:18">
      <c r="C65">
        <f>RTD("tos.rtd", , "LAST", ".AAPL160715C95")</f>
        <v>18</v>
      </c>
      <c r="D65" t="str">
        <f>RTD("tos.rtd", , "LX", ".AAPL160715C95")</f>
        <v>M</v>
      </c>
      <c r="E65">
        <f>RTD("tos.rtd", , "NET_CHANGE", ".AAPL160715C95")</f>
        <v>1.75</v>
      </c>
      <c r="F65">
        <f>RTD("tos.rtd", , "BID", ".AAPL160715C95")</f>
        <v>17.8</v>
      </c>
      <c r="G65" t="str">
        <f>RTD("tos.rtd", , "BX", ".AAPL160715C95")</f>
        <v>C</v>
      </c>
      <c r="H65">
        <f>RTD("tos.rtd", , "ASK", ".AAPL160715C95")</f>
        <v>18</v>
      </c>
      <c r="I65" t="str">
        <f>RTD("tos.rtd", , "AX", ".AAPL160715C95")</f>
        <v>C</v>
      </c>
      <c r="J65" t="str">
        <f>RTD("tos.rtd", , "EXPIRATION_DAY", ".AAPL160715C95")</f>
        <v>2016-07-16</v>
      </c>
      <c r="K65">
        <f>RTD("tos.rtd", , "STRIKE", ".AAPL160715C95")</f>
        <v>95</v>
      </c>
      <c r="L65">
        <f>RTD("tos.rtd", , "BID", ".AAPL160715P95")</f>
        <v>0.99</v>
      </c>
      <c r="M65" t="str">
        <f>RTD("tos.rtd", , "BX", ".AAPL160715P95")</f>
        <v>W</v>
      </c>
      <c r="N65">
        <f>RTD("tos.rtd", , "ASK", ".AAPL160715P95")</f>
        <v>1.02</v>
      </c>
      <c r="O65" t="str">
        <f>RTD("tos.rtd", , "AX", ".AAPL160715P95")</f>
        <v>X</v>
      </c>
      <c r="P65">
        <f>RTD("tos.rtd", , "LAST", ".AAPL160715P95")</f>
        <v>1.03</v>
      </c>
      <c r="Q65" t="str">
        <f>RTD("tos.rtd", , "LX", ".AAPL160715P95")</f>
        <v>M</v>
      </c>
      <c r="R65">
        <f>RTD("tos.rtd", , "NET_CHANGE", ".AAPL160715P95")</f>
        <v>-0.22</v>
      </c>
    </row>
    <row r="66" spans="3:18">
      <c r="C66">
        <f>RTD("tos.rtd", , "LAST", ".AAPL160715C97.5")</f>
        <v>15.55</v>
      </c>
      <c r="D66" t="str">
        <f>RTD("tos.rtd", , "LX", ".AAPL160715C97.5")</f>
        <v>T</v>
      </c>
      <c r="E66">
        <f>RTD("tos.rtd", , "NET_CHANGE", ".AAPL160715C97.5")</f>
        <v>1.4</v>
      </c>
      <c r="F66">
        <f>RTD("tos.rtd", , "BID", ".AAPL160715C97.5")</f>
        <v>15.6</v>
      </c>
      <c r="G66" t="str">
        <f>RTD("tos.rtd", , "BX", ".AAPL160715C97.5")</f>
        <v>C</v>
      </c>
      <c r="H66">
        <f>RTD("tos.rtd", , "ASK", ".AAPL160715C97.5")</f>
        <v>15.8</v>
      </c>
      <c r="I66" t="str">
        <f>RTD("tos.rtd", , "AX", ".AAPL160715C97.5")</f>
        <v>X</v>
      </c>
      <c r="J66" t="str">
        <f>RTD("tos.rtd", , "EXPIRATION_DAY", ".AAPL160715C97.5")</f>
        <v>2016-07-16</v>
      </c>
      <c r="K66">
        <f>RTD("tos.rtd", , "STRIKE", ".AAPL160715C97.5")</f>
        <v>97.5</v>
      </c>
      <c r="L66">
        <f>RTD("tos.rtd", , "BID", ".AAPL160715P97.5")</f>
        <v>1.3</v>
      </c>
      <c r="M66" t="str">
        <f>RTD("tos.rtd", , "BX", ".AAPL160715P97.5")</f>
        <v>Z</v>
      </c>
      <c r="N66">
        <f>RTD("tos.rtd", , "ASK", ".AAPL160715P97.5")</f>
        <v>1.32</v>
      </c>
      <c r="O66" t="str">
        <f>RTD("tos.rtd", , "AX", ".AAPL160715P97.5")</f>
        <v>H</v>
      </c>
      <c r="P66">
        <f>RTD("tos.rtd", , "LAST", ".AAPL160715P97.5")</f>
        <v>1.33</v>
      </c>
      <c r="Q66" t="str">
        <f>RTD("tos.rtd", , "LX", ".AAPL160715P97.5")</f>
        <v>H</v>
      </c>
      <c r="R66">
        <f>RTD("tos.rtd", , "NET_CHANGE", ".AAPL160715P97.5")</f>
        <v>-0.28000000000000003</v>
      </c>
    </row>
    <row r="67" spans="3:18">
      <c r="C67">
        <f>RTD("tos.rtd", , "LAST", ".AAPL160715C100")</f>
        <v>13.55</v>
      </c>
      <c r="D67" t="str">
        <f>RTD("tos.rtd", , "LX", ".AAPL160715C100")</f>
        <v>X</v>
      </c>
      <c r="E67">
        <f>RTD("tos.rtd", , "NET_CHANGE", ".AAPL160715C100")</f>
        <v>1.4</v>
      </c>
      <c r="F67">
        <f>RTD("tos.rtd", , "BID", ".AAPL160715C100")</f>
        <v>13.5</v>
      </c>
      <c r="G67" t="str">
        <f>RTD("tos.rtd", , "BX", ".AAPL160715C100")</f>
        <v>X</v>
      </c>
      <c r="H67">
        <f>RTD("tos.rtd", , "ASK", ".AAPL160715C100")</f>
        <v>13.65</v>
      </c>
      <c r="I67" t="str">
        <f>RTD("tos.rtd", , "AX", ".AAPL160715C100")</f>
        <v>C</v>
      </c>
      <c r="J67" t="str">
        <f>RTD("tos.rtd", , "EXPIRATION_DAY", ".AAPL160715C100")</f>
        <v>2016-07-16</v>
      </c>
      <c r="K67">
        <f>RTD("tos.rtd", , "STRIKE", ".AAPL160715C100")</f>
        <v>100</v>
      </c>
      <c r="L67">
        <f>RTD("tos.rtd", , "BID", ".AAPL160715P100")</f>
        <v>1.7</v>
      </c>
      <c r="M67" t="str">
        <f>RTD("tos.rtd", , "BX", ".AAPL160715P100")</f>
        <v>Q</v>
      </c>
      <c r="N67">
        <f>RTD("tos.rtd", , "ASK", ".AAPL160715P100")</f>
        <v>1.72</v>
      </c>
      <c r="O67" t="str">
        <f>RTD("tos.rtd", , "AX", ".AAPL160715P100")</f>
        <v>Z</v>
      </c>
      <c r="P67">
        <f>RTD("tos.rtd", , "LAST", ".AAPL160715P100")</f>
        <v>1.73</v>
      </c>
      <c r="Q67" t="str">
        <f>RTD("tos.rtd", , "LX", ".AAPL160715P100")</f>
        <v>I</v>
      </c>
      <c r="R67">
        <f>RTD("tos.rtd", , "NET_CHANGE", ".AAPL160715P100")</f>
        <v>-0.35</v>
      </c>
    </row>
    <row r="68" spans="3:18">
      <c r="C68">
        <f>RTD("tos.rtd", , "LAST", ".AAPL160715C105")</f>
        <v>9.6199999999999992</v>
      </c>
      <c r="D68" t="str">
        <f>RTD("tos.rtd", , "LX", ".AAPL160715C105")</f>
        <v>B</v>
      </c>
      <c r="E68">
        <f>RTD("tos.rtd", , "NET_CHANGE", ".AAPL160715C105")</f>
        <v>1.1000000000000001</v>
      </c>
      <c r="F68">
        <f>RTD("tos.rtd", , "BID", ".AAPL160715C105")</f>
        <v>9.65</v>
      </c>
      <c r="G68" t="str">
        <f>RTD("tos.rtd", , "BX", ".AAPL160715C105")</f>
        <v>X</v>
      </c>
      <c r="H68">
        <f>RTD("tos.rtd", , "ASK", ".AAPL160715C105")</f>
        <v>9.75</v>
      </c>
      <c r="I68" t="str">
        <f>RTD("tos.rtd", , "AX", ".AAPL160715C105")</f>
        <v>X</v>
      </c>
      <c r="J68" t="str">
        <f>RTD("tos.rtd", , "EXPIRATION_DAY", ".AAPL160715C105")</f>
        <v>2016-07-16</v>
      </c>
      <c r="K68">
        <f>RTD("tos.rtd", , "STRIKE", ".AAPL160715C105")</f>
        <v>105</v>
      </c>
      <c r="L68">
        <f>RTD("tos.rtd", , "BID", ".AAPL160715P105")</f>
        <v>2.84</v>
      </c>
      <c r="M68" t="str">
        <f>RTD("tos.rtd", , "BX", ".AAPL160715P105")</f>
        <v>A</v>
      </c>
      <c r="N68">
        <f>RTD("tos.rtd", , "ASK", ".AAPL160715P105")</f>
        <v>2.87</v>
      </c>
      <c r="O68" t="str">
        <f>RTD("tos.rtd", , "AX", ".AAPL160715P105")</f>
        <v>M</v>
      </c>
      <c r="P68">
        <f>RTD("tos.rtd", , "LAST", ".AAPL160715P105")</f>
        <v>2.87</v>
      </c>
      <c r="Q68" t="str">
        <f>RTD("tos.rtd", , "LX", ".AAPL160715P105")</f>
        <v>I</v>
      </c>
      <c r="R68">
        <f>RTD("tos.rtd", , "NET_CHANGE", ".AAPL160715P105")</f>
        <v>-0.56000000000000005</v>
      </c>
    </row>
    <row r="69" spans="3:18">
      <c r="C69">
        <f>RTD("tos.rtd", , "LAST", ".AAPL160715C110")</f>
        <v>6.49</v>
      </c>
      <c r="D69" t="str">
        <f>RTD("tos.rtd", , "LX", ".AAPL160715C110")</f>
        <v>X</v>
      </c>
      <c r="E69">
        <f>RTD("tos.rtd", , "NET_CHANGE", ".AAPL160715C110")</f>
        <v>0.89</v>
      </c>
      <c r="F69">
        <f>RTD("tos.rtd", , "BID", ".AAPL160715C110")</f>
        <v>6.45</v>
      </c>
      <c r="G69" t="str">
        <f>RTD("tos.rtd", , "BX", ".AAPL160715C110")</f>
        <v>H</v>
      </c>
      <c r="H69">
        <f>RTD("tos.rtd", , "ASK", ".AAPL160715C110")</f>
        <v>6.5</v>
      </c>
      <c r="I69" t="str">
        <f>RTD("tos.rtd", , "AX", ".AAPL160715C110")</f>
        <v>T</v>
      </c>
      <c r="J69" t="str">
        <f>RTD("tos.rtd", , "EXPIRATION_DAY", ".AAPL160715C110")</f>
        <v>2016-07-16</v>
      </c>
      <c r="K69">
        <f>RTD("tos.rtd", , "STRIKE", ".AAPL160715C110")</f>
        <v>110</v>
      </c>
      <c r="L69">
        <f>RTD("tos.rtd", , "BID", ".AAPL160715P110")</f>
        <v>4.5999999999999996</v>
      </c>
      <c r="M69" t="str">
        <f>RTD("tos.rtd", , "BX", ".AAPL160715P110")</f>
        <v>C</v>
      </c>
      <c r="N69">
        <f>RTD("tos.rtd", , "ASK", ".AAPL160715P110")</f>
        <v>4.7</v>
      </c>
      <c r="O69" t="str">
        <f>RTD("tos.rtd", , "AX", ".AAPL160715P110")</f>
        <v>C</v>
      </c>
      <c r="P69">
        <f>RTD("tos.rtd", , "LAST", ".AAPL160715P110")</f>
        <v>4.6100000000000003</v>
      </c>
      <c r="Q69" t="str">
        <f>RTD("tos.rtd", , "LX", ".AAPL160715P110")</f>
        <v>X</v>
      </c>
      <c r="R69">
        <f>RTD("tos.rtd", , "NET_CHANGE", ".AAPL160715P110")</f>
        <v>-0.94</v>
      </c>
    </row>
    <row r="70" spans="3:18">
      <c r="C70">
        <f>RTD("tos.rtd", , "LAST", ".AAPL160715C115")</f>
        <v>3.98</v>
      </c>
      <c r="D70" t="str">
        <f>RTD("tos.rtd", , "LX", ".AAPL160715C115")</f>
        <v>C</v>
      </c>
      <c r="E70">
        <f>RTD("tos.rtd", , "NET_CHANGE", ".AAPL160715C115")</f>
        <v>0.65</v>
      </c>
      <c r="F70">
        <f>RTD("tos.rtd", , "BID", ".AAPL160715C115")</f>
        <v>3.95</v>
      </c>
      <c r="G70" t="str">
        <f>RTD("tos.rtd", , "BX", ".AAPL160715C115")</f>
        <v>C</v>
      </c>
      <c r="H70">
        <f>RTD("tos.rtd", , "ASK", ".AAPL160715C115")</f>
        <v>4</v>
      </c>
      <c r="I70" t="str">
        <f>RTD("tos.rtd", , "AX", ".AAPL160715C115")</f>
        <v>Z</v>
      </c>
      <c r="J70" t="str">
        <f>RTD("tos.rtd", , "EXPIRATION_DAY", ".AAPL160715C115")</f>
        <v>2016-07-16</v>
      </c>
      <c r="K70">
        <f>RTD("tos.rtd", , "STRIKE", ".AAPL160715C115")</f>
        <v>115</v>
      </c>
      <c r="L70">
        <f>RTD("tos.rtd", , "BID", ".AAPL160715P115")</f>
        <v>7.1</v>
      </c>
      <c r="M70" t="str">
        <f>RTD("tos.rtd", , "BX", ".AAPL160715P115")</f>
        <v>C</v>
      </c>
      <c r="N70">
        <f>RTD("tos.rtd", , "ASK", ".AAPL160715P115")</f>
        <v>7.25</v>
      </c>
      <c r="O70" t="str">
        <f>RTD("tos.rtd", , "AX", ".AAPL160715P115")</f>
        <v>C</v>
      </c>
      <c r="P70">
        <f>RTD("tos.rtd", , "LAST", ".AAPL160715P115")</f>
        <v>7.12</v>
      </c>
      <c r="Q70" t="str">
        <f>RTD("tos.rtd", , "LX", ".AAPL160715P115")</f>
        <v>C</v>
      </c>
      <c r="R70">
        <f>RTD("tos.rtd", , "NET_CHANGE", ".AAPL160715P115")</f>
        <v>-1.23</v>
      </c>
    </row>
    <row r="71" spans="3:18">
      <c r="C71">
        <f>RTD("tos.rtd", , "LAST", ".AAPL160715C120")</f>
        <v>2.27</v>
      </c>
      <c r="D71" t="str">
        <f>RTD("tos.rtd", , "LX", ".AAPL160715C120")</f>
        <v>C</v>
      </c>
      <c r="E71">
        <f>RTD("tos.rtd", , "NET_CHANGE", ".AAPL160715C120")</f>
        <v>0.44</v>
      </c>
      <c r="F71">
        <f>RTD("tos.rtd", , "BID", ".AAPL160715C120")</f>
        <v>2.2599999999999998</v>
      </c>
      <c r="G71" t="str">
        <f>RTD("tos.rtd", , "BX", ".AAPL160715C120")</f>
        <v>H</v>
      </c>
      <c r="H71">
        <f>RTD("tos.rtd", , "ASK", ".AAPL160715C120")</f>
        <v>2.2799999999999998</v>
      </c>
      <c r="I71" t="str">
        <f>RTD("tos.rtd", , "AX", ".AAPL160715C120")</f>
        <v>Z</v>
      </c>
      <c r="J71" t="str">
        <f>RTD("tos.rtd", , "EXPIRATION_DAY", ".AAPL160715C120")</f>
        <v>2016-07-16</v>
      </c>
      <c r="K71">
        <f>RTD("tos.rtd", , "STRIKE", ".AAPL160715C120")</f>
        <v>120</v>
      </c>
      <c r="L71">
        <f>RTD("tos.rtd", , "BID", ".AAPL160715P120")</f>
        <v>10.4</v>
      </c>
      <c r="M71" t="str">
        <f>RTD("tos.rtd", , "BX", ".AAPL160715P120")</f>
        <v>C</v>
      </c>
      <c r="N71">
        <f>RTD("tos.rtd", , "ASK", ".AAPL160715P120")</f>
        <v>10.5</v>
      </c>
      <c r="O71" t="str">
        <f>RTD("tos.rtd", , "AX", ".AAPL160715P120")</f>
        <v>H</v>
      </c>
      <c r="P71">
        <f>RTD("tos.rtd", , "LAST", ".AAPL160715P120")</f>
        <v>10.91</v>
      </c>
      <c r="Q71" t="str">
        <f>RTD("tos.rtd", , "LX", ".AAPL160715P120")</f>
        <v>X</v>
      </c>
      <c r="R71">
        <f>RTD("tos.rtd", , "NET_CHANGE", ".AAPL160715P120")</f>
        <v>-0.99</v>
      </c>
    </row>
    <row r="72" spans="3:18">
      <c r="C72">
        <f>RTD("tos.rtd", , "LAST", ".AAPL160715C125")</f>
        <v>1.2</v>
      </c>
      <c r="D72" t="str">
        <f>RTD("tos.rtd", , "LX", ".AAPL160715C125")</f>
        <v>B</v>
      </c>
      <c r="E72">
        <f>RTD("tos.rtd", , "NET_CHANGE", ".AAPL160715C125")</f>
        <v>0.25</v>
      </c>
      <c r="F72">
        <f>RTD("tos.rtd", , "BID", ".AAPL160715C125")</f>
        <v>1.2</v>
      </c>
      <c r="G72" t="str">
        <f>RTD("tos.rtd", , "BX", ".AAPL160715C125")</f>
        <v>C</v>
      </c>
      <c r="H72">
        <f>RTD("tos.rtd", , "ASK", ".AAPL160715C125")</f>
        <v>1.22</v>
      </c>
      <c r="I72" t="str">
        <f>RTD("tos.rtd", , "AX", ".AAPL160715C125")</f>
        <v>Z</v>
      </c>
      <c r="J72" t="str">
        <f>RTD("tos.rtd", , "EXPIRATION_DAY", ".AAPL160715C125")</f>
        <v>2016-07-16</v>
      </c>
      <c r="K72">
        <f>RTD("tos.rtd", , "STRIKE", ".AAPL160715C125")</f>
        <v>125</v>
      </c>
      <c r="L72">
        <f>RTD("tos.rtd", , "BID", ".AAPL160715P125")</f>
        <v>14.35</v>
      </c>
      <c r="M72" t="str">
        <f>RTD("tos.rtd", , "BX", ".AAPL160715P125")</f>
        <v>C</v>
      </c>
      <c r="N72">
        <f>RTD("tos.rtd", , "ASK", ".AAPL160715P125")</f>
        <v>14.55</v>
      </c>
      <c r="O72" t="str">
        <f>RTD("tos.rtd", , "AX", ".AAPL160715P125")</f>
        <v>X</v>
      </c>
      <c r="P72">
        <f>RTD("tos.rtd", , "LAST", ".AAPL160715P125")</f>
        <v>14.52</v>
      </c>
      <c r="Q72" t="str">
        <f>RTD("tos.rtd", , "LX", ".AAPL160715P125")</f>
        <v>I</v>
      </c>
      <c r="R72">
        <f>RTD("tos.rtd", , "NET_CHANGE", ".AAPL160715P125")</f>
        <v>-1.38</v>
      </c>
    </row>
    <row r="73" spans="3:18">
      <c r="C73">
        <f>RTD("tos.rtd", , "LAST", ".AAPL160715C130")</f>
        <v>0.63</v>
      </c>
      <c r="D73" t="str">
        <f>RTD("tos.rtd", , "LX", ".AAPL160715C130")</f>
        <v>M</v>
      </c>
      <c r="E73">
        <f>RTD("tos.rtd", , "NET_CHANGE", ".AAPL160715C130")</f>
        <v>0.15</v>
      </c>
      <c r="F73">
        <f>RTD("tos.rtd", , "BID", ".AAPL160715C130")</f>
        <v>0.61</v>
      </c>
      <c r="G73" t="str">
        <f>RTD("tos.rtd", , "BX", ".AAPL160715C130")</f>
        <v>N</v>
      </c>
      <c r="H73">
        <f>RTD("tos.rtd", , "ASK", ".AAPL160715C130")</f>
        <v>0.63</v>
      </c>
      <c r="I73" t="str">
        <f>RTD("tos.rtd", , "AX", ".AAPL160715C130")</f>
        <v>N</v>
      </c>
      <c r="J73" t="str">
        <f>RTD("tos.rtd", , "EXPIRATION_DAY", ".AAPL160715C130")</f>
        <v>2016-07-16</v>
      </c>
      <c r="K73">
        <f>RTD("tos.rtd", , "STRIKE", ".AAPL160715C130")</f>
        <v>130</v>
      </c>
      <c r="L73">
        <f>RTD("tos.rtd", , "BID", ".AAPL160715P130")</f>
        <v>18.75</v>
      </c>
      <c r="M73" t="str">
        <f>RTD("tos.rtd", , "BX", ".AAPL160715P130")</f>
        <v>X</v>
      </c>
      <c r="N73">
        <f>RTD("tos.rtd", , "ASK", ".AAPL160715P130")</f>
        <v>19</v>
      </c>
      <c r="O73" t="str">
        <f>RTD("tos.rtd", , "AX", ".AAPL160715P130")</f>
        <v>X</v>
      </c>
      <c r="P73">
        <f>RTD("tos.rtd", , "LAST", ".AAPL160715P130")</f>
        <v>19.45</v>
      </c>
      <c r="Q73" t="str">
        <f>RTD("tos.rtd", , "LX", ".AAPL160715P130")</f>
        <v>Z</v>
      </c>
      <c r="R73">
        <f>RTD("tos.rtd", , "NET_CHANGE", ".AAPL160715P130")</f>
        <v>-1.54</v>
      </c>
    </row>
    <row r="74" spans="3:18">
      <c r="C74">
        <f>RTD("tos.rtd", , "LAST", ".AAPL160715C135")</f>
        <v>0.32</v>
      </c>
      <c r="D74" t="str">
        <f>RTD("tos.rtd", , "LX", ".AAPL160715C135")</f>
        <v>I</v>
      </c>
      <c r="E74">
        <f>RTD("tos.rtd", , "NET_CHANGE", ".AAPL160715C135")</f>
        <v>0.06</v>
      </c>
      <c r="F74">
        <f>RTD("tos.rtd", , "BID", ".AAPL160715C135")</f>
        <v>0.32</v>
      </c>
      <c r="G74" t="str">
        <f>RTD("tos.rtd", , "BX", ".AAPL160715C135")</f>
        <v>Z</v>
      </c>
      <c r="H74">
        <f>RTD("tos.rtd", , "ASK", ".AAPL160715C135")</f>
        <v>0.34</v>
      </c>
      <c r="I74" t="str">
        <f>RTD("tos.rtd", , "AX", ".AAPL160715C135")</f>
        <v>C</v>
      </c>
      <c r="J74" t="str">
        <f>RTD("tos.rtd", , "EXPIRATION_DAY", ".AAPL160715C135")</f>
        <v>2016-07-16</v>
      </c>
      <c r="K74">
        <f>RTD("tos.rtd", , "STRIKE", ".AAPL160715C135")</f>
        <v>135</v>
      </c>
      <c r="L74">
        <f>RTD("tos.rtd", , "BID", ".AAPL160715P135")</f>
        <v>23.45</v>
      </c>
      <c r="M74" t="str">
        <f>RTD("tos.rtd", , "BX", ".AAPL160715P135")</f>
        <v>Z</v>
      </c>
      <c r="N74">
        <f>RTD("tos.rtd", , "ASK", ".AAPL160715P135")</f>
        <v>23.75</v>
      </c>
      <c r="O74" t="str">
        <f>RTD("tos.rtd", , "AX", ".AAPL160715P135")</f>
        <v>M</v>
      </c>
      <c r="P74">
        <f>RTD("tos.rtd", , "LAST", ".AAPL160715P135")</f>
        <v>23.75</v>
      </c>
      <c r="Q74" t="str">
        <f>RTD("tos.rtd", , "LX", ".AAPL160715P135")</f>
        <v>C</v>
      </c>
      <c r="R74">
        <f>RTD("tos.rtd", , "NET_CHANGE", ".AAPL160715P135")</f>
        <v>-1.67</v>
      </c>
    </row>
    <row r="75" spans="3:18">
      <c r="C75">
        <f>RTD("tos.rtd", , "LAST", ".AAPL160715C140")</f>
        <v>0.19</v>
      </c>
      <c r="D75" t="str">
        <f>RTD("tos.rtd", , "LX", ".AAPL160715C140")</f>
        <v>X</v>
      </c>
      <c r="E75">
        <f>RTD("tos.rtd", , "NET_CHANGE", ".AAPL160715C140")</f>
        <v>0.05</v>
      </c>
      <c r="F75">
        <f>RTD("tos.rtd", , "BID", ".AAPL160715C140")</f>
        <v>0.17</v>
      </c>
      <c r="G75" t="str">
        <f>RTD("tos.rtd", , "BX", ".AAPL160715C140")</f>
        <v>Z</v>
      </c>
      <c r="H75">
        <f>RTD("tos.rtd", , "ASK", ".AAPL160715C140")</f>
        <v>0.19</v>
      </c>
      <c r="I75" t="str">
        <f>RTD("tos.rtd", , "AX", ".AAPL160715C140")</f>
        <v>Z</v>
      </c>
      <c r="J75" t="str">
        <f>RTD("tos.rtd", , "EXPIRATION_DAY", ".AAPL160715C140")</f>
        <v>2016-07-16</v>
      </c>
      <c r="K75">
        <f>RTD("tos.rtd", , "STRIKE", ".AAPL160715C140")</f>
        <v>140</v>
      </c>
      <c r="L75">
        <f>RTD("tos.rtd", , "BID", ".AAPL160715P140")</f>
        <v>28.3</v>
      </c>
      <c r="M75" t="str">
        <f>RTD("tos.rtd", , "BX", ".AAPL160715P140")</f>
        <v>X</v>
      </c>
      <c r="N75">
        <f>RTD("tos.rtd", , "ASK", ".AAPL160715P140")</f>
        <v>28.6</v>
      </c>
      <c r="O75" t="str">
        <f>RTD("tos.rtd", , "AX", ".AAPL160715P140")</f>
        <v>X</v>
      </c>
      <c r="P75">
        <f>RTD("tos.rtd", , "LAST", ".AAPL160715P140")</f>
        <v>28.79</v>
      </c>
      <c r="Q75" t="str">
        <f>RTD("tos.rtd", , "LX", ".AAPL160715P140")</f>
        <v>I</v>
      </c>
      <c r="R75">
        <f>RTD("tos.rtd", , "NET_CHANGE", ".AAPL160715P140")</f>
        <v>-1.33</v>
      </c>
    </row>
    <row r="76" spans="3:18">
      <c r="C76">
        <f>RTD("tos.rtd", , "LAST", ".AAPL160715C145")</f>
        <v>0.1</v>
      </c>
      <c r="D76" t="str">
        <f>RTD("tos.rtd", , "LX", ".AAPL160715C145")</f>
        <v>I</v>
      </c>
      <c r="E76">
        <f>RTD("tos.rtd", , "NET_CHANGE", ".AAPL160715C145")</f>
        <v>0.03</v>
      </c>
      <c r="F76">
        <f>RTD("tos.rtd", , "BID", ".AAPL160715C145")</f>
        <v>0.11</v>
      </c>
      <c r="G76" t="str">
        <f>RTD("tos.rtd", , "BX", ".AAPL160715C145")</f>
        <v>Z</v>
      </c>
      <c r="H76">
        <f>RTD("tos.rtd", , "ASK", ".AAPL160715C145")</f>
        <v>0.12</v>
      </c>
      <c r="I76" t="str">
        <f>RTD("tos.rtd", , "AX", ".AAPL160715C145")</f>
        <v>X</v>
      </c>
      <c r="J76" t="str">
        <f>RTD("tos.rtd", , "EXPIRATION_DAY", ".AAPL160715C145")</f>
        <v>2016-07-16</v>
      </c>
      <c r="K76">
        <f>RTD("tos.rtd", , "STRIKE", ".AAPL160715C145")</f>
        <v>145</v>
      </c>
      <c r="L76">
        <f>RTD("tos.rtd", , "BID", ".AAPL160715P145")</f>
        <v>33.25</v>
      </c>
      <c r="M76" t="str">
        <f>RTD("tos.rtd", , "BX", ".AAPL160715P145")</f>
        <v>X</v>
      </c>
      <c r="N76">
        <f>RTD("tos.rtd", , "ASK", ".AAPL160715P145")</f>
        <v>33.549999999999997</v>
      </c>
      <c r="O76" t="str">
        <f>RTD("tos.rtd", , "AX", ".AAPL160715P145")</f>
        <v>C</v>
      </c>
      <c r="P76">
        <f>RTD("tos.rtd", , "LAST", ".AAPL160715P145")</f>
        <v>41.85</v>
      </c>
      <c r="Q76" t="str">
        <f>RTD("tos.rtd", , "LX", ".AAPL160715P145")</f>
        <v>C</v>
      </c>
      <c r="R76">
        <f>RTD("tos.rtd", , "NET_CHANGE", ".AAPL160715P145")</f>
        <v>0</v>
      </c>
    </row>
    <row r="77" spans="3:18">
      <c r="C77">
        <f>RTD("tos.rtd", , "LAST", ".AAPL160715C150")</f>
        <v>0.08</v>
      </c>
      <c r="D77" t="str">
        <f>RTD("tos.rtd", , "LX", ".AAPL160715C150")</f>
        <v>Q</v>
      </c>
      <c r="E77">
        <f>RTD("tos.rtd", , "NET_CHANGE", ".AAPL160715C150")</f>
        <v>0.03</v>
      </c>
      <c r="F77">
        <f>RTD("tos.rtd", , "BID", ".AAPL160715C150")</f>
        <v>0.06</v>
      </c>
      <c r="G77" t="str">
        <f>RTD("tos.rtd", , "BX", ".AAPL160715C150")</f>
        <v>X</v>
      </c>
      <c r="H77">
        <f>RTD("tos.rtd", , "ASK", ".AAPL160715C150")</f>
        <v>0.09</v>
      </c>
      <c r="I77" t="str">
        <f>RTD("tos.rtd", , "AX", ".AAPL160715C150")</f>
        <v>C</v>
      </c>
      <c r="J77" t="str">
        <f>RTD("tos.rtd", , "EXPIRATION_DAY", ".AAPL160715C150")</f>
        <v>2016-07-16</v>
      </c>
      <c r="K77">
        <f>RTD("tos.rtd", , "STRIKE", ".AAPL160715C150")</f>
        <v>150</v>
      </c>
      <c r="L77">
        <f>RTD("tos.rtd", , "BID", ".AAPL160715P150")</f>
        <v>38.200000000000003</v>
      </c>
      <c r="M77" t="str">
        <f>RTD("tos.rtd", , "BX", ".AAPL160715P150")</f>
        <v>M</v>
      </c>
      <c r="N77">
        <f>RTD("tos.rtd", , "ASK", ".AAPL160715P150")</f>
        <v>38.549999999999997</v>
      </c>
      <c r="O77" t="str">
        <f>RTD("tos.rtd", , "AX", ".AAPL160715P150")</f>
        <v>M</v>
      </c>
      <c r="P77">
        <f>RTD("tos.rtd", , "LAST", ".AAPL160715P150")</f>
        <v>41.1</v>
      </c>
      <c r="Q77" t="str">
        <f>RTD("tos.rtd", , "LX", ".AAPL160715P150")</f>
        <v>X</v>
      </c>
      <c r="R77">
        <f>RTD("tos.rtd", , "NET_CHANGE", ".AAPL160715P150")</f>
        <v>0</v>
      </c>
    </row>
    <row r="78" spans="3:18">
      <c r="C78">
        <f>RTD("tos.rtd", , "LAST", ".AAPL160715C155")</f>
        <v>0.05</v>
      </c>
      <c r="D78" t="str">
        <f>RTD("tos.rtd", , "LX", ".AAPL160715C155")</f>
        <v>M</v>
      </c>
      <c r="E78">
        <f>RTD("tos.rtd", , "NET_CHANGE", ".AAPL160715C155")</f>
        <v>0.01</v>
      </c>
      <c r="F78">
        <f>RTD("tos.rtd", , "BID", ".AAPL160715C155")</f>
        <v>0.03</v>
      </c>
      <c r="G78" t="str">
        <f>RTD("tos.rtd", , "BX", ".AAPL160715C155")</f>
        <v>M</v>
      </c>
      <c r="H78">
        <f>RTD("tos.rtd", , "ASK", ".AAPL160715C155")</f>
        <v>7.0000000000000007E-2</v>
      </c>
      <c r="I78" t="str">
        <f>RTD("tos.rtd", , "AX", ".AAPL160715C155")</f>
        <v>C</v>
      </c>
      <c r="J78" t="str">
        <f>RTD("tos.rtd", , "EXPIRATION_DAY", ".AAPL160715C155")</f>
        <v>2016-07-16</v>
      </c>
      <c r="K78">
        <f>RTD("tos.rtd", , "STRIKE", ".AAPL160715C155")</f>
        <v>155</v>
      </c>
      <c r="L78">
        <f>RTD("tos.rtd", , "BID", ".AAPL160715P155")</f>
        <v>43.2</v>
      </c>
      <c r="M78" t="str">
        <f>RTD("tos.rtd", , "BX", ".AAPL160715P155")</f>
        <v>M</v>
      </c>
      <c r="N78">
        <f>RTD("tos.rtd", , "ASK", ".AAPL160715P155")</f>
        <v>43.55</v>
      </c>
      <c r="O78" t="str">
        <f>RTD("tos.rtd", , "AX", ".AAPL160715P155")</f>
        <v>C</v>
      </c>
      <c r="P78">
        <f>RTD("tos.rtd", , "LAST", ".AAPL160715P155")</f>
        <v>57.9</v>
      </c>
      <c r="Q78" t="str">
        <f>RTD("tos.rtd", , "LX", ".AAPL160715P155")</f>
        <v>C</v>
      </c>
      <c r="R78">
        <f>RTD("tos.rtd", , "NET_CHANGE", ".AAPL160715P155")</f>
        <v>0</v>
      </c>
    </row>
    <row r="79" spans="3:18">
      <c r="C79">
        <f>RTD("tos.rtd", , "LAST", ".AAPL160715C160")</f>
        <v>0.04</v>
      </c>
      <c r="D79" t="str">
        <f>RTD("tos.rtd", , "LX", ".AAPL160715C160")</f>
        <v>Z</v>
      </c>
      <c r="E79">
        <f>RTD("tos.rtd", , "NET_CHANGE", ".AAPL160715C160")</f>
        <v>0</v>
      </c>
      <c r="F79">
        <f>RTD("tos.rtd", , "BID", ".AAPL160715C160")</f>
        <v>0.02</v>
      </c>
      <c r="G79" t="str">
        <f>RTD("tos.rtd", , "BX", ".AAPL160715C160")</f>
        <v>M</v>
      </c>
      <c r="H79">
        <f>RTD("tos.rtd", , "ASK", ".AAPL160715C160")</f>
        <v>0.06</v>
      </c>
      <c r="I79" t="str">
        <f>RTD("tos.rtd", , "AX", ".AAPL160715C160")</f>
        <v>C</v>
      </c>
      <c r="J79" t="str">
        <f>RTD("tos.rtd", , "EXPIRATION_DAY", ".AAPL160715C160")</f>
        <v>2016-07-16</v>
      </c>
      <c r="K79">
        <f>RTD("tos.rtd", , "STRIKE", ".AAPL160715C160")</f>
        <v>160</v>
      </c>
      <c r="L79">
        <f>RTD("tos.rtd", , "BID", ".AAPL160715P160")</f>
        <v>48.1</v>
      </c>
      <c r="M79" t="str">
        <f>RTD("tos.rtd", , "BX", ".AAPL160715P160")</f>
        <v>M</v>
      </c>
      <c r="N79">
        <f>RTD("tos.rtd", , "ASK", ".AAPL160715P160")</f>
        <v>48.5</v>
      </c>
      <c r="O79" t="str">
        <f>RTD("tos.rtd", , "AX", ".AAPL160715P160")</f>
        <v>M</v>
      </c>
      <c r="P79">
        <f>RTD("tos.rtd", , "LAST", ".AAPL160715P160")</f>
        <v>60.43</v>
      </c>
      <c r="Q79" t="str">
        <f>RTD("tos.rtd", , "LX", ".AAPL160715P160")</f>
        <v>C</v>
      </c>
      <c r="R79">
        <f>RTD("tos.rtd", , "NET_CHANGE", ".AAPL160715P160")</f>
        <v>0</v>
      </c>
    </row>
    <row r="80" spans="3:18">
      <c r="C80">
        <f>RTD("tos.rtd", , "LAST", ".AAPL160715C165")</f>
        <v>0.06</v>
      </c>
      <c r="D80" t="str">
        <f>RTD("tos.rtd", , "LX", ".AAPL160715C165")</f>
        <v>C</v>
      </c>
      <c r="E80">
        <f>RTD("tos.rtd", , "NET_CHANGE", ".AAPL160715C165")</f>
        <v>0</v>
      </c>
      <c r="F80">
        <f>RTD("tos.rtd", , "BID", ".AAPL160715C165")</f>
        <v>0</v>
      </c>
      <c r="G80" t="str">
        <f>RTD("tos.rtd", , "BX", ".AAPL160715C165")</f>
        <v>B</v>
      </c>
      <c r="H80">
        <f>RTD("tos.rtd", , "ASK", ".AAPL160715C165")</f>
        <v>0.05</v>
      </c>
      <c r="I80" t="str">
        <f>RTD("tos.rtd", , "AX", ".AAPL160715C165")</f>
        <v>C</v>
      </c>
      <c r="J80" t="str">
        <f>RTD("tos.rtd", , "EXPIRATION_DAY", ".AAPL160715C165")</f>
        <v>2016-07-16</v>
      </c>
      <c r="K80">
        <f>RTD("tos.rtd", , "STRIKE", ".AAPL160715C165")</f>
        <v>165</v>
      </c>
      <c r="L80">
        <f>RTD("tos.rtd", , "BID", ".AAPL160715P165")</f>
        <v>53.15</v>
      </c>
      <c r="M80" t="str">
        <f>RTD("tos.rtd", , "BX", ".AAPL160715P165")</f>
        <v>M</v>
      </c>
      <c r="N80">
        <f>RTD("tos.rtd", , "ASK", ".AAPL160715P165")</f>
        <v>53.5</v>
      </c>
      <c r="O80" t="str">
        <f>RTD("tos.rtd", , "AX", ".AAPL160715P165")</f>
        <v>T</v>
      </c>
      <c r="P80">
        <f>RTD("tos.rtd", , "LAST", ".AAPL160715P165")</f>
        <v>67</v>
      </c>
      <c r="Q80" t="str">
        <f>RTD("tos.rtd", , "LX", ".AAPL160715P165")</f>
        <v>C</v>
      </c>
      <c r="R80">
        <f>RTD("tos.rtd", , "NET_CHANGE", ".AAPL160715P165")</f>
        <v>0</v>
      </c>
    </row>
    <row r="81" spans="1:18">
      <c r="C81">
        <f>RTD("tos.rtd", , "LAST", ".AAPL160715C170")</f>
        <v>0.02</v>
      </c>
      <c r="D81" t="str">
        <f>RTD("tos.rtd", , "LX", ".AAPL160715C170")</f>
        <v>X</v>
      </c>
      <c r="E81">
        <f>RTD("tos.rtd", , "NET_CHANGE", ".AAPL160715C170")</f>
        <v>0</v>
      </c>
      <c r="F81">
        <f>RTD("tos.rtd", , "BID", ".AAPL160715C170")</f>
        <v>0</v>
      </c>
      <c r="G81" t="str">
        <f>RTD("tos.rtd", , "BX", ".AAPL160715C170")</f>
        <v>B</v>
      </c>
      <c r="H81">
        <f>RTD("tos.rtd", , "ASK", ".AAPL160715C170")</f>
        <v>0.04</v>
      </c>
      <c r="I81" t="str">
        <f>RTD("tos.rtd", , "AX", ".AAPL160715C170")</f>
        <v>C</v>
      </c>
      <c r="J81" t="str">
        <f>RTD("tos.rtd", , "EXPIRATION_DAY", ".AAPL160715C170")</f>
        <v>2016-07-16</v>
      </c>
      <c r="K81">
        <f>RTD("tos.rtd", , "STRIKE", ".AAPL160715C170")</f>
        <v>170</v>
      </c>
      <c r="L81">
        <f>RTD("tos.rtd", , "BID", ".AAPL160715P170")</f>
        <v>58.15</v>
      </c>
      <c r="M81" t="str">
        <f>RTD("tos.rtd", , "BX", ".AAPL160715P170")</f>
        <v>M</v>
      </c>
      <c r="N81">
        <f>RTD("tos.rtd", , "ASK", ".AAPL160715P170")</f>
        <v>58.5</v>
      </c>
      <c r="O81" t="str">
        <f>RTD("tos.rtd", , "AX", ".AAPL160715P170")</f>
        <v>T</v>
      </c>
      <c r="P81">
        <f>RTD("tos.rtd", , "LAST", ".AAPL160715P170")</f>
        <v>59.75</v>
      </c>
      <c r="Q81" t="str">
        <f>RTD("tos.rtd", , "LX", ".AAPL160715P170")</f>
        <v>C</v>
      </c>
      <c r="R81">
        <f>RTD("tos.rtd", , "NET_CHANGE", ".AAPL160715P170")</f>
        <v>0</v>
      </c>
    </row>
    <row r="82" spans="1:18">
      <c r="C82">
        <f>RTD("tos.rtd", , "LAST", ".AAPL160715C175")</f>
        <v>0.02</v>
      </c>
      <c r="D82" t="str">
        <f>RTD("tos.rtd", , "LX", ".AAPL160715C175")</f>
        <v>C</v>
      </c>
      <c r="E82">
        <f>RTD("tos.rtd", , "NET_CHANGE", ".AAPL160715C175")</f>
        <v>0</v>
      </c>
      <c r="F82">
        <f>RTD("tos.rtd", , "BID", ".AAPL160715C175")</f>
        <v>0</v>
      </c>
      <c r="G82" t="str">
        <f>RTD("tos.rtd", , "BX", ".AAPL160715C175")</f>
        <v>B</v>
      </c>
      <c r="H82">
        <f>RTD("tos.rtd", , "ASK", ".AAPL160715C175")</f>
        <v>0.04</v>
      </c>
      <c r="I82" t="str">
        <f>RTD("tos.rtd", , "AX", ".AAPL160715C175")</f>
        <v>C</v>
      </c>
      <c r="J82" t="str">
        <f>RTD("tos.rtd", , "EXPIRATION_DAY", ".AAPL160715C175")</f>
        <v>2016-07-16</v>
      </c>
      <c r="K82">
        <f>RTD("tos.rtd", , "STRIKE", ".AAPL160715C175")</f>
        <v>175</v>
      </c>
      <c r="L82">
        <f>RTD("tos.rtd", , "BID", ".AAPL160715P175")</f>
        <v>63.15</v>
      </c>
      <c r="M82" t="str">
        <f>RTD("tos.rtd", , "BX", ".AAPL160715P175")</f>
        <v>M</v>
      </c>
      <c r="N82">
        <f>RTD("tos.rtd", , "ASK", ".AAPL160715P175")</f>
        <v>63.5</v>
      </c>
      <c r="O82" t="str">
        <f>RTD("tos.rtd", , "AX", ".AAPL160715P175")</f>
        <v>M</v>
      </c>
      <c r="P82">
        <f>RTD("tos.rtd", , "LAST", ".AAPL160715P175")</f>
        <v>59</v>
      </c>
      <c r="Q82" t="str">
        <f>RTD("tos.rtd", , "LX", ".AAPL160715P175")</f>
        <v>A</v>
      </c>
      <c r="R82">
        <f>RTD("tos.rtd", , "NET_CHANGE", ".AAPL160715P175")</f>
        <v>0</v>
      </c>
    </row>
    <row r="83" spans="1:18">
      <c r="C83">
        <f>RTD("tos.rtd", , "LAST", ".AAPL160715C180")</f>
        <v>7.0000000000000007E-2</v>
      </c>
      <c r="D83" t="str">
        <f>RTD("tos.rtd", , "LX", ".AAPL160715C180")</f>
        <v>I</v>
      </c>
      <c r="E83">
        <f>RTD("tos.rtd", , "NET_CHANGE", ".AAPL160715C180")</f>
        <v>0</v>
      </c>
      <c r="F83">
        <f>RTD("tos.rtd", , "BID", ".AAPL160715C180")</f>
        <v>0</v>
      </c>
      <c r="G83" t="str">
        <f>RTD("tos.rtd", , "BX", ".AAPL160715C180")</f>
        <v>B</v>
      </c>
      <c r="H83">
        <f>RTD("tos.rtd", , "ASK", ".AAPL160715C180")</f>
        <v>0.04</v>
      </c>
      <c r="I83" t="str">
        <f>RTD("tos.rtd", , "AX", ".AAPL160715C180")</f>
        <v>C</v>
      </c>
      <c r="J83" t="str">
        <f>RTD("tos.rtd", , "EXPIRATION_DAY", ".AAPL160715C180")</f>
        <v>2016-07-16</v>
      </c>
      <c r="K83">
        <f>RTD("tos.rtd", , "STRIKE", ".AAPL160715C180")</f>
        <v>180</v>
      </c>
      <c r="L83">
        <f>RTD("tos.rtd", , "BID", ".AAPL160715P180")</f>
        <v>68.150000000000006</v>
      </c>
      <c r="M83" t="str">
        <f>RTD("tos.rtd", , "BX", ".AAPL160715P180")</f>
        <v>M</v>
      </c>
      <c r="N83">
        <f>RTD("tos.rtd", , "ASK", ".AAPL160715P180")</f>
        <v>68.5</v>
      </c>
      <c r="O83" t="str">
        <f>RTD("tos.rtd", , "AX", ".AAPL160715P180")</f>
        <v>M</v>
      </c>
      <c r="P83">
        <f>RTD("tos.rtd", , "LAST", ".AAPL160715P180")</f>
        <v>72.25</v>
      </c>
      <c r="Q83" t="str">
        <f>RTD("tos.rtd", , "LX", ".AAPL160715P180")</f>
        <v>C</v>
      </c>
      <c r="R83">
        <f>RTD("tos.rtd", , "NET_CHANGE", ".AAPL160715P180")</f>
        <v>0</v>
      </c>
    </row>
    <row r="84" spans="1:18">
      <c r="A84" t="s">
        <v>78</v>
      </c>
    </row>
    <row r="85" spans="1:18">
      <c r="C85" t="s">
        <v>2</v>
      </c>
      <c r="D85" t="s">
        <v>3</v>
      </c>
      <c r="E85" t="s">
        <v>4</v>
      </c>
      <c r="F85" t="s">
        <v>5</v>
      </c>
      <c r="G85" t="s">
        <v>6</v>
      </c>
      <c r="H85" t="s">
        <v>7</v>
      </c>
      <c r="I85" t="s">
        <v>8</v>
      </c>
      <c r="J85" t="s">
        <v>35</v>
      </c>
      <c r="K85" t="s">
        <v>36</v>
      </c>
      <c r="L85" t="s">
        <v>5</v>
      </c>
      <c r="M85" t="s">
        <v>6</v>
      </c>
      <c r="N85" t="s">
        <v>7</v>
      </c>
      <c r="O85" t="s">
        <v>8</v>
      </c>
      <c r="P85" t="s">
        <v>2</v>
      </c>
      <c r="Q85" t="s">
        <v>3</v>
      </c>
      <c r="R85" t="s">
        <v>4</v>
      </c>
    </row>
    <row r="86" spans="1:18">
      <c r="C86">
        <f>RTD("tos.rtd", , "LAST", ".AAPL161021C50")</f>
        <v>57</v>
      </c>
      <c r="D86" t="str">
        <f>RTD("tos.rtd", , "LX", ".AAPL161021C50")</f>
        <v>I</v>
      </c>
      <c r="E86">
        <f>RTD("tos.rtd", , "NET_CHANGE", ".AAPL161021C50")</f>
        <v>0</v>
      </c>
      <c r="F86">
        <f>RTD("tos.rtd", , "BID", ".AAPL161021C50")</f>
        <v>61.95</v>
      </c>
      <c r="G86" t="str">
        <f>RTD("tos.rtd", , "BX", ".AAPL161021C50")</f>
        <v>C</v>
      </c>
      <c r="H86">
        <f>RTD("tos.rtd", , "ASK", ".AAPL161021C50")</f>
        <v>62.4</v>
      </c>
      <c r="I86" t="str">
        <f>RTD("tos.rtd", , "AX", ".AAPL161021C50")</f>
        <v>M</v>
      </c>
      <c r="J86" t="str">
        <f>RTD("tos.rtd", , "EXPIRATION_DAY", ".AAPL161021C50")</f>
        <v>2016-10-22</v>
      </c>
      <c r="K86">
        <f>RTD("tos.rtd", , "STRIKE", ".AAPL161021C50")</f>
        <v>50</v>
      </c>
      <c r="L86">
        <f>RTD("tos.rtd", , "BID", ".AAPL161021P50")</f>
        <v>0.06</v>
      </c>
      <c r="M86" t="str">
        <f>RTD("tos.rtd", , "BX", ".AAPL161021P50")</f>
        <v>Z</v>
      </c>
      <c r="N86">
        <f>RTD("tos.rtd", , "ASK", ".AAPL161021P50")</f>
        <v>0.11</v>
      </c>
      <c r="O86" t="str">
        <f>RTD("tos.rtd", , "AX", ".AAPL161021P50")</f>
        <v>C</v>
      </c>
      <c r="P86">
        <f>RTD("tos.rtd", , "LAST", ".AAPL161021P50")</f>
        <v>0.11</v>
      </c>
      <c r="Q86" t="str">
        <f>RTD("tos.rtd", , "LX", ".AAPL161021P50")</f>
        <v>N</v>
      </c>
      <c r="R86">
        <f>RTD("tos.rtd", , "NET_CHANGE", ".AAPL161021P50")</f>
        <v>0</v>
      </c>
    </row>
    <row r="87" spans="1:18">
      <c r="C87">
        <f>RTD("tos.rtd", , "LAST", ".AAPL161021C55")</f>
        <v>47.3</v>
      </c>
      <c r="D87" t="str">
        <f>RTD("tos.rtd", , "LX", ".AAPL161021C55")</f>
        <v>N</v>
      </c>
      <c r="E87">
        <f>RTD("tos.rtd", , "NET_CHANGE", ".AAPL161021C55")</f>
        <v>0</v>
      </c>
      <c r="F87">
        <f>RTD("tos.rtd", , "BID", ".AAPL161021C55")</f>
        <v>56.95</v>
      </c>
      <c r="G87" t="str">
        <f>RTD("tos.rtd", , "BX", ".AAPL161021C55")</f>
        <v>C</v>
      </c>
      <c r="H87">
        <f>RTD("tos.rtd", , "ASK", ".AAPL161021C55")</f>
        <v>57.4</v>
      </c>
      <c r="I87" t="str">
        <f>RTD("tos.rtd", , "AX", ".AAPL161021C55")</f>
        <v>M</v>
      </c>
      <c r="J87" t="str">
        <f>RTD("tos.rtd", , "EXPIRATION_DAY", ".AAPL161021C55")</f>
        <v>2016-10-22</v>
      </c>
      <c r="K87">
        <f>RTD("tos.rtd", , "STRIKE", ".AAPL161021C55")</f>
        <v>55</v>
      </c>
      <c r="L87">
        <f>RTD("tos.rtd", , "BID", ".AAPL161021P55")</f>
        <v>0.1</v>
      </c>
      <c r="M87" t="str">
        <f>RTD("tos.rtd", , "BX", ".AAPL161021P55")</f>
        <v>Z</v>
      </c>
      <c r="N87">
        <f>RTD("tos.rtd", , "ASK", ".AAPL161021P55")</f>
        <v>0.15</v>
      </c>
      <c r="O87" t="str">
        <f>RTD("tos.rtd", , "AX", ".AAPL161021P55")</f>
        <v>C</v>
      </c>
      <c r="P87">
        <f>RTD("tos.rtd", , "LAST", ".AAPL161021P55")</f>
        <v>0.13</v>
      </c>
      <c r="Q87" t="str">
        <f>RTD("tos.rtd", , "LX", ".AAPL161021P55")</f>
        <v>H</v>
      </c>
      <c r="R87">
        <f>RTD("tos.rtd", , "NET_CHANGE", ".AAPL161021P55")</f>
        <v>0</v>
      </c>
    </row>
    <row r="88" spans="1:18">
      <c r="C88">
        <f>RTD("tos.rtd", , "LAST", ".AAPL161021C60")</f>
        <v>51.8</v>
      </c>
      <c r="D88" t="str">
        <f>RTD("tos.rtd", , "LX", ".AAPL161021C60")</f>
        <v>Q</v>
      </c>
      <c r="E88">
        <f>RTD("tos.rtd", , "NET_CHANGE", ".AAPL161021C60")</f>
        <v>0</v>
      </c>
      <c r="F88">
        <f>RTD("tos.rtd", , "BID", ".AAPL161021C60")</f>
        <v>51.95</v>
      </c>
      <c r="G88" t="str">
        <f>RTD("tos.rtd", , "BX", ".AAPL161021C60")</f>
        <v>C</v>
      </c>
      <c r="H88">
        <f>RTD("tos.rtd", , "ASK", ".AAPL161021C60")</f>
        <v>52.4</v>
      </c>
      <c r="I88" t="str">
        <f>RTD("tos.rtd", , "AX", ".AAPL161021C60")</f>
        <v>M</v>
      </c>
      <c r="J88" t="str">
        <f>RTD("tos.rtd", , "EXPIRATION_DAY", ".AAPL161021C60")</f>
        <v>2016-10-22</v>
      </c>
      <c r="K88">
        <f>RTD("tos.rtd", , "STRIKE", ".AAPL161021C60")</f>
        <v>60</v>
      </c>
      <c r="L88">
        <f>RTD("tos.rtd", , "BID", ".AAPL161021P60")</f>
        <v>0.16</v>
      </c>
      <c r="M88" t="str">
        <f>RTD("tos.rtd", , "BX", ".AAPL161021P60")</f>
        <v>A</v>
      </c>
      <c r="N88">
        <f>RTD("tos.rtd", , "ASK", ".AAPL161021P60")</f>
        <v>0.21</v>
      </c>
      <c r="O88" t="str">
        <f>RTD("tos.rtd", , "AX", ".AAPL161021P60")</f>
        <v>C</v>
      </c>
      <c r="P88">
        <f>RTD("tos.rtd", , "LAST", ".AAPL161021P60")</f>
        <v>0.2</v>
      </c>
      <c r="Q88" t="str">
        <f>RTD("tos.rtd", , "LX", ".AAPL161021P60")</f>
        <v>A</v>
      </c>
      <c r="R88">
        <f>RTD("tos.rtd", , "NET_CHANGE", ".AAPL161021P60")</f>
        <v>-0.03</v>
      </c>
    </row>
    <row r="89" spans="1:18">
      <c r="C89">
        <f>RTD("tos.rtd", , "LAST", ".AAPL161021C65")</f>
        <v>40.549999999999997</v>
      </c>
      <c r="D89" t="str">
        <f>RTD("tos.rtd", , "LX", ".AAPL161021C65")</f>
        <v>H</v>
      </c>
      <c r="E89">
        <f>RTD("tos.rtd", , "NET_CHANGE", ".AAPL161021C65")</f>
        <v>0</v>
      </c>
      <c r="F89">
        <f>RTD("tos.rtd", , "BID", ".AAPL161021C65")</f>
        <v>47</v>
      </c>
      <c r="G89" t="str">
        <f>RTD("tos.rtd", , "BX", ".AAPL161021C65")</f>
        <v>C</v>
      </c>
      <c r="H89">
        <f>RTD("tos.rtd", , "ASK", ".AAPL161021C65")</f>
        <v>47.4</v>
      </c>
      <c r="I89" t="str">
        <f>RTD("tos.rtd", , "AX", ".AAPL161021C65")</f>
        <v>M</v>
      </c>
      <c r="J89" t="str">
        <f>RTD("tos.rtd", , "EXPIRATION_DAY", ".AAPL161021C65")</f>
        <v>2016-10-22</v>
      </c>
      <c r="K89">
        <f>RTD("tos.rtd", , "STRIKE", ".AAPL161021C65")</f>
        <v>65</v>
      </c>
      <c r="L89">
        <f>RTD("tos.rtd", , "BID", ".AAPL161021P65")</f>
        <v>0.25</v>
      </c>
      <c r="M89" t="str">
        <f>RTD("tos.rtd", , "BX", ".AAPL161021P65")</f>
        <v>C</v>
      </c>
      <c r="N89">
        <f>RTD("tos.rtd", , "ASK", ".AAPL161021P65")</f>
        <v>0.28999999999999998</v>
      </c>
      <c r="O89" t="str">
        <f>RTD("tos.rtd", , "AX", ".AAPL161021P65")</f>
        <v>C</v>
      </c>
      <c r="P89">
        <f>RTD("tos.rtd", , "LAST", ".AAPL161021P65")</f>
        <v>0.27</v>
      </c>
      <c r="Q89" t="str">
        <f>RTD("tos.rtd", , "LX", ".AAPL161021P65")</f>
        <v>Z</v>
      </c>
      <c r="R89">
        <f>RTD("tos.rtd", , "NET_CHANGE", ".AAPL161021P65")</f>
        <v>-0.04</v>
      </c>
    </row>
    <row r="90" spans="1:18">
      <c r="C90">
        <f>RTD("tos.rtd", , "LAST", ".AAPL161021C70")</f>
        <v>40.35</v>
      </c>
      <c r="D90" t="str">
        <f>RTD("tos.rtd", , "LX", ".AAPL161021C70")</f>
        <v>X</v>
      </c>
      <c r="E90">
        <f>RTD("tos.rtd", , "NET_CHANGE", ".AAPL161021C70")</f>
        <v>0</v>
      </c>
      <c r="F90">
        <f>RTD("tos.rtd", , "BID", ".AAPL161021C70")</f>
        <v>42.05</v>
      </c>
      <c r="G90" t="str">
        <f>RTD("tos.rtd", , "BX", ".AAPL161021C70")</f>
        <v>C</v>
      </c>
      <c r="H90">
        <f>RTD("tos.rtd", , "ASK", ".AAPL161021C70")</f>
        <v>42.45</v>
      </c>
      <c r="I90" t="str">
        <f>RTD("tos.rtd", , "AX", ".AAPL161021C70")</f>
        <v>C</v>
      </c>
      <c r="J90" t="str">
        <f>RTD("tos.rtd", , "EXPIRATION_DAY", ".AAPL161021C70")</f>
        <v>2016-10-22</v>
      </c>
      <c r="K90">
        <f>RTD("tos.rtd", , "STRIKE", ".AAPL161021C70")</f>
        <v>70</v>
      </c>
      <c r="L90">
        <f>RTD("tos.rtd", , "BID", ".AAPL161021P70")</f>
        <v>0.37</v>
      </c>
      <c r="M90" t="str">
        <f>RTD("tos.rtd", , "BX", ".AAPL161021P70")</f>
        <v>X</v>
      </c>
      <c r="N90">
        <f>RTD("tos.rtd", , "ASK", ".AAPL161021P70")</f>
        <v>0.41</v>
      </c>
      <c r="O90" t="str">
        <f>RTD("tos.rtd", , "AX", ".AAPL161021P70")</f>
        <v>C</v>
      </c>
      <c r="P90">
        <f>RTD("tos.rtd", , "LAST", ".AAPL161021P70")</f>
        <v>0.4</v>
      </c>
      <c r="Q90" t="str">
        <f>RTD("tos.rtd", , "LX", ".AAPL161021P70")</f>
        <v>X</v>
      </c>
      <c r="R90">
        <f>RTD("tos.rtd", , "NET_CHANGE", ".AAPL161021P70")</f>
        <v>-0.05</v>
      </c>
    </row>
    <row r="91" spans="1:18">
      <c r="C91">
        <f>RTD("tos.rtd", , "LAST", ".AAPL161021C75")</f>
        <v>37.33</v>
      </c>
      <c r="D91" t="str">
        <f>RTD("tos.rtd", , "LX", ".AAPL161021C75")</f>
        <v>C</v>
      </c>
      <c r="E91">
        <f>RTD("tos.rtd", , "NET_CHANGE", ".AAPL161021C75")</f>
        <v>0.63</v>
      </c>
      <c r="F91">
        <f>RTD("tos.rtd", , "BID", ".AAPL161021C75")</f>
        <v>37.15</v>
      </c>
      <c r="G91" t="str">
        <f>RTD("tos.rtd", , "BX", ".AAPL161021C75")</f>
        <v>C</v>
      </c>
      <c r="H91">
        <f>RTD("tos.rtd", , "ASK", ".AAPL161021C75")</f>
        <v>37.549999999999997</v>
      </c>
      <c r="I91" t="str">
        <f>RTD("tos.rtd", , "AX", ".AAPL161021C75")</f>
        <v>X</v>
      </c>
      <c r="J91" t="str">
        <f>RTD("tos.rtd", , "EXPIRATION_DAY", ".AAPL161021C75")</f>
        <v>2016-10-22</v>
      </c>
      <c r="K91">
        <f>RTD("tos.rtd", , "STRIKE", ".AAPL161021C75")</f>
        <v>75</v>
      </c>
      <c r="L91">
        <f>RTD("tos.rtd", , "BID", ".AAPL161021P75")</f>
        <v>0.55000000000000004</v>
      </c>
      <c r="M91" t="str">
        <f>RTD("tos.rtd", , "BX", ".AAPL161021P75")</f>
        <v>X</v>
      </c>
      <c r="N91">
        <f>RTD("tos.rtd", , "ASK", ".AAPL161021P75")</f>
        <v>0.57999999999999996</v>
      </c>
      <c r="O91" t="str">
        <f>RTD("tos.rtd", , "AX", ".AAPL161021P75")</f>
        <v>C</v>
      </c>
      <c r="P91">
        <f>RTD("tos.rtd", , "LAST", ".AAPL161021P75")</f>
        <v>0.6</v>
      </c>
      <c r="Q91" t="str">
        <f>RTD("tos.rtd", , "LX", ".AAPL161021P75")</f>
        <v>C</v>
      </c>
      <c r="R91">
        <f>RTD("tos.rtd", , "NET_CHANGE", ".AAPL161021P75")</f>
        <v>-0.1</v>
      </c>
    </row>
    <row r="92" spans="1:18">
      <c r="C92">
        <f>RTD("tos.rtd", , "LAST", ".AAPL161021C80")</f>
        <v>32.6</v>
      </c>
      <c r="D92" t="str">
        <f>RTD("tos.rtd", , "LX", ".AAPL161021C80")</f>
        <v>Q</v>
      </c>
      <c r="E92">
        <f>RTD("tos.rtd", , "NET_CHANGE", ".AAPL161021C80")</f>
        <v>2.15</v>
      </c>
      <c r="F92">
        <f>RTD("tos.rtd", , "BID", ".AAPL161021C80")</f>
        <v>32.35</v>
      </c>
      <c r="G92" t="str">
        <f>RTD("tos.rtd", , "BX", ".AAPL161021C80")</f>
        <v>C</v>
      </c>
      <c r="H92">
        <f>RTD("tos.rtd", , "ASK", ".AAPL161021C80")</f>
        <v>32.700000000000003</v>
      </c>
      <c r="I92" t="str">
        <f>RTD("tos.rtd", , "AX", ".AAPL161021C80")</f>
        <v>A</v>
      </c>
      <c r="J92" t="str">
        <f>RTD("tos.rtd", , "EXPIRATION_DAY", ".AAPL161021C80")</f>
        <v>2016-10-22</v>
      </c>
      <c r="K92">
        <f>RTD("tos.rtd", , "STRIKE", ".AAPL161021C80")</f>
        <v>80</v>
      </c>
      <c r="L92">
        <f>RTD("tos.rtd", , "BID", ".AAPL161021P80")</f>
        <v>0.83</v>
      </c>
      <c r="M92" t="str">
        <f>RTD("tos.rtd", , "BX", ".AAPL161021P80")</f>
        <v>Q</v>
      </c>
      <c r="N92">
        <f>RTD("tos.rtd", , "ASK", ".AAPL161021P80")</f>
        <v>0.85</v>
      </c>
      <c r="O92" t="str">
        <f>RTD("tos.rtd", , "AX", ".AAPL161021P80")</f>
        <v>C</v>
      </c>
      <c r="P92">
        <f>RTD("tos.rtd", , "LAST", ".AAPL161021P80")</f>
        <v>0.85</v>
      </c>
      <c r="Q92" t="str">
        <f>RTD("tos.rtd", , "LX", ".AAPL161021P80")</f>
        <v>M</v>
      </c>
      <c r="R92">
        <f>RTD("tos.rtd", , "NET_CHANGE", ".AAPL161021P80")</f>
        <v>-0.08</v>
      </c>
    </row>
    <row r="93" spans="1:18">
      <c r="C93">
        <f>RTD("tos.rtd", , "LAST", ".AAPL161021C85")</f>
        <v>28</v>
      </c>
      <c r="D93" t="str">
        <f>RTD("tos.rtd", , "LX", ".AAPL161021C85")</f>
        <v>N</v>
      </c>
      <c r="E93">
        <f>RTD("tos.rtd", , "NET_CHANGE", ".AAPL161021C85")</f>
        <v>2.8</v>
      </c>
      <c r="F93">
        <f>RTD("tos.rtd", , "BID", ".AAPL161021C85")</f>
        <v>27.7</v>
      </c>
      <c r="G93" t="str">
        <f>RTD("tos.rtd", , "BX", ".AAPL161021C85")</f>
        <v>M</v>
      </c>
      <c r="H93">
        <f>RTD("tos.rtd", , "ASK", ".AAPL161021C85")</f>
        <v>28.05</v>
      </c>
      <c r="I93" t="str">
        <f>RTD("tos.rtd", , "AX", ".AAPL161021C85")</f>
        <v>A</v>
      </c>
      <c r="J93" t="str">
        <f>RTD("tos.rtd", , "EXPIRATION_DAY", ".AAPL161021C85")</f>
        <v>2016-10-22</v>
      </c>
      <c r="K93">
        <f>RTD("tos.rtd", , "STRIKE", ".AAPL161021C85")</f>
        <v>85</v>
      </c>
      <c r="L93">
        <f>RTD("tos.rtd", , "BID", ".AAPL161021P85")</f>
        <v>1.2</v>
      </c>
      <c r="M93" t="str">
        <f>RTD("tos.rtd", , "BX", ".AAPL161021P85")</f>
        <v>Z</v>
      </c>
      <c r="N93">
        <f>RTD("tos.rtd", , "ASK", ".AAPL161021P85")</f>
        <v>1.23</v>
      </c>
      <c r="O93" t="str">
        <f>RTD("tos.rtd", , "AX", ".AAPL161021P85")</f>
        <v>Z</v>
      </c>
      <c r="P93">
        <f>RTD("tos.rtd", , "LAST", ".AAPL161021P85")</f>
        <v>1.23</v>
      </c>
      <c r="Q93" t="str">
        <f>RTD("tos.rtd", , "LX", ".AAPL161021P85")</f>
        <v>M</v>
      </c>
      <c r="R93">
        <f>RTD("tos.rtd", , "NET_CHANGE", ".AAPL161021P85")</f>
        <v>-0.27</v>
      </c>
    </row>
    <row r="94" spans="1:18">
      <c r="C94">
        <f>RTD("tos.rtd", , "LAST", ".AAPL161021C87.5")</f>
        <v>25.54</v>
      </c>
      <c r="D94" t="str">
        <f>RTD("tos.rtd", , "LX", ".AAPL161021C87.5")</f>
        <v>C</v>
      </c>
      <c r="E94">
        <f>RTD("tos.rtd", , "NET_CHANGE", ".AAPL161021C87.5")</f>
        <v>1.65</v>
      </c>
      <c r="F94">
        <f>RTD("tos.rtd", , "BID", ".AAPL161021C87.5")</f>
        <v>25.5</v>
      </c>
      <c r="G94" t="str">
        <f>RTD("tos.rtd", , "BX", ".AAPL161021C87.5")</f>
        <v>X</v>
      </c>
      <c r="H94">
        <f>RTD("tos.rtd", , "ASK", ".AAPL161021C87.5")</f>
        <v>25.75</v>
      </c>
      <c r="I94" t="str">
        <f>RTD("tos.rtd", , "AX", ".AAPL161021C87.5")</f>
        <v>C</v>
      </c>
      <c r="J94" t="str">
        <f>RTD("tos.rtd", , "EXPIRATION_DAY", ".AAPL161021C87.5")</f>
        <v>2016-10-22</v>
      </c>
      <c r="K94">
        <f>RTD("tos.rtd", , "STRIKE", ".AAPL161021C87.5")</f>
        <v>87.5</v>
      </c>
      <c r="L94">
        <f>RTD("tos.rtd", , "BID", ".AAPL161021P87.5")</f>
        <v>1.45</v>
      </c>
      <c r="M94" t="str">
        <f>RTD("tos.rtd", , "BX", ".AAPL161021P87.5")</f>
        <v>C</v>
      </c>
      <c r="N94">
        <f>RTD("tos.rtd", , "ASK", ".AAPL161021P87.5")</f>
        <v>1.49</v>
      </c>
      <c r="O94" t="str">
        <f>RTD("tos.rtd", , "AX", ".AAPL161021P87.5")</f>
        <v>Z</v>
      </c>
      <c r="P94">
        <f>RTD("tos.rtd", , "LAST", ".AAPL161021P87.5")</f>
        <v>1.48</v>
      </c>
      <c r="Q94" t="str">
        <f>RTD("tos.rtd", , "LX", ".AAPL161021P87.5")</f>
        <v>Q</v>
      </c>
      <c r="R94">
        <f>RTD("tos.rtd", , "NET_CHANGE", ".AAPL161021P87.5")</f>
        <v>-0.31</v>
      </c>
    </row>
    <row r="95" spans="1:18">
      <c r="C95">
        <f>RTD("tos.rtd", , "LAST", ".AAPL161021C90")</f>
        <v>23.5</v>
      </c>
      <c r="D95" t="str">
        <f>RTD("tos.rtd", , "LX", ".AAPL161021C90")</f>
        <v>Z</v>
      </c>
      <c r="E95">
        <f>RTD("tos.rtd", , "NET_CHANGE", ".AAPL161021C90")</f>
        <v>1.6</v>
      </c>
      <c r="F95">
        <f>RTD("tos.rtd", , "BID", ".AAPL161021C90")</f>
        <v>23.3</v>
      </c>
      <c r="G95" t="str">
        <f>RTD("tos.rtd", , "BX", ".AAPL161021C90")</f>
        <v>C</v>
      </c>
      <c r="H95">
        <f>RTD("tos.rtd", , "ASK", ".AAPL161021C90")</f>
        <v>23.55</v>
      </c>
      <c r="I95" t="str">
        <f>RTD("tos.rtd", , "AX", ".AAPL161021C90")</f>
        <v>C</v>
      </c>
      <c r="J95" t="str">
        <f>RTD("tos.rtd", , "EXPIRATION_DAY", ".AAPL161021C90")</f>
        <v>2016-10-22</v>
      </c>
      <c r="K95">
        <f>RTD("tos.rtd", , "STRIKE", ".AAPL161021C90")</f>
        <v>90</v>
      </c>
      <c r="L95">
        <f>RTD("tos.rtd", , "BID", ".AAPL161021P90")</f>
        <v>1.77</v>
      </c>
      <c r="M95" t="str">
        <f>RTD("tos.rtd", , "BX", ".AAPL161021P90")</f>
        <v>Z</v>
      </c>
      <c r="N95">
        <f>RTD("tos.rtd", , "ASK", ".AAPL161021P90")</f>
        <v>1.79</v>
      </c>
      <c r="O95" t="str">
        <f>RTD("tos.rtd", , "AX", ".AAPL161021P90")</f>
        <v>Z</v>
      </c>
      <c r="P95">
        <f>RTD("tos.rtd", , "LAST", ".AAPL161021P90")</f>
        <v>1.78</v>
      </c>
      <c r="Q95" t="str">
        <f>RTD("tos.rtd", , "LX", ".AAPL161021P90")</f>
        <v>X</v>
      </c>
      <c r="R95">
        <f>RTD("tos.rtd", , "NET_CHANGE", ".AAPL161021P90")</f>
        <v>-0.26</v>
      </c>
    </row>
    <row r="96" spans="1:18">
      <c r="C96">
        <f>RTD("tos.rtd", , "LAST", ".AAPL161021C92.5")</f>
        <v>21.35</v>
      </c>
      <c r="D96" t="str">
        <f>RTD("tos.rtd", , "LX", ".AAPL161021C92.5")</f>
        <v>N</v>
      </c>
      <c r="E96">
        <f>RTD("tos.rtd", , "NET_CHANGE", ".AAPL161021C92.5")</f>
        <v>1.57</v>
      </c>
      <c r="F96">
        <f>RTD("tos.rtd", , "BID", ".AAPL161021C92.5")</f>
        <v>21.15</v>
      </c>
      <c r="G96" t="str">
        <f>RTD("tos.rtd", , "BX", ".AAPL161021C92.5")</f>
        <v>X</v>
      </c>
      <c r="H96">
        <f>RTD("tos.rtd", , "ASK", ".AAPL161021C92.5")</f>
        <v>21.4</v>
      </c>
      <c r="I96" t="str">
        <f>RTD("tos.rtd", , "AX", ".AAPL161021C92.5")</f>
        <v>C</v>
      </c>
      <c r="J96" t="str">
        <f>RTD("tos.rtd", , "EXPIRATION_DAY", ".AAPL161021C92.5")</f>
        <v>2016-10-22</v>
      </c>
      <c r="K96">
        <f>RTD("tos.rtd", , "STRIKE", ".AAPL161021C92.5")</f>
        <v>92.5</v>
      </c>
      <c r="L96">
        <f>RTD("tos.rtd", , "BID", ".AAPL161021P92.5")</f>
        <v>2.13</v>
      </c>
      <c r="M96" t="str">
        <f>RTD("tos.rtd", , "BX", ".AAPL161021P92.5")</f>
        <v>X</v>
      </c>
      <c r="N96">
        <f>RTD("tos.rtd", , "ASK", ".AAPL161021P92.5")</f>
        <v>2.1800000000000002</v>
      </c>
      <c r="O96" t="str">
        <f>RTD("tos.rtd", , "AX", ".AAPL161021P92.5")</f>
        <v>Z</v>
      </c>
      <c r="P96">
        <f>RTD("tos.rtd", , "LAST", ".AAPL161021P92.5")</f>
        <v>2.15</v>
      </c>
      <c r="Q96" t="str">
        <f>RTD("tos.rtd", , "LX", ".AAPL161021P92.5")</f>
        <v>C</v>
      </c>
      <c r="R96">
        <f>RTD("tos.rtd", , "NET_CHANGE", ".AAPL161021P92.5")</f>
        <v>-0.33</v>
      </c>
    </row>
    <row r="97" spans="3:18">
      <c r="C97">
        <f>RTD("tos.rtd", , "LAST", ".AAPL161021C95")</f>
        <v>19.2</v>
      </c>
      <c r="D97" t="str">
        <f>RTD("tos.rtd", , "LX", ".AAPL161021C95")</f>
        <v>N</v>
      </c>
      <c r="E97">
        <f>RTD("tos.rtd", , "NET_CHANGE", ".AAPL161021C95")</f>
        <v>1.7</v>
      </c>
      <c r="F97">
        <f>RTD("tos.rtd", , "BID", ".AAPL161021C95")</f>
        <v>19.100000000000001</v>
      </c>
      <c r="G97" t="str">
        <f>RTD("tos.rtd", , "BX", ".AAPL161021C95")</f>
        <v>C</v>
      </c>
      <c r="H97">
        <f>RTD("tos.rtd", , "ASK", ".AAPL161021C95")</f>
        <v>19.3</v>
      </c>
      <c r="I97" t="str">
        <f>RTD("tos.rtd", , "AX", ".AAPL161021C95")</f>
        <v>C</v>
      </c>
      <c r="J97" t="str">
        <f>RTD("tos.rtd", , "EXPIRATION_DAY", ".AAPL161021C95")</f>
        <v>2016-10-22</v>
      </c>
      <c r="K97">
        <f>RTD("tos.rtd", , "STRIKE", ".AAPL161021C95")</f>
        <v>95</v>
      </c>
      <c r="L97">
        <f>RTD("tos.rtd", , "BID", ".AAPL161021P95")</f>
        <v>2.58</v>
      </c>
      <c r="M97" t="str">
        <f>RTD("tos.rtd", , "BX", ".AAPL161021P95")</f>
        <v>C</v>
      </c>
      <c r="N97">
        <f>RTD("tos.rtd", , "ASK", ".AAPL161021P95")</f>
        <v>2.63</v>
      </c>
      <c r="O97" t="str">
        <f>RTD("tos.rtd", , "AX", ".AAPL161021P95")</f>
        <v>Z</v>
      </c>
      <c r="P97">
        <f>RTD("tos.rtd", , "LAST", ".AAPL161021P95")</f>
        <v>2.6</v>
      </c>
      <c r="Q97" t="str">
        <f>RTD("tos.rtd", , "LX", ".AAPL161021P95")</f>
        <v>I</v>
      </c>
      <c r="R97">
        <f>RTD("tos.rtd", , "NET_CHANGE", ".AAPL161021P95")</f>
        <v>-0.4</v>
      </c>
    </row>
    <row r="98" spans="3:18">
      <c r="C98">
        <f>RTD("tos.rtd", , "LAST", ".AAPL161021C97.5")</f>
        <v>17.170000000000002</v>
      </c>
      <c r="D98" t="str">
        <f>RTD("tos.rtd", , "LX", ".AAPL161021C97.5")</f>
        <v>X</v>
      </c>
      <c r="E98">
        <f>RTD("tos.rtd", , "NET_CHANGE", ".AAPL161021C97.5")</f>
        <v>1.37</v>
      </c>
      <c r="F98">
        <f>RTD("tos.rtd", , "BID", ".AAPL161021C97.5")</f>
        <v>17.100000000000001</v>
      </c>
      <c r="G98" t="str">
        <f>RTD("tos.rtd", , "BX", ".AAPL161021C97.5")</f>
        <v>C</v>
      </c>
      <c r="H98">
        <f>RTD("tos.rtd", , "ASK", ".AAPL161021C97.5")</f>
        <v>17.3</v>
      </c>
      <c r="I98" t="str">
        <f>RTD("tos.rtd", , "AX", ".AAPL161021C97.5")</f>
        <v>C</v>
      </c>
      <c r="J98" t="str">
        <f>RTD("tos.rtd", , "EXPIRATION_DAY", ".AAPL161021C97.5")</f>
        <v>2016-10-22</v>
      </c>
      <c r="K98">
        <f>RTD("tos.rtd", , "STRIKE", ".AAPL161021C97.5")</f>
        <v>97.5</v>
      </c>
      <c r="L98">
        <f>RTD("tos.rtd", , "BID", ".AAPL161021P97.5")</f>
        <v>3.1</v>
      </c>
      <c r="M98" t="str">
        <f>RTD("tos.rtd", , "BX", ".AAPL161021P97.5")</f>
        <v>C</v>
      </c>
      <c r="N98">
        <f>RTD("tos.rtd", , "ASK", ".AAPL161021P97.5")</f>
        <v>3.2</v>
      </c>
      <c r="O98" t="str">
        <f>RTD("tos.rtd", , "AX", ".AAPL161021P97.5")</f>
        <v>C</v>
      </c>
      <c r="P98">
        <f>RTD("tos.rtd", , "LAST", ".AAPL161021P97.5")</f>
        <v>3.15</v>
      </c>
      <c r="Q98" t="str">
        <f>RTD("tos.rtd", , "LX", ".AAPL161021P97.5")</f>
        <v>H</v>
      </c>
      <c r="R98">
        <f>RTD("tos.rtd", , "NET_CHANGE", ".AAPL161021P97.5")</f>
        <v>-0.57999999999999996</v>
      </c>
    </row>
    <row r="99" spans="3:18">
      <c r="C99">
        <f>RTD("tos.rtd", , "LAST", ".AAPL161021C100")</f>
        <v>15.35</v>
      </c>
      <c r="D99" t="str">
        <f>RTD("tos.rtd", , "LX", ".AAPL161021C100")</f>
        <v>X</v>
      </c>
      <c r="E99">
        <f>RTD("tos.rtd", , "NET_CHANGE", ".AAPL161021C100")</f>
        <v>1.3</v>
      </c>
      <c r="F99">
        <f>RTD("tos.rtd", , "BID", ".AAPL161021C100")</f>
        <v>15.25</v>
      </c>
      <c r="G99" t="str">
        <f>RTD("tos.rtd", , "BX", ".AAPL161021C100")</f>
        <v>X</v>
      </c>
      <c r="H99">
        <f>RTD("tos.rtd", , "ASK", ".AAPL161021C100")</f>
        <v>15.45</v>
      </c>
      <c r="I99" t="str">
        <f>RTD("tos.rtd", , "AX", ".AAPL161021C100")</f>
        <v>X</v>
      </c>
      <c r="J99" t="str">
        <f>RTD("tos.rtd", , "EXPIRATION_DAY", ".AAPL161021C100")</f>
        <v>2016-10-22</v>
      </c>
      <c r="K99">
        <f>RTD("tos.rtd", , "STRIKE", ".AAPL161021C100")</f>
        <v>100</v>
      </c>
      <c r="L99">
        <f>RTD("tos.rtd", , "BID", ".AAPL161021P100")</f>
        <v>3.75</v>
      </c>
      <c r="M99" t="str">
        <f>RTD("tos.rtd", , "BX", ".AAPL161021P100")</f>
        <v>Z</v>
      </c>
      <c r="N99">
        <f>RTD("tos.rtd", , "ASK", ".AAPL161021P100")</f>
        <v>3.8</v>
      </c>
      <c r="O99" t="str">
        <f>RTD("tos.rtd", , "AX", ".AAPL161021P100")</f>
        <v>C</v>
      </c>
      <c r="P99">
        <f>RTD("tos.rtd", , "LAST", ".AAPL161021P100")</f>
        <v>3.85</v>
      </c>
      <c r="Q99" t="str">
        <f>RTD("tos.rtd", , "LX", ".AAPL161021P100")</f>
        <v>Z</v>
      </c>
      <c r="R99">
        <f>RTD("tos.rtd", , "NET_CHANGE", ".AAPL161021P100")</f>
        <v>-0.4</v>
      </c>
    </row>
    <row r="100" spans="3:18">
      <c r="C100">
        <f>RTD("tos.rtd", , "LAST", ".AAPL161021C105")</f>
        <v>11.9</v>
      </c>
      <c r="D100" t="str">
        <f>RTD("tos.rtd", , "LX", ".AAPL161021C105")</f>
        <v>B</v>
      </c>
      <c r="E100">
        <f>RTD("tos.rtd", , "NET_CHANGE", ".AAPL161021C105")</f>
        <v>1.1000000000000001</v>
      </c>
      <c r="F100">
        <f>RTD("tos.rtd", , "BID", ".AAPL161021C105")</f>
        <v>11.85</v>
      </c>
      <c r="G100" t="str">
        <f>RTD("tos.rtd", , "BX", ".AAPL161021C105")</f>
        <v>X</v>
      </c>
      <c r="H100">
        <f>RTD("tos.rtd", , "ASK", ".AAPL161021C105")</f>
        <v>11.95</v>
      </c>
      <c r="I100" t="str">
        <f>RTD("tos.rtd", , "AX", ".AAPL161021C105")</f>
        <v>C</v>
      </c>
      <c r="J100" t="str">
        <f>RTD("tos.rtd", , "EXPIRATION_DAY", ".AAPL161021C105")</f>
        <v>2016-10-22</v>
      </c>
      <c r="K100">
        <f>RTD("tos.rtd", , "STRIKE", ".AAPL161021C105")</f>
        <v>105</v>
      </c>
      <c r="L100">
        <f>RTD("tos.rtd", , "BID", ".AAPL161021P105")</f>
        <v>5.3</v>
      </c>
      <c r="M100" t="str">
        <f>RTD("tos.rtd", , "BX", ".AAPL161021P105")</f>
        <v>C</v>
      </c>
      <c r="N100">
        <f>RTD("tos.rtd", , "ASK", ".AAPL161021P105")</f>
        <v>5.4</v>
      </c>
      <c r="O100" t="str">
        <f>RTD("tos.rtd", , "AX", ".AAPL161021P105")</f>
        <v>C</v>
      </c>
      <c r="P100">
        <f>RTD("tos.rtd", , "LAST", ".AAPL161021P105")</f>
        <v>5.35</v>
      </c>
      <c r="Q100" t="str">
        <f>RTD("tos.rtd", , "LX", ".AAPL161021P105")</f>
        <v>Z</v>
      </c>
      <c r="R100">
        <f>RTD("tos.rtd", , "NET_CHANGE", ".AAPL161021P105")</f>
        <v>-0.66</v>
      </c>
    </row>
    <row r="101" spans="3:18">
      <c r="C101">
        <f>RTD("tos.rtd", , "LAST", ".AAPL161021C110")</f>
        <v>8.9</v>
      </c>
      <c r="D101" t="str">
        <f>RTD("tos.rtd", , "LX", ".AAPL161021C110")</f>
        <v>B</v>
      </c>
      <c r="E101">
        <f>RTD("tos.rtd", , "NET_CHANGE", ".AAPL161021C110")</f>
        <v>0.85</v>
      </c>
      <c r="F101">
        <f>RTD("tos.rtd", , "BID", ".AAPL161021C110")</f>
        <v>8.85</v>
      </c>
      <c r="G101" t="str">
        <f>RTD("tos.rtd", , "BX", ".AAPL161021C110")</f>
        <v>C</v>
      </c>
      <c r="H101">
        <f>RTD("tos.rtd", , "ASK", ".AAPL161021C110")</f>
        <v>9</v>
      </c>
      <c r="I101" t="str">
        <f>RTD("tos.rtd", , "AX", ".AAPL161021C110")</f>
        <v>C</v>
      </c>
      <c r="J101" t="str">
        <f>RTD("tos.rtd", , "EXPIRATION_DAY", ".AAPL161021C110")</f>
        <v>2016-10-22</v>
      </c>
      <c r="K101">
        <f>RTD("tos.rtd", , "STRIKE", ".AAPL161021C110")</f>
        <v>110</v>
      </c>
      <c r="L101">
        <f>RTD("tos.rtd", , "BID", ".AAPL161021P110")</f>
        <v>7.3</v>
      </c>
      <c r="M101" t="str">
        <f>RTD("tos.rtd", , "BX", ".AAPL161021P110")</f>
        <v>C</v>
      </c>
      <c r="N101">
        <f>RTD("tos.rtd", , "ASK", ".AAPL161021P110")</f>
        <v>7.4</v>
      </c>
      <c r="O101" t="str">
        <f>RTD("tos.rtd", , "AX", ".AAPL161021P110")</f>
        <v>C</v>
      </c>
      <c r="P101">
        <f>RTD("tos.rtd", , "LAST", ".AAPL161021P110")</f>
        <v>7.35</v>
      </c>
      <c r="Q101" t="str">
        <f>RTD("tos.rtd", , "LX", ".AAPL161021P110")</f>
        <v>A</v>
      </c>
      <c r="R101">
        <f>RTD("tos.rtd", , "NET_CHANGE", ".AAPL161021P110")</f>
        <v>-0.9</v>
      </c>
    </row>
    <row r="102" spans="3:18">
      <c r="C102">
        <f>RTD("tos.rtd", , "LAST", ".AAPL161021C115")</f>
        <v>6.47</v>
      </c>
      <c r="D102" t="str">
        <f>RTD("tos.rtd", , "LX", ".AAPL161021C115")</f>
        <v>X</v>
      </c>
      <c r="E102">
        <f>RTD("tos.rtd", , "NET_CHANGE", ".AAPL161021C115")</f>
        <v>0.72</v>
      </c>
      <c r="F102">
        <f>RTD("tos.rtd", , "BID", ".AAPL161021C115")</f>
        <v>6.4</v>
      </c>
      <c r="G102" t="str">
        <f>RTD("tos.rtd", , "BX", ".AAPL161021C115")</f>
        <v>C</v>
      </c>
      <c r="H102">
        <f>RTD("tos.rtd", , "ASK", ".AAPL161021C115")</f>
        <v>6.5</v>
      </c>
      <c r="I102" t="str">
        <f>RTD("tos.rtd", , "AX", ".AAPL161021C115")</f>
        <v>Z</v>
      </c>
      <c r="J102" t="str">
        <f>RTD("tos.rtd", , "EXPIRATION_DAY", ".AAPL161021C115")</f>
        <v>2016-10-22</v>
      </c>
      <c r="K102">
        <f>RTD("tos.rtd", , "STRIKE", ".AAPL161021C115")</f>
        <v>115</v>
      </c>
      <c r="L102">
        <f>RTD("tos.rtd", , "BID", ".AAPL161021P115")</f>
        <v>9.85</v>
      </c>
      <c r="M102" t="str">
        <f>RTD("tos.rtd", , "BX", ".AAPL161021P115")</f>
        <v>C</v>
      </c>
      <c r="N102">
        <f>RTD("tos.rtd", , "ASK", ".AAPL161021P115")</f>
        <v>10</v>
      </c>
      <c r="O102" t="str">
        <f>RTD("tos.rtd", , "AX", ".AAPL161021P115")</f>
        <v>C</v>
      </c>
      <c r="P102">
        <f>RTD("tos.rtd", , "LAST", ".AAPL161021P115")</f>
        <v>9.9</v>
      </c>
      <c r="Q102" t="str">
        <f>RTD("tos.rtd", , "LX", ".AAPL161021P115")</f>
        <v>Q</v>
      </c>
      <c r="R102">
        <f>RTD("tos.rtd", , "NET_CHANGE", ".AAPL161021P115")</f>
        <v>-1.1100000000000001</v>
      </c>
    </row>
    <row r="103" spans="3:18">
      <c r="C103">
        <f>RTD("tos.rtd", , "LAST", ".AAPL161021C120")</f>
        <v>4.5</v>
      </c>
      <c r="D103" t="str">
        <f>RTD("tos.rtd", , "LX", ".AAPL161021C120")</f>
        <v>Z</v>
      </c>
      <c r="E103">
        <f>RTD("tos.rtd", , "NET_CHANGE", ".AAPL161021C120")</f>
        <v>0.5</v>
      </c>
      <c r="F103">
        <f>RTD("tos.rtd", , "BID", ".AAPL161021C120")</f>
        <v>4.45</v>
      </c>
      <c r="G103" t="str">
        <f>RTD("tos.rtd", , "BX", ".AAPL161021C120")</f>
        <v>C</v>
      </c>
      <c r="H103">
        <f>RTD("tos.rtd", , "ASK", ".AAPL161021C120")</f>
        <v>4.5999999999999996</v>
      </c>
      <c r="I103" t="str">
        <f>RTD("tos.rtd", , "AX", ".AAPL161021C120")</f>
        <v>C</v>
      </c>
      <c r="J103" t="str">
        <f>RTD("tos.rtd", , "EXPIRATION_DAY", ".AAPL161021C120")</f>
        <v>2016-10-22</v>
      </c>
      <c r="K103">
        <f>RTD("tos.rtd", , "STRIKE", ".AAPL161021C120")</f>
        <v>120</v>
      </c>
      <c r="L103">
        <f>RTD("tos.rtd", , "BID", ".AAPL161021P120")</f>
        <v>12.9</v>
      </c>
      <c r="M103" t="str">
        <f>RTD("tos.rtd", , "BX", ".AAPL161021P120")</f>
        <v>X</v>
      </c>
      <c r="N103">
        <f>RTD("tos.rtd", , "ASK", ".AAPL161021P120")</f>
        <v>13.05</v>
      </c>
      <c r="O103" t="str">
        <f>RTD("tos.rtd", , "AX", ".AAPL161021P120")</f>
        <v>X</v>
      </c>
      <c r="P103">
        <f>RTD("tos.rtd", , "LAST", ".AAPL161021P120")</f>
        <v>13.06</v>
      </c>
      <c r="Q103" t="str">
        <f>RTD("tos.rtd", , "LX", ".AAPL161021P120")</f>
        <v>C</v>
      </c>
      <c r="R103">
        <f>RTD("tos.rtd", , "NET_CHANGE", ".AAPL161021P120")</f>
        <v>-1.69</v>
      </c>
    </row>
    <row r="104" spans="3:18">
      <c r="C104">
        <f>RTD("tos.rtd", , "LAST", ".AAPL161021C125")</f>
        <v>3.06</v>
      </c>
      <c r="D104" t="str">
        <f>RTD("tos.rtd", , "LX", ".AAPL161021C125")</f>
        <v>M</v>
      </c>
      <c r="E104">
        <f>RTD("tos.rtd", , "NET_CHANGE", ".AAPL161021C125")</f>
        <v>0.38</v>
      </c>
      <c r="F104">
        <f>RTD("tos.rtd", , "BID", ".AAPL161021C125")</f>
        <v>3</v>
      </c>
      <c r="G104" t="str">
        <f>RTD("tos.rtd", , "BX", ".AAPL161021C125")</f>
        <v>C</v>
      </c>
      <c r="H104">
        <f>RTD("tos.rtd", , "ASK", ".AAPL161021C125")</f>
        <v>3.1</v>
      </c>
      <c r="I104" t="str">
        <f>RTD("tos.rtd", , "AX", ".AAPL161021C125")</f>
        <v>Z</v>
      </c>
      <c r="J104" t="str">
        <f>RTD("tos.rtd", , "EXPIRATION_DAY", ".AAPL161021C125")</f>
        <v>2016-10-22</v>
      </c>
      <c r="K104">
        <f>RTD("tos.rtd", , "STRIKE", ".AAPL161021C125")</f>
        <v>125</v>
      </c>
      <c r="L104">
        <f>RTD("tos.rtd", , "BID", ".AAPL161021P125")</f>
        <v>16.45</v>
      </c>
      <c r="M104" t="str">
        <f>RTD("tos.rtd", , "BX", ".AAPL161021P125")</f>
        <v>C</v>
      </c>
      <c r="N104">
        <f>RTD("tos.rtd", , "ASK", ".AAPL161021P125")</f>
        <v>16.649999999999999</v>
      </c>
      <c r="O104" t="str">
        <f>RTD("tos.rtd", , "AX", ".AAPL161021P125")</f>
        <v>C</v>
      </c>
      <c r="P104">
        <f>RTD("tos.rtd", , "LAST", ".AAPL161021P125")</f>
        <v>17.84</v>
      </c>
      <c r="Q104" t="str">
        <f>RTD("tos.rtd", , "LX", ".AAPL161021P125")</f>
        <v>X</v>
      </c>
      <c r="R104">
        <f>RTD("tos.rtd", , "NET_CHANGE", ".AAPL161021P125")</f>
        <v>0</v>
      </c>
    </row>
    <row r="105" spans="3:18">
      <c r="C105">
        <f>RTD("tos.rtd", , "LAST", ".AAPL161021C130")</f>
        <v>2.0299999999999998</v>
      </c>
      <c r="D105" t="str">
        <f>RTD("tos.rtd", , "LX", ".AAPL161021C130")</f>
        <v>X</v>
      </c>
      <c r="E105">
        <f>RTD("tos.rtd", , "NET_CHANGE", ".AAPL161021C130")</f>
        <v>0.26</v>
      </c>
      <c r="F105">
        <f>RTD("tos.rtd", , "BID", ".AAPL161021C130")</f>
        <v>2</v>
      </c>
      <c r="G105" t="str">
        <f>RTD("tos.rtd", , "BX", ".AAPL161021C130")</f>
        <v>C</v>
      </c>
      <c r="H105">
        <f>RTD("tos.rtd", , "ASK", ".AAPL161021C130")</f>
        <v>2.0499999999999998</v>
      </c>
      <c r="I105" t="str">
        <f>RTD("tos.rtd", , "AX", ".AAPL161021C130")</f>
        <v>Z</v>
      </c>
      <c r="J105" t="str">
        <f>RTD("tos.rtd", , "EXPIRATION_DAY", ".AAPL161021C130")</f>
        <v>2016-10-22</v>
      </c>
      <c r="K105">
        <f>RTD("tos.rtd", , "STRIKE", ".AAPL161021C130")</f>
        <v>130</v>
      </c>
      <c r="L105">
        <f>RTD("tos.rtd", , "BID", ".AAPL161021P130")</f>
        <v>20.45</v>
      </c>
      <c r="M105" t="str">
        <f>RTD("tos.rtd", , "BX", ".AAPL161021P130")</f>
        <v>C</v>
      </c>
      <c r="N105">
        <f>RTD("tos.rtd", , "ASK", ".AAPL161021P130")</f>
        <v>20.65</v>
      </c>
      <c r="O105" t="str">
        <f>RTD("tos.rtd", , "AX", ".AAPL161021P130")</f>
        <v>X</v>
      </c>
      <c r="P105">
        <f>RTD("tos.rtd", , "LAST", ".AAPL161021P130")</f>
        <v>20.76</v>
      </c>
      <c r="Q105" t="str">
        <f>RTD("tos.rtd", , "LX", ".AAPL161021P130")</f>
        <v>I</v>
      </c>
      <c r="R105">
        <f>RTD("tos.rtd", , "NET_CHANGE", ".AAPL161021P130")</f>
        <v>-1.74</v>
      </c>
    </row>
    <row r="106" spans="3:18">
      <c r="C106">
        <f>RTD("tos.rtd", , "LAST", ".AAPL161021C135")</f>
        <v>1.32</v>
      </c>
      <c r="D106" t="str">
        <f>RTD("tos.rtd", , "LX", ".AAPL161021C135")</f>
        <v>Q</v>
      </c>
      <c r="E106">
        <f>RTD("tos.rtd", , "NET_CHANGE", ".AAPL161021C135")</f>
        <v>0.17</v>
      </c>
      <c r="F106">
        <f>RTD("tos.rtd", , "BID", ".AAPL161021C135")</f>
        <v>1.3</v>
      </c>
      <c r="G106" t="str">
        <f>RTD("tos.rtd", , "BX", ".AAPL161021C135")</f>
        <v>E</v>
      </c>
      <c r="H106">
        <f>RTD("tos.rtd", , "ASK", ".AAPL161021C135")</f>
        <v>1.34</v>
      </c>
      <c r="I106" t="str">
        <f>RTD("tos.rtd", , "AX", ".AAPL161021C135")</f>
        <v>Z</v>
      </c>
      <c r="J106" t="str">
        <f>RTD("tos.rtd", , "EXPIRATION_DAY", ".AAPL161021C135")</f>
        <v>2016-10-22</v>
      </c>
      <c r="K106">
        <f>RTD("tos.rtd", , "STRIKE", ".AAPL161021C135")</f>
        <v>135</v>
      </c>
      <c r="L106">
        <f>RTD("tos.rtd", , "BID", ".AAPL161021P135")</f>
        <v>24.75</v>
      </c>
      <c r="M106" t="str">
        <f>RTD("tos.rtd", , "BX", ".AAPL161021P135")</f>
        <v>C</v>
      </c>
      <c r="N106">
        <f>RTD("tos.rtd", , "ASK", ".AAPL161021P135")</f>
        <v>25</v>
      </c>
      <c r="O106" t="str">
        <f>RTD("tos.rtd", , "AX", ".AAPL161021P135")</f>
        <v>C</v>
      </c>
      <c r="P106">
        <f>RTD("tos.rtd", , "LAST", ".AAPL161021P135")</f>
        <v>25.06</v>
      </c>
      <c r="Q106" t="str">
        <f>RTD("tos.rtd", , "LX", ".AAPL161021P135")</f>
        <v>X</v>
      </c>
      <c r="R106">
        <f>RTD("tos.rtd", , "NET_CHANGE", ".AAPL161021P135")</f>
        <v>-2.34</v>
      </c>
    </row>
    <row r="107" spans="3:18">
      <c r="C107">
        <f>RTD("tos.rtd", , "LAST", ".AAPL161021C140")</f>
        <v>0.86</v>
      </c>
      <c r="D107" t="str">
        <f>RTD("tos.rtd", , "LX", ".AAPL161021C140")</f>
        <v>M</v>
      </c>
      <c r="E107">
        <f>RTD("tos.rtd", , "NET_CHANGE", ".AAPL161021C140")</f>
        <v>0.13</v>
      </c>
      <c r="F107">
        <f>RTD("tos.rtd", , "BID", ".AAPL161021C140")</f>
        <v>0.83</v>
      </c>
      <c r="G107" t="str">
        <f>RTD("tos.rtd", , "BX", ".AAPL161021C140")</f>
        <v>X</v>
      </c>
      <c r="H107">
        <f>RTD("tos.rtd", , "ASK", ".AAPL161021C140")</f>
        <v>0.87</v>
      </c>
      <c r="I107" t="str">
        <f>RTD("tos.rtd", , "AX", ".AAPL161021C140")</f>
        <v>Q</v>
      </c>
      <c r="J107" t="str">
        <f>RTD("tos.rtd", , "EXPIRATION_DAY", ".AAPL161021C140")</f>
        <v>2016-10-22</v>
      </c>
      <c r="K107">
        <f>RTD("tos.rtd", , "STRIKE", ".AAPL161021C140")</f>
        <v>140</v>
      </c>
      <c r="L107">
        <f>RTD("tos.rtd", , "BID", ".AAPL161021P140")</f>
        <v>29.2</v>
      </c>
      <c r="M107" t="str">
        <f>RTD("tos.rtd", , "BX", ".AAPL161021P140")</f>
        <v>M</v>
      </c>
      <c r="N107">
        <f>RTD("tos.rtd", , "ASK", ".AAPL161021P140")</f>
        <v>29.55</v>
      </c>
      <c r="O107" t="str">
        <f>RTD("tos.rtd", , "AX", ".AAPL161021P140")</f>
        <v>M</v>
      </c>
      <c r="P107">
        <f>RTD("tos.rtd", , "LAST", ".AAPL161021P140")</f>
        <v>29.45</v>
      </c>
      <c r="Q107" t="str">
        <f>RTD("tos.rtd", , "LX", ".AAPL161021P140")</f>
        <v>A</v>
      </c>
      <c r="R107">
        <f>RTD("tos.rtd", , "NET_CHANGE", ".AAPL161021P140")</f>
        <v>0</v>
      </c>
    </row>
    <row r="108" spans="3:18">
      <c r="C108">
        <f>RTD("tos.rtd", , "LAST", ".AAPL161021C145")</f>
        <v>0.46</v>
      </c>
      <c r="D108" t="str">
        <f>RTD("tos.rtd", , "LX", ".AAPL161021C145")</f>
        <v>M</v>
      </c>
      <c r="E108">
        <f>RTD("tos.rtd", , "NET_CHANGE", ".AAPL161021C145")</f>
        <v>0</v>
      </c>
      <c r="F108">
        <f>RTD("tos.rtd", , "BID", ".AAPL161021C145")</f>
        <v>0.54</v>
      </c>
      <c r="G108" t="str">
        <f>RTD("tos.rtd", , "BX", ".AAPL161021C145")</f>
        <v>C</v>
      </c>
      <c r="H108">
        <f>RTD("tos.rtd", , "ASK", ".AAPL161021C145")</f>
        <v>0.56999999999999995</v>
      </c>
      <c r="I108" t="str">
        <f>RTD("tos.rtd", , "AX", ".AAPL161021C145")</f>
        <v>Z</v>
      </c>
      <c r="J108" t="str">
        <f>RTD("tos.rtd", , "EXPIRATION_DAY", ".AAPL161021C145")</f>
        <v>2016-10-22</v>
      </c>
      <c r="K108">
        <f>RTD("tos.rtd", , "STRIKE", ".AAPL161021C145")</f>
        <v>145</v>
      </c>
      <c r="L108">
        <f>RTD("tos.rtd", , "BID", ".AAPL161021P145")</f>
        <v>33.9</v>
      </c>
      <c r="M108" t="str">
        <f>RTD("tos.rtd", , "BX", ".AAPL161021P145")</f>
        <v>X</v>
      </c>
      <c r="N108">
        <f>RTD("tos.rtd", , "ASK", ".AAPL161021P145")</f>
        <v>34.25</v>
      </c>
      <c r="O108" t="str">
        <f>RTD("tos.rtd", , "AX", ".AAPL161021P145")</f>
        <v>M</v>
      </c>
      <c r="P108">
        <f>RTD("tos.rtd", , "LAST", ".AAPL161021P145")</f>
        <v>50.55</v>
      </c>
      <c r="Q108" t="str">
        <f>RTD("tos.rtd", , "LX", ".AAPL161021P145")</f>
        <v>X</v>
      </c>
      <c r="R108">
        <f>RTD("tos.rtd", , "NET_CHANGE", ".AAPL161021P145")</f>
        <v>0</v>
      </c>
    </row>
    <row r="109" spans="3:18">
      <c r="C109">
        <f>RTD("tos.rtd", , "LAST", ".AAPL161021C150")</f>
        <v>0.37</v>
      </c>
      <c r="D109" t="str">
        <f>RTD("tos.rtd", , "LX", ".AAPL161021C150")</f>
        <v>B</v>
      </c>
      <c r="E109">
        <f>RTD("tos.rtd", , "NET_CHANGE", ".AAPL161021C150")</f>
        <v>0.05</v>
      </c>
      <c r="F109">
        <f>RTD("tos.rtd", , "BID", ".AAPL161021C150")</f>
        <v>0.34</v>
      </c>
      <c r="G109" t="str">
        <f>RTD("tos.rtd", , "BX", ".AAPL161021C150")</f>
        <v>X</v>
      </c>
      <c r="H109">
        <f>RTD("tos.rtd", , "ASK", ".AAPL161021C150")</f>
        <v>0.39</v>
      </c>
      <c r="I109" t="str">
        <f>RTD("tos.rtd", , "AX", ".AAPL161021C150")</f>
        <v>W</v>
      </c>
      <c r="J109" t="str">
        <f>RTD("tos.rtd", , "EXPIRATION_DAY", ".AAPL161021C150")</f>
        <v>2016-10-22</v>
      </c>
      <c r="K109">
        <f>RTD("tos.rtd", , "STRIKE", ".AAPL161021C150")</f>
        <v>150</v>
      </c>
      <c r="L109">
        <f>RTD("tos.rtd", , "BID", ".AAPL161021P150")</f>
        <v>38.700000000000003</v>
      </c>
      <c r="M109" t="str">
        <f>RTD("tos.rtd", , "BX", ".AAPL161021P150")</f>
        <v>X</v>
      </c>
      <c r="N109">
        <f>RTD("tos.rtd", , "ASK", ".AAPL161021P150")</f>
        <v>39.1</v>
      </c>
      <c r="O109" t="str">
        <f>RTD("tos.rtd", , "AX", ".AAPL161021P150")</f>
        <v>C</v>
      </c>
      <c r="P109">
        <f>RTD("tos.rtd", , "LAST", ".AAPL161021P150")</f>
        <v>44.99</v>
      </c>
      <c r="Q109" t="str">
        <f>RTD("tos.rtd", , "LX", ".AAPL161021P150")</f>
        <v>X</v>
      </c>
      <c r="R109">
        <f>RTD("tos.rtd", , "NET_CHANGE", ".AAPL161021P150")</f>
        <v>0</v>
      </c>
    </row>
    <row r="110" spans="3:18">
      <c r="C110">
        <f>RTD("tos.rtd", , "LAST", ".AAPL161021C155")</f>
        <v>0.21</v>
      </c>
      <c r="D110" t="str">
        <f>RTD("tos.rtd", , "LX", ".AAPL161021C155")</f>
        <v>C</v>
      </c>
      <c r="E110">
        <f>RTD("tos.rtd", , "NET_CHANGE", ".AAPL161021C155")</f>
        <v>0</v>
      </c>
      <c r="F110">
        <f>RTD("tos.rtd", , "BID", ".AAPL161021C155")</f>
        <v>0.21</v>
      </c>
      <c r="G110" t="str">
        <f>RTD("tos.rtd", , "BX", ".AAPL161021C155")</f>
        <v>C</v>
      </c>
      <c r="H110">
        <f>RTD("tos.rtd", , "ASK", ".AAPL161021C155")</f>
        <v>0.27</v>
      </c>
      <c r="I110" t="str">
        <f>RTD("tos.rtd", , "AX", ".AAPL161021C155")</f>
        <v>W</v>
      </c>
      <c r="J110" t="str">
        <f>RTD("tos.rtd", , "EXPIRATION_DAY", ".AAPL161021C155")</f>
        <v>2016-10-22</v>
      </c>
      <c r="K110">
        <f>RTD("tos.rtd", , "STRIKE", ".AAPL161021C155")</f>
        <v>155</v>
      </c>
      <c r="L110">
        <f>RTD("tos.rtd", , "BID", ".AAPL161021P155")</f>
        <v>43.6</v>
      </c>
      <c r="M110" t="str">
        <f>RTD("tos.rtd", , "BX", ".AAPL161021P155")</f>
        <v>X</v>
      </c>
      <c r="N110">
        <f>RTD("tos.rtd", , "ASK", ".AAPL161021P155")</f>
        <v>44</v>
      </c>
      <c r="O110" t="str">
        <f>RTD("tos.rtd", , "AX", ".AAPL161021P155")</f>
        <v>C</v>
      </c>
      <c r="P110">
        <f>RTD("tos.rtd", , "LAST", ".AAPL161021P155")</f>
        <v>49.66</v>
      </c>
      <c r="Q110" t="str">
        <f>RTD("tos.rtd", , "LX", ".AAPL161021P155")</f>
        <v>I</v>
      </c>
      <c r="R110">
        <f>RTD("tos.rtd", , "NET_CHANGE", ".AAPL161021P155")</f>
        <v>0</v>
      </c>
    </row>
    <row r="111" spans="3:18">
      <c r="C111">
        <f>RTD("tos.rtd", , "LAST", ".AAPL161021C160")</f>
        <v>0.14000000000000001</v>
      </c>
      <c r="D111" t="str">
        <f>RTD("tos.rtd", , "LX", ".AAPL161021C160")</f>
        <v>C</v>
      </c>
      <c r="E111">
        <f>RTD("tos.rtd", , "NET_CHANGE", ".AAPL161021C160")</f>
        <v>0</v>
      </c>
      <c r="F111">
        <f>RTD("tos.rtd", , "BID", ".AAPL161021C160")</f>
        <v>0.14000000000000001</v>
      </c>
      <c r="G111" t="str">
        <f>RTD("tos.rtd", , "BX", ".AAPL161021C160")</f>
        <v>X</v>
      </c>
      <c r="H111">
        <f>RTD("tos.rtd", , "ASK", ".AAPL161021C160")</f>
        <v>0.19</v>
      </c>
      <c r="I111" t="str">
        <f>RTD("tos.rtd", , "AX", ".AAPL161021C160")</f>
        <v>X</v>
      </c>
      <c r="J111" t="str">
        <f>RTD("tos.rtd", , "EXPIRATION_DAY", ".AAPL161021C160")</f>
        <v>2016-10-22</v>
      </c>
      <c r="K111">
        <f>RTD("tos.rtd", , "STRIKE", ".AAPL161021C160")</f>
        <v>160</v>
      </c>
      <c r="L111">
        <f>RTD("tos.rtd", , "BID", ".AAPL161021P160")</f>
        <v>48.5</v>
      </c>
      <c r="M111" t="str">
        <f>RTD("tos.rtd", , "BX", ".AAPL161021P160")</f>
        <v>X</v>
      </c>
      <c r="N111">
        <f>RTD("tos.rtd", , "ASK", ".AAPL161021P160")</f>
        <v>48.9</v>
      </c>
      <c r="O111" t="str">
        <f>RTD("tos.rtd", , "AX", ".AAPL161021P160")</f>
        <v>C</v>
      </c>
      <c r="P111">
        <f>RTD("tos.rtd", , "LAST", ".AAPL161021P160")</f>
        <v>54.63</v>
      </c>
      <c r="Q111" t="str">
        <f>RTD("tos.rtd", , "LX", ".AAPL161021P160")</f>
        <v>I</v>
      </c>
      <c r="R111">
        <f>RTD("tos.rtd", , "NET_CHANGE", ".AAPL161021P160")</f>
        <v>0</v>
      </c>
    </row>
    <row r="112" spans="3:18">
      <c r="C112">
        <f>RTD("tos.rtd", , "LAST", ".AAPL161021C165")</f>
        <v>0.09</v>
      </c>
      <c r="D112" t="str">
        <f>RTD("tos.rtd", , "LX", ".AAPL161021C165")</f>
        <v>M</v>
      </c>
      <c r="E112">
        <f>RTD("tos.rtd", , "NET_CHANGE", ".AAPL161021C165")</f>
        <v>0</v>
      </c>
      <c r="F112">
        <f>RTD("tos.rtd", , "BID", ".AAPL161021C165")</f>
        <v>0.09</v>
      </c>
      <c r="G112" t="str">
        <f>RTD("tos.rtd", , "BX", ".AAPL161021C165")</f>
        <v>X</v>
      </c>
      <c r="H112">
        <f>RTD("tos.rtd", , "ASK", ".AAPL161021C165")</f>
        <v>0.15</v>
      </c>
      <c r="I112" t="str">
        <f>RTD("tos.rtd", , "AX", ".AAPL161021C165")</f>
        <v>C</v>
      </c>
      <c r="J112" t="str">
        <f>RTD("tos.rtd", , "EXPIRATION_DAY", ".AAPL161021C165")</f>
        <v>2016-10-22</v>
      </c>
      <c r="K112">
        <f>RTD("tos.rtd", , "STRIKE", ".AAPL161021C165")</f>
        <v>165</v>
      </c>
      <c r="L112">
        <f>RTD("tos.rtd", , "BID", ".AAPL161021P165")</f>
        <v>53.45</v>
      </c>
      <c r="M112" t="str">
        <f>RTD("tos.rtd", , "BX", ".AAPL161021P165")</f>
        <v>C</v>
      </c>
      <c r="N112">
        <f>RTD("tos.rtd", , "ASK", ".AAPL161021P165")</f>
        <v>53.85</v>
      </c>
      <c r="O112" t="str">
        <f>RTD("tos.rtd", , "AX", ".AAPL161021P165")</f>
        <v>C</v>
      </c>
      <c r="P112">
        <f>RTD("tos.rtd", , "LAST", ".AAPL161021P165")</f>
        <v>65.400000000000006</v>
      </c>
      <c r="Q112" t="str">
        <f>RTD("tos.rtd", , "LX", ".AAPL161021P165")</f>
        <v>X</v>
      </c>
      <c r="R112">
        <f>RTD("tos.rtd", , "NET_CHANGE", ".AAPL161021P165")</f>
        <v>0</v>
      </c>
    </row>
    <row r="113" spans="1:18">
      <c r="C113">
        <f>RTD("tos.rtd", , "LAST", ".AAPL161021C170")</f>
        <v>7.0000000000000007E-2</v>
      </c>
      <c r="D113" t="str">
        <f>RTD("tos.rtd", , "LX", ".AAPL161021C170")</f>
        <v>C</v>
      </c>
      <c r="E113">
        <f>RTD("tos.rtd", , "NET_CHANGE", ".AAPL161021C170")</f>
        <v>0</v>
      </c>
      <c r="F113">
        <f>RTD("tos.rtd", , "BID", ".AAPL161021C170")</f>
        <v>0.06</v>
      </c>
      <c r="G113" t="str">
        <f>RTD("tos.rtd", , "BX", ".AAPL161021C170")</f>
        <v>W</v>
      </c>
      <c r="H113">
        <f>RTD("tos.rtd", , "ASK", ".AAPL161021C170")</f>
        <v>0.1</v>
      </c>
      <c r="I113" t="str">
        <f>RTD("tos.rtd", , "AX", ".AAPL161021C170")</f>
        <v>X</v>
      </c>
      <c r="J113" t="str">
        <f>RTD("tos.rtd", , "EXPIRATION_DAY", ".AAPL161021C170")</f>
        <v>2016-10-22</v>
      </c>
      <c r="K113">
        <f>RTD("tos.rtd", , "STRIKE", ".AAPL161021C170")</f>
        <v>170</v>
      </c>
      <c r="L113">
        <f>RTD("tos.rtd", , "BID", ".AAPL161021P170")</f>
        <v>58.4</v>
      </c>
      <c r="M113" t="str">
        <f>RTD("tos.rtd", , "BX", ".AAPL161021P170")</f>
        <v>M</v>
      </c>
      <c r="N113">
        <f>RTD("tos.rtd", , "ASK", ".AAPL161021P170")</f>
        <v>58.8</v>
      </c>
      <c r="O113" t="str">
        <f>RTD("tos.rtd", , "AX", ".AAPL161021P170")</f>
        <v>M</v>
      </c>
      <c r="P113">
        <f>RTD("tos.rtd", , "LAST", ".AAPL161021P170")</f>
        <v>0</v>
      </c>
      <c r="Q113" t="str">
        <f>RTD("tos.rtd", , "LX", ".AAPL161021P170")</f>
        <v/>
      </c>
      <c r="R113">
        <f>RTD("tos.rtd", , "NET_CHANGE", ".AAPL161021P170")</f>
        <v>0</v>
      </c>
    </row>
    <row r="114" spans="1:18">
      <c r="C114">
        <f>RTD("tos.rtd", , "LAST", ".AAPL161021C175")</f>
        <v>7.0000000000000007E-2</v>
      </c>
      <c r="D114" t="str">
        <f>RTD("tos.rtd", , "LX", ".AAPL161021C175")</f>
        <v>E</v>
      </c>
      <c r="E114">
        <f>RTD("tos.rtd", , "NET_CHANGE", ".AAPL161021C175")</f>
        <v>0</v>
      </c>
      <c r="F114">
        <f>RTD("tos.rtd", , "BID", ".AAPL161021C175")</f>
        <v>0.04</v>
      </c>
      <c r="G114" t="str">
        <f>RTD("tos.rtd", , "BX", ".AAPL161021C175")</f>
        <v>W</v>
      </c>
      <c r="H114">
        <f>RTD("tos.rtd", , "ASK", ".AAPL161021C175")</f>
        <v>0.1</v>
      </c>
      <c r="I114" t="str">
        <f>RTD("tos.rtd", , "AX", ".AAPL161021C175")</f>
        <v>C</v>
      </c>
      <c r="J114" t="str">
        <f>RTD("tos.rtd", , "EXPIRATION_DAY", ".AAPL161021C175")</f>
        <v>2016-10-22</v>
      </c>
      <c r="K114">
        <f>RTD("tos.rtd", , "STRIKE", ".AAPL161021C175")</f>
        <v>175</v>
      </c>
      <c r="L114">
        <f>RTD("tos.rtd", , "BID", ".AAPL161021P175")</f>
        <v>63.35</v>
      </c>
      <c r="M114" t="str">
        <f>RTD("tos.rtd", , "BX", ".AAPL161021P175")</f>
        <v>M</v>
      </c>
      <c r="N114">
        <f>RTD("tos.rtd", , "ASK", ".AAPL161021P175")</f>
        <v>63.8</v>
      </c>
      <c r="O114" t="str">
        <f>RTD("tos.rtd", , "AX", ".AAPL161021P175")</f>
        <v>M</v>
      </c>
      <c r="P114">
        <f>RTD("tos.rtd", , "LAST", ".AAPL161021P175")</f>
        <v>65.349999999999994</v>
      </c>
      <c r="Q114" t="str">
        <f>RTD("tos.rtd", , "LX", ".AAPL161021P175")</f>
        <v>M</v>
      </c>
      <c r="R114">
        <f>RTD("tos.rtd", , "NET_CHANGE", ".AAPL161021P175")</f>
        <v>0</v>
      </c>
    </row>
    <row r="115" spans="1:18">
      <c r="C115">
        <f>RTD("tos.rtd", , "LAST", ".AAPL161021C180")</f>
        <v>0</v>
      </c>
      <c r="D115" t="str">
        <f>RTD("tos.rtd", , "LX", ".AAPL161021C180")</f>
        <v/>
      </c>
      <c r="E115">
        <f>RTD("tos.rtd", , "NET_CHANGE", ".AAPL161021C180")</f>
        <v>0</v>
      </c>
      <c r="F115">
        <f>RTD("tos.rtd", , "BID", ".AAPL161021C180")</f>
        <v>0.02</v>
      </c>
      <c r="G115" t="str">
        <f>RTD("tos.rtd", , "BX", ".AAPL161021C180")</f>
        <v>C</v>
      </c>
      <c r="H115">
        <f>RTD("tos.rtd", , "ASK", ".AAPL161021C180")</f>
        <v>0.08</v>
      </c>
      <c r="I115" t="str">
        <f>RTD("tos.rtd", , "AX", ".AAPL161021C180")</f>
        <v>W</v>
      </c>
      <c r="J115" t="str">
        <f>RTD("tos.rtd", , "EXPIRATION_DAY", ".AAPL161021C180")</f>
        <v>2016-10-22</v>
      </c>
      <c r="K115">
        <f>RTD("tos.rtd", , "STRIKE", ".AAPL161021C180")</f>
        <v>180</v>
      </c>
      <c r="L115">
        <f>RTD("tos.rtd", , "BID", ".AAPL161021P180")</f>
        <v>68.349999999999994</v>
      </c>
      <c r="M115" t="str">
        <f>RTD("tos.rtd", , "BX", ".AAPL161021P180")</f>
        <v>M</v>
      </c>
      <c r="N115">
        <f>RTD("tos.rtd", , "ASK", ".AAPL161021P180")</f>
        <v>68.8</v>
      </c>
      <c r="O115" t="str">
        <f>RTD("tos.rtd", , "AX", ".AAPL161021P180")</f>
        <v>M</v>
      </c>
      <c r="P115">
        <f>RTD("tos.rtd", , "LAST", ".AAPL161021P180")</f>
        <v>0</v>
      </c>
      <c r="Q115" t="str">
        <f>RTD("tos.rtd", , "LX", ".AAPL161021P180")</f>
        <v/>
      </c>
      <c r="R115">
        <f>RTD("tos.rtd", , "NET_CHANGE", ".AAPL161021P180")</f>
        <v>0</v>
      </c>
    </row>
    <row r="116" spans="1:18">
      <c r="C116">
        <f>RTD("tos.rtd", , "LAST", ".AAPL161021C185")</f>
        <v>0</v>
      </c>
      <c r="D116" t="str">
        <f>RTD("tos.rtd", , "LX", ".AAPL161021C185")</f>
        <v/>
      </c>
      <c r="E116">
        <f>RTD("tos.rtd", , "NET_CHANGE", ".AAPL161021C185")</f>
        <v>0</v>
      </c>
      <c r="F116">
        <f>RTD("tos.rtd", , "BID", ".AAPL161021C185")</f>
        <v>0.01</v>
      </c>
      <c r="G116" t="str">
        <f>RTD("tos.rtd", , "BX", ".AAPL161021C185")</f>
        <v>W</v>
      </c>
      <c r="H116">
        <f>RTD("tos.rtd", , "ASK", ".AAPL161021C185")</f>
        <v>7.0000000000000007E-2</v>
      </c>
      <c r="I116" t="str">
        <f>RTD("tos.rtd", , "AX", ".AAPL161021C185")</f>
        <v>W</v>
      </c>
      <c r="J116" t="str">
        <f>RTD("tos.rtd", , "EXPIRATION_DAY", ".AAPL161021C185")</f>
        <v>2016-10-22</v>
      </c>
      <c r="K116">
        <f>RTD("tos.rtd", , "STRIKE", ".AAPL161021C185")</f>
        <v>185</v>
      </c>
      <c r="L116">
        <f>RTD("tos.rtd", , "BID", ".AAPL161021P185")</f>
        <v>73.3</v>
      </c>
      <c r="M116" t="str">
        <f>RTD("tos.rtd", , "BX", ".AAPL161021P185")</f>
        <v>M</v>
      </c>
      <c r="N116">
        <f>RTD("tos.rtd", , "ASK", ".AAPL161021P185")</f>
        <v>73.75</v>
      </c>
      <c r="O116" t="str">
        <f>RTD("tos.rtd", , "AX", ".AAPL161021P185")</f>
        <v>T</v>
      </c>
      <c r="P116">
        <f>RTD("tos.rtd", , "LAST", ".AAPL161021P185")</f>
        <v>0</v>
      </c>
      <c r="Q116" t="str">
        <f>RTD("tos.rtd", , "LX", ".AAPL161021P185")</f>
        <v/>
      </c>
      <c r="R116">
        <f>RTD("tos.rtd", , "NET_CHANGE", ".AAPL161021P185")</f>
        <v>0</v>
      </c>
    </row>
    <row r="117" spans="1:18">
      <c r="C117">
        <f>RTD("tos.rtd", , "LAST", ".AAPL161021C190")</f>
        <v>0.05</v>
      </c>
      <c r="D117" t="str">
        <f>RTD("tos.rtd", , "LX", ".AAPL161021C190")</f>
        <v>N</v>
      </c>
      <c r="E117">
        <f>RTD("tos.rtd", , "NET_CHANGE", ".AAPL161021C190")</f>
        <v>0</v>
      </c>
      <c r="F117">
        <f>RTD("tos.rtd", , "BID", ".AAPL161021C190")</f>
        <v>0.01</v>
      </c>
      <c r="G117" t="str">
        <f>RTD("tos.rtd", , "BX", ".AAPL161021C190")</f>
        <v>Z</v>
      </c>
      <c r="H117">
        <f>RTD("tos.rtd", , "ASK", ".AAPL161021C190")</f>
        <v>7.0000000000000007E-2</v>
      </c>
      <c r="I117" t="str">
        <f>RTD("tos.rtd", , "AX", ".AAPL161021C190")</f>
        <v>C</v>
      </c>
      <c r="J117" t="str">
        <f>RTD("tos.rtd", , "EXPIRATION_DAY", ".AAPL161021C190")</f>
        <v>2016-10-22</v>
      </c>
      <c r="K117">
        <f>RTD("tos.rtd", , "STRIKE", ".AAPL161021C190")</f>
        <v>190</v>
      </c>
      <c r="L117">
        <f>RTD("tos.rtd", , "BID", ".AAPL161021P190")</f>
        <v>78.3</v>
      </c>
      <c r="M117" t="str">
        <f>RTD("tos.rtd", , "BX", ".AAPL161021P190")</f>
        <v>M</v>
      </c>
      <c r="N117">
        <f>RTD("tos.rtd", , "ASK", ".AAPL161021P190")</f>
        <v>78.75</v>
      </c>
      <c r="O117" t="str">
        <f>RTD("tos.rtd", , "AX", ".AAPL161021P190")</f>
        <v>M</v>
      </c>
      <c r="P117">
        <f>RTD("tos.rtd", , "LAST", ".AAPL161021P190")</f>
        <v>87.75</v>
      </c>
      <c r="Q117" t="str">
        <f>RTD("tos.rtd", , "LX", ".AAPL161021P190")</f>
        <v>W</v>
      </c>
      <c r="R117">
        <f>RTD("tos.rtd", , "NET_CHANGE", ".AAPL161021P190")</f>
        <v>0</v>
      </c>
    </row>
    <row r="118" spans="1:18">
      <c r="C118">
        <f>RTD("tos.rtd", , "LAST", ".AAPL161021C195")</f>
        <v>0</v>
      </c>
      <c r="D118" t="str">
        <f>RTD("tos.rtd", , "LX", ".AAPL161021C195")</f>
        <v/>
      </c>
      <c r="E118">
        <f>RTD("tos.rtd", , "NET_CHANGE", ".AAPL161021C195")</f>
        <v>0</v>
      </c>
      <c r="F118">
        <f>RTD("tos.rtd", , "BID", ".AAPL161021C195")</f>
        <v>0</v>
      </c>
      <c r="G118" t="str">
        <f>RTD("tos.rtd", , "BX", ".AAPL161021C195")</f>
        <v>B</v>
      </c>
      <c r="H118">
        <f>RTD("tos.rtd", , "ASK", ".AAPL161021C195")</f>
        <v>0.06</v>
      </c>
      <c r="I118" t="str">
        <f>RTD("tos.rtd", , "AX", ".AAPL161021C195")</f>
        <v>C</v>
      </c>
      <c r="J118" t="str">
        <f>RTD("tos.rtd", , "EXPIRATION_DAY", ".AAPL161021C195")</f>
        <v>2016-10-22</v>
      </c>
      <c r="K118">
        <f>RTD("tos.rtd", , "STRIKE", ".AAPL161021C195")</f>
        <v>195</v>
      </c>
      <c r="L118">
        <f>RTD("tos.rtd", , "BID", ".AAPL161021P195")</f>
        <v>83.3</v>
      </c>
      <c r="M118" t="str">
        <f>RTD("tos.rtd", , "BX", ".AAPL161021P195")</f>
        <v>M</v>
      </c>
      <c r="N118">
        <f>RTD("tos.rtd", , "ASK", ".AAPL161021P195")</f>
        <v>83.75</v>
      </c>
      <c r="O118" t="str">
        <f>RTD("tos.rtd", , "AX", ".AAPL161021P195")</f>
        <v>M</v>
      </c>
      <c r="P118">
        <f>RTD("tos.rtd", , "LAST", ".AAPL161021P195")</f>
        <v>85.65</v>
      </c>
      <c r="Q118" t="str">
        <f>RTD("tos.rtd", , "LX", ".AAPL161021P195")</f>
        <v>Z</v>
      </c>
      <c r="R118">
        <f>RTD("tos.rtd", , "NET_CHANGE", ".AAPL161021P195")</f>
        <v>0</v>
      </c>
    </row>
    <row r="119" spans="1:18">
      <c r="A119" t="s">
        <v>40</v>
      </c>
    </row>
    <row r="120" spans="1:18">
      <c r="A120" t="s">
        <v>79</v>
      </c>
    </row>
    <row r="121" spans="1:18">
      <c r="C121" t="s">
        <v>2</v>
      </c>
      <c r="D121" t="s">
        <v>3</v>
      </c>
      <c r="E121" t="s">
        <v>4</v>
      </c>
      <c r="F121" t="s">
        <v>5</v>
      </c>
      <c r="G121" t="s">
        <v>6</v>
      </c>
      <c r="H121" t="s">
        <v>7</v>
      </c>
      <c r="I121" t="s">
        <v>8</v>
      </c>
      <c r="J121" t="s">
        <v>35</v>
      </c>
      <c r="K121" t="s">
        <v>36</v>
      </c>
      <c r="L121" t="s">
        <v>5</v>
      </c>
      <c r="M121" t="s">
        <v>6</v>
      </c>
      <c r="N121" t="s">
        <v>7</v>
      </c>
      <c r="O121" t="s">
        <v>8</v>
      </c>
      <c r="P121" t="s">
        <v>2</v>
      </c>
      <c r="Q121" t="s">
        <v>3</v>
      </c>
      <c r="R121" t="s">
        <v>4</v>
      </c>
    </row>
    <row r="122" spans="1:18">
      <c r="C122">
        <f>RTD("tos.rtd", , "LAST", ".AAPL7170120C65")</f>
        <v>35</v>
      </c>
      <c r="D122" t="str">
        <f>RTD("tos.rtd", , "LX", ".AAPL7170120C65")</f>
        <v>Z</v>
      </c>
      <c r="E122">
        <f>RTD("tos.rtd", , "NET_CHANGE", ".AAPL7170120C65")</f>
        <v>0</v>
      </c>
      <c r="F122">
        <f>RTD("tos.rtd", , "BID", ".AAPL7170120C65")</f>
        <v>0</v>
      </c>
      <c r="G122" t="str">
        <f>RTD("tos.rtd", , "BX", ".AAPL7170120C65")</f>
        <v>Z</v>
      </c>
      <c r="H122">
        <f>RTD("tos.rtd", , "ASK", ".AAPL7170120C65")</f>
        <v>43.5</v>
      </c>
      <c r="I122" t="str">
        <f>RTD("tos.rtd", , "AX", ".AAPL7170120C65")</f>
        <v>Z</v>
      </c>
      <c r="J122" t="str">
        <f>RTD("tos.rtd", , "EXPIRATION_DAY", ".AAPL7170120C65")</f>
        <v>2017-01-21</v>
      </c>
      <c r="K122">
        <f>RTD("tos.rtd", , "STRIKE", ".AAPL7170120C65")</f>
        <v>65</v>
      </c>
      <c r="L122">
        <f>RTD("tos.rtd", , "BID", ".AAPL7170120P65")</f>
        <v>0.7</v>
      </c>
      <c r="M122" t="str">
        <f>RTD("tos.rtd", , "BX", ".AAPL7170120P65")</f>
        <v>Z</v>
      </c>
      <c r="N122">
        <f>RTD("tos.rtd", , "ASK", ".AAPL7170120P65")</f>
        <v>5.7</v>
      </c>
      <c r="O122" t="str">
        <f>RTD("tos.rtd", , "AX", ".AAPL7170120P65")</f>
        <v>Z</v>
      </c>
      <c r="P122">
        <f>RTD("tos.rtd", , "LAST", ".AAPL7170120P65")</f>
        <v>4.5</v>
      </c>
      <c r="Q122" t="str">
        <f>RTD("tos.rtd", , "LX", ".AAPL7170120P65")</f>
        <v>A</v>
      </c>
      <c r="R122">
        <f>RTD("tos.rtd", , "NET_CHANGE", ".AAPL7170120P65")</f>
        <v>0</v>
      </c>
    </row>
    <row r="123" spans="1:18">
      <c r="C123">
        <f>RTD("tos.rtd", , "LAST", ".AAPL7170120C70")</f>
        <v>38</v>
      </c>
      <c r="D123" t="str">
        <f>RTD("tos.rtd", , "LX", ".AAPL7170120C70")</f>
        <v>Z</v>
      </c>
      <c r="E123">
        <f>RTD("tos.rtd", , "NET_CHANGE", ".AAPL7170120C70")</f>
        <v>0</v>
      </c>
      <c r="F123">
        <f>RTD("tos.rtd", , "BID", ".AAPL7170120C70")</f>
        <v>0</v>
      </c>
      <c r="G123" t="str">
        <f>RTD("tos.rtd", , "BX", ".AAPL7170120C70")</f>
        <v>Z</v>
      </c>
      <c r="H123">
        <f>RTD("tos.rtd", , "ASK", ".AAPL7170120C70")</f>
        <v>38</v>
      </c>
      <c r="I123" t="str">
        <f>RTD("tos.rtd", , "AX", ".AAPL7170120C70")</f>
        <v>Z</v>
      </c>
      <c r="J123" t="str">
        <f>RTD("tos.rtd", , "EXPIRATION_DAY", ".AAPL7170120C70")</f>
        <v>2017-01-21</v>
      </c>
      <c r="K123">
        <f>RTD("tos.rtd", , "STRIKE", ".AAPL7170120C70")</f>
        <v>70</v>
      </c>
      <c r="L123">
        <f>RTD("tos.rtd", , "BID", ".AAPL7170120P70")</f>
        <v>0</v>
      </c>
      <c r="M123" t="str">
        <f>RTD("tos.rtd", , "BX", ".AAPL7170120P70")</f>
        <v>Z</v>
      </c>
      <c r="N123">
        <f>RTD("tos.rtd", , "ASK", ".AAPL7170120P70")</f>
        <v>2</v>
      </c>
      <c r="O123" t="str">
        <f>RTD("tos.rtd", , "AX", ".AAPL7170120P70")</f>
        <v>Z</v>
      </c>
      <c r="P123">
        <f>RTD("tos.rtd", , "LAST", ".AAPL7170120P70")</f>
        <v>2</v>
      </c>
      <c r="Q123" t="str">
        <f>RTD("tos.rtd", , "LX", ".AAPL7170120P70")</f>
        <v>Z</v>
      </c>
      <c r="R123">
        <f>RTD("tos.rtd", , "NET_CHANGE", ".AAPL7170120P70")</f>
        <v>0</v>
      </c>
    </row>
    <row r="124" spans="1:18">
      <c r="C124">
        <f>RTD("tos.rtd", , "LAST", ".AAPL7170120C75")</f>
        <v>31.8</v>
      </c>
      <c r="D124" t="str">
        <f>RTD("tos.rtd", , "LX", ".AAPL7170120C75")</f>
        <v>A</v>
      </c>
      <c r="E124">
        <f>RTD("tos.rtd", , "NET_CHANGE", ".AAPL7170120C75")</f>
        <v>0</v>
      </c>
      <c r="F124">
        <f>RTD("tos.rtd", , "BID", ".AAPL7170120C75")</f>
        <v>0</v>
      </c>
      <c r="G124" t="str">
        <f>RTD("tos.rtd", , "BX", ".AAPL7170120C75")</f>
        <v>Z</v>
      </c>
      <c r="H124">
        <f>RTD("tos.rtd", , "ASK", ".AAPL7170120C75")</f>
        <v>38</v>
      </c>
      <c r="I124" t="str">
        <f>RTD("tos.rtd", , "AX", ".AAPL7170120C75")</f>
        <v>Z</v>
      </c>
      <c r="J124" t="str">
        <f>RTD("tos.rtd", , "EXPIRATION_DAY", ".AAPL7170120C75")</f>
        <v>2017-01-21</v>
      </c>
      <c r="K124">
        <f>RTD("tos.rtd", , "STRIKE", ".AAPL7170120C75")</f>
        <v>75</v>
      </c>
      <c r="L124">
        <f>RTD("tos.rtd", , "BID", ".AAPL7170120P75")</f>
        <v>2.69</v>
      </c>
      <c r="M124" t="str">
        <f>RTD("tos.rtd", , "BX", ".AAPL7170120P75")</f>
        <v>Z</v>
      </c>
      <c r="N124">
        <f>RTD("tos.rtd", , "ASK", ".AAPL7170120P75")</f>
        <v>8.1999999999999993</v>
      </c>
      <c r="O124" t="str">
        <f>RTD("tos.rtd", , "AX", ".AAPL7170120P75")</f>
        <v>Z</v>
      </c>
      <c r="P124">
        <f>RTD("tos.rtd", , "LAST", ".AAPL7170120P75")</f>
        <v>4.05</v>
      </c>
      <c r="Q124" t="str">
        <f>RTD("tos.rtd", , "LX", ".AAPL7170120P75")</f>
        <v>B</v>
      </c>
      <c r="R124">
        <f>RTD("tos.rtd", , "NET_CHANGE", ".AAPL7170120P75")</f>
        <v>0</v>
      </c>
    </row>
    <row r="125" spans="1:18">
      <c r="C125">
        <f>RTD("tos.rtd", , "LAST", ".AAPL7170120C80")</f>
        <v>22.75</v>
      </c>
      <c r="D125" t="str">
        <f>RTD("tos.rtd", , "LX", ".AAPL7170120C80")</f>
        <v>Z</v>
      </c>
      <c r="E125">
        <f>RTD("tos.rtd", , "NET_CHANGE", ".AAPL7170120C80")</f>
        <v>0</v>
      </c>
      <c r="F125">
        <f>RTD("tos.rtd", , "BID", ".AAPL7170120C80")</f>
        <v>0</v>
      </c>
      <c r="G125" t="str">
        <f>RTD("tos.rtd", , "BX", ".AAPL7170120C80")</f>
        <v>Z</v>
      </c>
      <c r="H125">
        <f>RTD("tos.rtd", , "ASK", ".AAPL7170120C80")</f>
        <v>22.75</v>
      </c>
      <c r="I125" t="str">
        <f>RTD("tos.rtd", , "AX", ".AAPL7170120C80")</f>
        <v>Z</v>
      </c>
      <c r="J125" t="str">
        <f>RTD("tos.rtd", , "EXPIRATION_DAY", ".AAPL7170120C80")</f>
        <v>2017-01-21</v>
      </c>
      <c r="K125">
        <f>RTD("tos.rtd", , "STRIKE", ".AAPL7170120C80")</f>
        <v>80</v>
      </c>
      <c r="L125">
        <f>RTD("tos.rtd", , "BID", ".AAPL7170120P80")</f>
        <v>2</v>
      </c>
      <c r="M125" t="str">
        <f>RTD("tos.rtd", , "BX", ".AAPL7170120P80")</f>
        <v>Z</v>
      </c>
      <c r="N125">
        <f>RTD("tos.rtd", , "ASK", ".AAPL7170120P80")</f>
        <v>9.4499999999999993</v>
      </c>
      <c r="O125" t="str">
        <f>RTD("tos.rtd", , "AX", ".AAPL7170120P80")</f>
        <v>Z</v>
      </c>
      <c r="P125">
        <f>RTD("tos.rtd", , "LAST", ".AAPL7170120P80")</f>
        <v>2</v>
      </c>
      <c r="Q125" t="str">
        <f>RTD("tos.rtd", , "LX", ".AAPL7170120P80")</f>
        <v>Z</v>
      </c>
      <c r="R125">
        <f>RTD("tos.rtd", , "NET_CHANGE", ".AAPL7170120P80")</f>
        <v>0</v>
      </c>
    </row>
    <row r="126" spans="1:18">
      <c r="C126">
        <f>RTD("tos.rtd", , "LAST", ".AAPL7170120C85")</f>
        <v>45</v>
      </c>
      <c r="D126" t="str">
        <f>RTD("tos.rtd", , "LX", ".AAPL7170120C85")</f>
        <v>Z</v>
      </c>
      <c r="E126">
        <f>RTD("tos.rtd", , "NET_CHANGE", ".AAPL7170120C85")</f>
        <v>0</v>
      </c>
      <c r="F126">
        <f>RTD("tos.rtd", , "BID", ".AAPL7170120C85")</f>
        <v>0</v>
      </c>
      <c r="G126" t="str">
        <f>RTD("tos.rtd", , "BX", ".AAPL7170120C85")</f>
        <v>Z</v>
      </c>
      <c r="H126">
        <f>RTD("tos.rtd", , "ASK", ".AAPL7170120C85")</f>
        <v>46</v>
      </c>
      <c r="I126" t="str">
        <f>RTD("tos.rtd", , "AX", ".AAPL7170120C85")</f>
        <v>Z</v>
      </c>
      <c r="J126" t="str">
        <f>RTD("tos.rtd", , "EXPIRATION_DAY", ".AAPL7170120C85")</f>
        <v>2017-01-21</v>
      </c>
      <c r="K126">
        <f>RTD("tos.rtd", , "STRIKE", ".AAPL7170120C85")</f>
        <v>85</v>
      </c>
      <c r="L126">
        <f>RTD("tos.rtd", , "BID", ".AAPL7170120P85")</f>
        <v>9.15</v>
      </c>
      <c r="M126" t="str">
        <f>RTD("tos.rtd", , "BX", ".AAPL7170120P85")</f>
        <v>Z</v>
      </c>
      <c r="N126">
        <f>RTD("tos.rtd", , "ASK", ".AAPL7170120P85")</f>
        <v>10.75</v>
      </c>
      <c r="O126" t="str">
        <f>RTD("tos.rtd", , "AX", ".AAPL7170120P85")</f>
        <v>A</v>
      </c>
      <c r="P126">
        <f>RTD("tos.rtd", , "LAST", ".AAPL7170120P85")</f>
        <v>9.15</v>
      </c>
      <c r="Q126" t="str">
        <f>RTD("tos.rtd", , "LX", ".AAPL7170120P85")</f>
        <v>N</v>
      </c>
      <c r="R126">
        <f>RTD("tos.rtd", , "NET_CHANGE", ".AAPL7170120P85")</f>
        <v>0</v>
      </c>
    </row>
    <row r="127" spans="1:18">
      <c r="C127">
        <f>RTD("tos.rtd", , "LAST", ".AAPL7170120C90")</f>
        <v>0</v>
      </c>
      <c r="D127" t="str">
        <f>RTD("tos.rtd", , "LX", ".AAPL7170120C90")</f>
        <v/>
      </c>
      <c r="E127">
        <f>RTD("tos.rtd", , "NET_CHANGE", ".AAPL7170120C90")</f>
        <v>0</v>
      </c>
      <c r="F127">
        <f>RTD("tos.rtd", , "BID", ".AAPL7170120C90")</f>
        <v>0</v>
      </c>
      <c r="G127" t="str">
        <f>RTD("tos.rtd", , "BX", ".AAPL7170120C90")</f>
        <v>Z</v>
      </c>
      <c r="H127">
        <f>RTD("tos.rtd", , "ASK", ".AAPL7170120C90")</f>
        <v>40</v>
      </c>
      <c r="I127" t="str">
        <f>RTD("tos.rtd", , "AX", ".AAPL7170120C90")</f>
        <v>Z</v>
      </c>
      <c r="J127" t="str">
        <f>RTD("tos.rtd", , "EXPIRATION_DAY", ".AAPL7170120C90")</f>
        <v>2017-01-21</v>
      </c>
      <c r="K127">
        <f>RTD("tos.rtd", , "STRIKE", ".AAPL7170120C90")</f>
        <v>90</v>
      </c>
      <c r="L127">
        <f>RTD("tos.rtd", , "BID", ".AAPL7170120P90")</f>
        <v>9.9</v>
      </c>
      <c r="M127" t="str">
        <f>RTD("tos.rtd", , "BX", ".AAPL7170120P90")</f>
        <v>Z</v>
      </c>
      <c r="N127">
        <f>RTD("tos.rtd", , "ASK", ".AAPL7170120P90")</f>
        <v>7.5</v>
      </c>
      <c r="O127" t="str">
        <f>RTD("tos.rtd", , "AX", ".AAPL7170120P90")</f>
        <v>Z</v>
      </c>
      <c r="P127">
        <f>RTD("tos.rtd", , "LAST", ".AAPL7170120P90")</f>
        <v>7.5</v>
      </c>
      <c r="Q127" t="str">
        <f>RTD("tos.rtd", , "LX", ".AAPL7170120P90")</f>
        <v>Z</v>
      </c>
      <c r="R127">
        <f>RTD("tos.rtd", , "NET_CHANGE", ".AAPL7170120P90")</f>
        <v>0</v>
      </c>
    </row>
    <row r="128" spans="1:18">
      <c r="C128">
        <f>RTD("tos.rtd", , "LAST", ".AAPL7170120C95")</f>
        <v>14.5</v>
      </c>
      <c r="D128" t="str">
        <f>RTD("tos.rtd", , "LX", ".AAPL7170120C95")</f>
        <v>Z</v>
      </c>
      <c r="E128">
        <f>RTD("tos.rtd", , "NET_CHANGE", ".AAPL7170120C95")</f>
        <v>0</v>
      </c>
      <c r="F128">
        <f>RTD("tos.rtd", , "BID", ".AAPL7170120C95")</f>
        <v>0</v>
      </c>
      <c r="G128" t="str">
        <f>RTD("tos.rtd", , "BX", ".AAPL7170120C95")</f>
        <v>Z</v>
      </c>
      <c r="H128">
        <f>RTD("tos.rtd", , "ASK", ".AAPL7170120C95")</f>
        <v>14.5</v>
      </c>
      <c r="I128" t="str">
        <f>RTD("tos.rtd", , "AX", ".AAPL7170120C95")</f>
        <v>Z</v>
      </c>
      <c r="J128" t="str">
        <f>RTD("tos.rtd", , "EXPIRATION_DAY", ".AAPL7170120C95")</f>
        <v>2017-01-21</v>
      </c>
      <c r="K128">
        <f>RTD("tos.rtd", , "STRIKE", ".AAPL7170120C95")</f>
        <v>95</v>
      </c>
      <c r="L128">
        <f>RTD("tos.rtd", , "BID", ".AAPL7170120P95")</f>
        <v>5</v>
      </c>
      <c r="M128" t="str">
        <f>RTD("tos.rtd", , "BX", ".AAPL7170120P95")</f>
        <v>Z</v>
      </c>
      <c r="N128" t="str">
        <f>RTD("tos.rtd", , "ASK", ".AAPL7170120P95")</f>
        <v>N/A</v>
      </c>
      <c r="O128" t="str">
        <f>RTD("tos.rtd", , "AX", ".AAPL7170120P95")</f>
        <v xml:space="preserve"> </v>
      </c>
      <c r="P128">
        <f>RTD("tos.rtd", , "LAST", ".AAPL7170120P95")</f>
        <v>5</v>
      </c>
      <c r="Q128" t="str">
        <f>RTD("tos.rtd", , "LX", ".AAPL7170120P95")</f>
        <v>Z</v>
      </c>
      <c r="R128">
        <f>RTD("tos.rtd", , "NET_CHANGE", ".AAPL7170120P95")</f>
        <v>0</v>
      </c>
    </row>
    <row r="129" spans="1:18">
      <c r="C129">
        <f>RTD("tos.rtd", , "LAST", ".AAPL7170120C100")</f>
        <v>9.9</v>
      </c>
      <c r="D129" t="str">
        <f>RTD("tos.rtd", , "LX", ".AAPL7170120C100")</f>
        <v>Z</v>
      </c>
      <c r="E129">
        <f>RTD("tos.rtd", , "NET_CHANGE", ".AAPL7170120C100")</f>
        <v>0</v>
      </c>
      <c r="F129">
        <f>RTD("tos.rtd", , "BID", ".AAPL7170120C100")</f>
        <v>0</v>
      </c>
      <c r="G129" t="str">
        <f>RTD("tos.rtd", , "BX", ".AAPL7170120C100")</f>
        <v>Z</v>
      </c>
      <c r="H129">
        <f>RTD("tos.rtd", , "ASK", ".AAPL7170120C100")</f>
        <v>27.4</v>
      </c>
      <c r="I129" t="str">
        <f>RTD("tos.rtd", , "AX", ".AAPL7170120C100")</f>
        <v>Z</v>
      </c>
      <c r="J129" t="str">
        <f>RTD("tos.rtd", , "EXPIRATION_DAY", ".AAPL7170120C100")</f>
        <v>2017-01-21</v>
      </c>
      <c r="K129">
        <f>RTD("tos.rtd", , "STRIKE", ".AAPL7170120C100")</f>
        <v>100</v>
      </c>
      <c r="L129">
        <f>RTD("tos.rtd", , "BID", ".AAPL7170120P100")</f>
        <v>6.8</v>
      </c>
      <c r="M129" t="str">
        <f>RTD("tos.rtd", , "BX", ".AAPL7170120P100")</f>
        <v>Z</v>
      </c>
      <c r="N129" t="str">
        <f>RTD("tos.rtd", , "ASK", ".AAPL7170120P100")</f>
        <v>N/A</v>
      </c>
      <c r="O129" t="str">
        <f>RTD("tos.rtd", , "AX", ".AAPL7170120P100")</f>
        <v xml:space="preserve"> </v>
      </c>
      <c r="P129">
        <f>RTD("tos.rtd", , "LAST", ".AAPL7170120P100")</f>
        <v>6.8</v>
      </c>
      <c r="Q129" t="str">
        <f>RTD("tos.rtd", , "LX", ".AAPL7170120P100")</f>
        <v>Z</v>
      </c>
      <c r="R129">
        <f>RTD("tos.rtd", , "NET_CHANGE", ".AAPL7170120P100")</f>
        <v>0</v>
      </c>
    </row>
    <row r="130" spans="1:18">
      <c r="C130">
        <f>RTD("tos.rtd", , "LAST", ".AAPL7170120C105")</f>
        <v>8.4</v>
      </c>
      <c r="D130" t="str">
        <f>RTD("tos.rtd", , "LX", ".AAPL7170120C105")</f>
        <v>Z</v>
      </c>
      <c r="E130">
        <f>RTD("tos.rtd", , "NET_CHANGE", ".AAPL7170120C105")</f>
        <v>0</v>
      </c>
      <c r="F130">
        <f>RTD("tos.rtd", , "BID", ".AAPL7170120C105")</f>
        <v>8.4</v>
      </c>
      <c r="G130" t="str">
        <f>RTD("tos.rtd", , "BX", ".AAPL7170120C105")</f>
        <v>Z</v>
      </c>
      <c r="H130">
        <f>RTD("tos.rtd", , "ASK", ".AAPL7170120C105")</f>
        <v>11.35</v>
      </c>
      <c r="I130" t="str">
        <f>RTD("tos.rtd", , "AX", ".AAPL7170120C105")</f>
        <v>Z</v>
      </c>
      <c r="J130" t="str">
        <f>RTD("tos.rtd", , "EXPIRATION_DAY", ".AAPL7170120C105")</f>
        <v>2017-01-21</v>
      </c>
      <c r="K130">
        <f>RTD("tos.rtd", , "STRIKE", ".AAPL7170120C105")</f>
        <v>105</v>
      </c>
      <c r="L130">
        <f>RTD("tos.rtd", , "BID", ".AAPL7170120P105")</f>
        <v>8.3000000000000007</v>
      </c>
      <c r="M130" t="str">
        <f>RTD("tos.rtd", , "BX", ".AAPL7170120P105")</f>
        <v>Z</v>
      </c>
      <c r="N130" t="str">
        <f>RTD("tos.rtd", , "ASK", ".AAPL7170120P105")</f>
        <v>N/A</v>
      </c>
      <c r="O130" t="str">
        <f>RTD("tos.rtd", , "AX", ".AAPL7170120P105")</f>
        <v xml:space="preserve"> </v>
      </c>
      <c r="P130">
        <f>RTD("tos.rtd", , "LAST", ".AAPL7170120P105")</f>
        <v>8.31</v>
      </c>
      <c r="Q130" t="str">
        <f>RTD("tos.rtd", , "LX", ".AAPL7170120P105")</f>
        <v>Z</v>
      </c>
      <c r="R130">
        <f>RTD("tos.rtd", , "NET_CHANGE", ".AAPL7170120P105")</f>
        <v>0</v>
      </c>
    </row>
    <row r="131" spans="1:18">
      <c r="C131">
        <f>RTD("tos.rtd", , "LAST", ".AAPL7170120C110")</f>
        <v>6.7</v>
      </c>
      <c r="D131" t="str">
        <f>RTD("tos.rtd", , "LX", ".AAPL7170120C110")</f>
        <v>Z</v>
      </c>
      <c r="E131">
        <f>RTD("tos.rtd", , "NET_CHANGE", ".AAPL7170120C110")</f>
        <v>0</v>
      </c>
      <c r="F131">
        <f>RTD("tos.rtd", , "BID", ".AAPL7170120C110")</f>
        <v>5.0999999999999996</v>
      </c>
      <c r="G131" t="str">
        <f>RTD("tos.rtd", , "BX", ".AAPL7170120C110")</f>
        <v>Z</v>
      </c>
      <c r="H131">
        <f>RTD("tos.rtd", , "ASK", ".AAPL7170120C110")</f>
        <v>28</v>
      </c>
      <c r="I131" t="str">
        <f>RTD("tos.rtd", , "AX", ".AAPL7170120C110")</f>
        <v>Z</v>
      </c>
      <c r="J131" t="str">
        <f>RTD("tos.rtd", , "EXPIRATION_DAY", ".AAPL7170120C110")</f>
        <v>2017-01-21</v>
      </c>
      <c r="K131">
        <f>RTD("tos.rtd", , "STRIKE", ".AAPL7170120C110")</f>
        <v>110</v>
      </c>
      <c r="L131">
        <f>RTD("tos.rtd", , "BID", ".AAPL7170120P110")</f>
        <v>18.25</v>
      </c>
      <c r="M131" t="str">
        <f>RTD("tos.rtd", , "BX", ".AAPL7170120P110")</f>
        <v>Z</v>
      </c>
      <c r="N131">
        <f>RTD("tos.rtd", , "ASK", ".AAPL7170120P110")</f>
        <v>23</v>
      </c>
      <c r="O131" t="str">
        <f>RTD("tos.rtd", , "AX", ".AAPL7170120P110")</f>
        <v>Z</v>
      </c>
      <c r="P131">
        <f>RTD("tos.rtd", , "LAST", ".AAPL7170120P110")</f>
        <v>0</v>
      </c>
      <c r="Q131" t="str">
        <f>RTD("tos.rtd", , "LX", ".AAPL7170120P110")</f>
        <v/>
      </c>
      <c r="R131">
        <f>RTD("tos.rtd", , "NET_CHANGE", ".AAPL7170120P110")</f>
        <v>0</v>
      </c>
    </row>
    <row r="132" spans="1:18">
      <c r="C132">
        <f>RTD("tos.rtd", , "LAST", ".AAPL7170120C115")</f>
        <v>5</v>
      </c>
      <c r="D132" t="str">
        <f>RTD("tos.rtd", , "LX", ".AAPL7170120C115")</f>
        <v>Z</v>
      </c>
      <c r="E132">
        <f>RTD("tos.rtd", , "NET_CHANGE", ".AAPL7170120C115")</f>
        <v>0</v>
      </c>
      <c r="F132">
        <f>RTD("tos.rtd", , "BID", ".AAPL7170120C115")</f>
        <v>0</v>
      </c>
      <c r="G132" t="str">
        <f>RTD("tos.rtd", , "BX", ".AAPL7170120C115")</f>
        <v>Z</v>
      </c>
      <c r="H132">
        <f>RTD("tos.rtd", , "ASK", ".AAPL7170120C115")</f>
        <v>13.5</v>
      </c>
      <c r="I132" t="str">
        <f>RTD("tos.rtd", , "AX", ".AAPL7170120C115")</f>
        <v>Z</v>
      </c>
      <c r="J132" t="str">
        <f>RTD("tos.rtd", , "EXPIRATION_DAY", ".AAPL7170120C115")</f>
        <v>2017-01-21</v>
      </c>
      <c r="K132">
        <f>RTD("tos.rtd", , "STRIKE", ".AAPL7170120C115")</f>
        <v>115</v>
      </c>
      <c r="L132">
        <f>RTD("tos.rtd", , "BID", ".AAPL7170120P115")</f>
        <v>21.5</v>
      </c>
      <c r="M132" t="str">
        <f>RTD("tos.rtd", , "BX", ".AAPL7170120P115")</f>
        <v>A</v>
      </c>
      <c r="N132">
        <f>RTD("tos.rtd", , "ASK", ".AAPL7170120P115")</f>
        <v>26</v>
      </c>
      <c r="O132" t="str">
        <f>RTD("tos.rtd", , "AX", ".AAPL7170120P115")</f>
        <v>A</v>
      </c>
      <c r="P132">
        <f>RTD("tos.rtd", , "LAST", ".AAPL7170120P115")</f>
        <v>20</v>
      </c>
      <c r="Q132" t="str">
        <f>RTD("tos.rtd", , "LX", ".AAPL7170120P115")</f>
        <v>A</v>
      </c>
      <c r="R132">
        <f>RTD("tos.rtd", , "NET_CHANGE", ".AAPL7170120P115")</f>
        <v>0</v>
      </c>
    </row>
    <row r="133" spans="1:18">
      <c r="C133">
        <f>RTD("tos.rtd", , "LAST", ".AAPL7170120C120")</f>
        <v>3</v>
      </c>
      <c r="D133" t="str">
        <f>RTD("tos.rtd", , "LX", ".AAPL7170120C120")</f>
        <v>Z</v>
      </c>
      <c r="E133">
        <f>RTD("tos.rtd", , "NET_CHANGE", ".AAPL7170120C120")</f>
        <v>0</v>
      </c>
      <c r="F133">
        <f>RTD("tos.rtd", , "BID", ".AAPL7170120C120")</f>
        <v>0</v>
      </c>
      <c r="G133" t="str">
        <f>RTD("tos.rtd", , "BX", ".AAPL7170120C120")</f>
        <v>Z</v>
      </c>
      <c r="H133">
        <f>RTD("tos.rtd", , "ASK", ".AAPL7170120C120")</f>
        <v>7.35</v>
      </c>
      <c r="I133" t="str">
        <f>RTD("tos.rtd", , "AX", ".AAPL7170120C120")</f>
        <v>Z</v>
      </c>
      <c r="J133" t="str">
        <f>RTD("tos.rtd", , "EXPIRATION_DAY", ".AAPL7170120C120")</f>
        <v>2017-01-21</v>
      </c>
      <c r="K133">
        <f>RTD("tos.rtd", , "STRIKE", ".AAPL7170120C120")</f>
        <v>120</v>
      </c>
      <c r="L133">
        <f>RTD("tos.rtd", , "BID", ".AAPL7170120P120")</f>
        <v>25</v>
      </c>
      <c r="M133" t="str">
        <f>RTD("tos.rtd", , "BX", ".AAPL7170120P120")</f>
        <v>A</v>
      </c>
      <c r="N133">
        <f>RTD("tos.rtd", , "ASK", ".AAPL7170120P120")</f>
        <v>29.5</v>
      </c>
      <c r="O133" t="str">
        <f>RTD("tos.rtd", , "AX", ".AAPL7170120P120")</f>
        <v>A</v>
      </c>
      <c r="P133">
        <f>RTD("tos.rtd", , "LAST", ".AAPL7170120P120")</f>
        <v>0</v>
      </c>
      <c r="Q133" t="str">
        <f>RTD("tos.rtd", , "LX", ".AAPL7170120P120")</f>
        <v/>
      </c>
      <c r="R133">
        <f>RTD("tos.rtd", , "NET_CHANGE", ".AAPL7170120P120")</f>
        <v>0</v>
      </c>
    </row>
    <row r="134" spans="1:18">
      <c r="C134">
        <f>RTD("tos.rtd", , "LAST", ".AAPL7170120C125")</f>
        <v>20.399999999999999</v>
      </c>
      <c r="D134" t="str">
        <f>RTD("tos.rtd", , "LX", ".AAPL7170120C125")</f>
        <v>Z</v>
      </c>
      <c r="E134">
        <f>RTD("tos.rtd", , "NET_CHANGE", ".AAPL7170120C125")</f>
        <v>0</v>
      </c>
      <c r="F134">
        <f>RTD("tos.rtd", , "BID", ".AAPL7170120C125")</f>
        <v>0</v>
      </c>
      <c r="G134" t="str">
        <f>RTD("tos.rtd", , "BX", ".AAPL7170120C125")</f>
        <v>Z</v>
      </c>
      <c r="H134">
        <f>RTD("tos.rtd", , "ASK", ".AAPL7170120C125")</f>
        <v>20</v>
      </c>
      <c r="I134" t="str">
        <f>RTD("tos.rtd", , "AX", ".AAPL7170120C125")</f>
        <v>Z</v>
      </c>
      <c r="J134" t="str">
        <f>RTD("tos.rtd", , "EXPIRATION_DAY", ".AAPL7170120C125")</f>
        <v>2017-01-21</v>
      </c>
      <c r="K134">
        <f>RTD("tos.rtd", , "STRIKE", ".AAPL7170120C125")</f>
        <v>125</v>
      </c>
      <c r="L134">
        <f>RTD("tos.rtd", , "BID", ".AAPL7170120P125")</f>
        <v>17</v>
      </c>
      <c r="M134" t="str">
        <f>RTD("tos.rtd", , "BX", ".AAPL7170120P125")</f>
        <v>Z</v>
      </c>
      <c r="N134">
        <f>RTD("tos.rtd", , "ASK", ".AAPL7170120P125")</f>
        <v>32.950000000000003</v>
      </c>
      <c r="O134" t="str">
        <f>RTD("tos.rtd", , "AX", ".AAPL7170120P125")</f>
        <v>Z</v>
      </c>
      <c r="P134">
        <f>RTD("tos.rtd", , "LAST", ".AAPL7170120P125")</f>
        <v>33</v>
      </c>
      <c r="Q134" t="str">
        <f>RTD("tos.rtd", , "LX", ".AAPL7170120P125")</f>
        <v>B</v>
      </c>
      <c r="R134">
        <f>RTD("tos.rtd", , "NET_CHANGE", ".AAPL7170120P125")</f>
        <v>0</v>
      </c>
    </row>
    <row r="135" spans="1:18">
      <c r="C135">
        <f>RTD("tos.rtd", , "LAST", ".AAPL7170120C130")</f>
        <v>17.2</v>
      </c>
      <c r="D135" t="str">
        <f>RTD("tos.rtd", , "LX", ".AAPL7170120C130")</f>
        <v>Z</v>
      </c>
      <c r="E135">
        <f>RTD("tos.rtd", , "NET_CHANGE", ".AAPL7170120C130")</f>
        <v>0</v>
      </c>
      <c r="F135">
        <f>RTD("tos.rtd", , "BID", ".AAPL7170120C130")</f>
        <v>0</v>
      </c>
      <c r="G135" t="str">
        <f>RTD("tos.rtd", , "BX", ".AAPL7170120C130")</f>
        <v>Z</v>
      </c>
      <c r="H135">
        <f>RTD("tos.rtd", , "ASK", ".AAPL7170120C130")</f>
        <v>22</v>
      </c>
      <c r="I135" t="str">
        <f>RTD("tos.rtd", , "AX", ".AAPL7170120C130")</f>
        <v>Z</v>
      </c>
      <c r="J135" t="str">
        <f>RTD("tos.rtd", , "EXPIRATION_DAY", ".AAPL7170120C130")</f>
        <v>2017-01-21</v>
      </c>
      <c r="K135">
        <f>RTD("tos.rtd", , "STRIKE", ".AAPL7170120C130")</f>
        <v>130</v>
      </c>
      <c r="L135">
        <f>RTD("tos.rtd", , "BID", ".AAPL7170120P130")</f>
        <v>31.55</v>
      </c>
      <c r="M135" t="str">
        <f>RTD("tos.rtd", , "BX", ".AAPL7170120P130")</f>
        <v>A</v>
      </c>
      <c r="N135">
        <f>RTD("tos.rtd", , "ASK", ".AAPL7170120P130")</f>
        <v>36.35</v>
      </c>
      <c r="O135" t="str">
        <f>RTD("tos.rtd", , "AX", ".AAPL7170120P130")</f>
        <v>Z</v>
      </c>
      <c r="P135">
        <f>RTD("tos.rtd", , "LAST", ".AAPL7170120P130")</f>
        <v>0</v>
      </c>
      <c r="Q135" t="str">
        <f>RTD("tos.rtd", , "LX", ".AAPL7170120P130")</f>
        <v/>
      </c>
      <c r="R135">
        <f>RTD("tos.rtd", , "NET_CHANGE", ".AAPL7170120P130")</f>
        <v>0</v>
      </c>
    </row>
    <row r="136" spans="1:18">
      <c r="C136">
        <f>RTD("tos.rtd", , "LAST", ".AAPL7170120C135")</f>
        <v>2.2000000000000002</v>
      </c>
      <c r="D136" t="str">
        <f>RTD("tos.rtd", , "LX", ".AAPL7170120C135")</f>
        <v>Z</v>
      </c>
      <c r="E136">
        <f>RTD("tos.rtd", , "NET_CHANGE", ".AAPL7170120C135")</f>
        <v>0</v>
      </c>
      <c r="F136">
        <f>RTD("tos.rtd", , "BID", ".AAPL7170120C135")</f>
        <v>2.2000000000000002</v>
      </c>
      <c r="G136" t="str">
        <f>RTD("tos.rtd", , "BX", ".AAPL7170120C135")</f>
        <v>Z</v>
      </c>
      <c r="H136">
        <f>RTD("tos.rtd", , "ASK", ".AAPL7170120C135")</f>
        <v>17</v>
      </c>
      <c r="I136" t="str">
        <f>RTD("tos.rtd", , "AX", ".AAPL7170120C135")</f>
        <v>Z</v>
      </c>
      <c r="J136" t="str">
        <f>RTD("tos.rtd", , "EXPIRATION_DAY", ".AAPL7170120C135")</f>
        <v>2017-01-21</v>
      </c>
      <c r="K136">
        <f>RTD("tos.rtd", , "STRIKE", ".AAPL7170120C135")</f>
        <v>135</v>
      </c>
      <c r="L136">
        <f>RTD("tos.rtd", , "BID", ".AAPL7170120P135")</f>
        <v>0</v>
      </c>
      <c r="M136" t="str">
        <f>RTD("tos.rtd", , "BX", ".AAPL7170120P135")</f>
        <v>Z</v>
      </c>
      <c r="N136">
        <f>RTD("tos.rtd", , "ASK", ".AAPL7170120P135")</f>
        <v>39</v>
      </c>
      <c r="O136" t="str">
        <f>RTD("tos.rtd", , "AX", ".AAPL7170120P135")</f>
        <v>Z</v>
      </c>
      <c r="P136">
        <f>RTD("tos.rtd", , "LAST", ".AAPL7170120P135")</f>
        <v>39</v>
      </c>
      <c r="Q136" t="str">
        <f>RTD("tos.rtd", , "LX", ".AAPL7170120P135")</f>
        <v>Z</v>
      </c>
      <c r="R136">
        <f>RTD("tos.rtd", , "NET_CHANGE", ".AAPL7170120P135")</f>
        <v>0</v>
      </c>
    </row>
    <row r="137" spans="1:18">
      <c r="A137" t="s">
        <v>80</v>
      </c>
    </row>
    <row r="138" spans="1:18">
      <c r="C138" t="s">
        <v>2</v>
      </c>
      <c r="D138" t="s">
        <v>3</v>
      </c>
      <c r="E138" t="s">
        <v>4</v>
      </c>
      <c r="F138" t="s">
        <v>5</v>
      </c>
      <c r="G138" t="s">
        <v>6</v>
      </c>
      <c r="H138" t="s">
        <v>7</v>
      </c>
      <c r="I138" t="s">
        <v>8</v>
      </c>
      <c r="J138" t="s">
        <v>35</v>
      </c>
      <c r="K138" t="s">
        <v>36</v>
      </c>
      <c r="L138" t="s">
        <v>5</v>
      </c>
      <c r="M138" t="s">
        <v>6</v>
      </c>
      <c r="N138" t="s">
        <v>7</v>
      </c>
      <c r="O138" t="s">
        <v>8</v>
      </c>
      <c r="P138" t="s">
        <v>2</v>
      </c>
      <c r="Q138" t="s">
        <v>3</v>
      </c>
      <c r="R138" t="s">
        <v>4</v>
      </c>
    </row>
    <row r="139" spans="1:18">
      <c r="C139">
        <f>RTD("tos.rtd", , "LAST", ".AAPL170616C47.5")</f>
        <v>54.73</v>
      </c>
      <c r="D139" t="str">
        <f>RTD("tos.rtd", , "LX", ".AAPL170616C47.5")</f>
        <v>C</v>
      </c>
      <c r="E139">
        <f>RTD("tos.rtd", , "NET_CHANGE", ".AAPL170616C47.5")</f>
        <v>0</v>
      </c>
      <c r="F139">
        <f>RTD("tos.rtd", , "BID", ".AAPL170616C47.5")</f>
        <v>64.150000000000006</v>
      </c>
      <c r="G139" t="str">
        <f>RTD("tos.rtd", , "BX", ".AAPL170616C47.5")</f>
        <v>C</v>
      </c>
      <c r="H139">
        <f>RTD("tos.rtd", , "ASK", ".AAPL170616C47.5")</f>
        <v>65.05</v>
      </c>
      <c r="I139" t="str">
        <f>RTD("tos.rtd", , "AX", ".AAPL170616C47.5")</f>
        <v>T</v>
      </c>
      <c r="J139" t="str">
        <f>RTD("tos.rtd", , "EXPIRATION_DAY", ".AAPL170616C47.5")</f>
        <v>2017-06-17</v>
      </c>
      <c r="K139">
        <f>RTD("tos.rtd", , "STRIKE", ".AAPL170616C47.5")</f>
        <v>47.5</v>
      </c>
      <c r="L139">
        <f>RTD("tos.rtd", , "BID", ".AAPL170616P47.5")</f>
        <v>0.34</v>
      </c>
      <c r="M139" t="str">
        <f>RTD("tos.rtd", , "BX", ".AAPL170616P47.5")</f>
        <v>X</v>
      </c>
      <c r="N139">
        <f>RTD("tos.rtd", , "ASK", ".AAPL170616P47.5")</f>
        <v>0.56000000000000005</v>
      </c>
      <c r="O139" t="str">
        <f>RTD("tos.rtd", , "AX", ".AAPL170616P47.5")</f>
        <v>X</v>
      </c>
      <c r="P139">
        <f>RTD("tos.rtd", , "LAST", ".AAPL170616P47.5")</f>
        <v>0.49</v>
      </c>
      <c r="Q139" t="str">
        <f>RTD("tos.rtd", , "LX", ".AAPL170616P47.5")</f>
        <v>Q</v>
      </c>
      <c r="R139">
        <f>RTD("tos.rtd", , "NET_CHANGE", ".AAPL170616P47.5")</f>
        <v>0</v>
      </c>
    </row>
    <row r="140" spans="1:18">
      <c r="C140">
        <f>RTD("tos.rtd", , "LAST", ".AAPL170616C50")</f>
        <v>59.25</v>
      </c>
      <c r="D140" t="str">
        <f>RTD("tos.rtd", , "LX", ".AAPL170616C50")</f>
        <v>M</v>
      </c>
      <c r="E140">
        <f>RTD("tos.rtd", , "NET_CHANGE", ".AAPL170616C50")</f>
        <v>0</v>
      </c>
      <c r="F140">
        <f>RTD("tos.rtd", , "BID", ".AAPL170616C50")</f>
        <v>61.65</v>
      </c>
      <c r="G140" t="str">
        <f>RTD("tos.rtd", , "BX", ".AAPL170616C50")</f>
        <v>C</v>
      </c>
      <c r="H140">
        <f>RTD("tos.rtd", , "ASK", ".AAPL170616C50")</f>
        <v>62.55</v>
      </c>
      <c r="I140" t="str">
        <f>RTD("tos.rtd", , "AX", ".AAPL170616C50")</f>
        <v>T</v>
      </c>
      <c r="J140" t="str">
        <f>RTD("tos.rtd", , "EXPIRATION_DAY", ".AAPL170616C50")</f>
        <v>2017-06-17</v>
      </c>
      <c r="K140">
        <f>RTD("tos.rtd", , "STRIKE", ".AAPL170616C50")</f>
        <v>50</v>
      </c>
      <c r="L140">
        <f>RTD("tos.rtd", , "BID", ".AAPL170616P50")</f>
        <v>0.39</v>
      </c>
      <c r="M140" t="str">
        <f>RTD("tos.rtd", , "BX", ".AAPL170616P50")</f>
        <v>X</v>
      </c>
      <c r="N140">
        <f>RTD("tos.rtd", , "ASK", ".AAPL170616P50")</f>
        <v>0.64</v>
      </c>
      <c r="O140" t="str">
        <f>RTD("tos.rtd", , "AX", ".AAPL170616P50")</f>
        <v>X</v>
      </c>
      <c r="P140">
        <f>RTD("tos.rtd", , "LAST", ".AAPL170616P50")</f>
        <v>0.6</v>
      </c>
      <c r="Q140" t="str">
        <f>RTD("tos.rtd", , "LX", ".AAPL170616P50")</f>
        <v>X</v>
      </c>
      <c r="R140">
        <f>RTD("tos.rtd", , "NET_CHANGE", ".AAPL170616P50")</f>
        <v>0</v>
      </c>
    </row>
    <row r="141" spans="1:18">
      <c r="C141">
        <f>RTD("tos.rtd", , "LAST", ".AAPL170616C55")</f>
        <v>46.4</v>
      </c>
      <c r="D141" t="str">
        <f>RTD("tos.rtd", , "LX", ".AAPL170616C55")</f>
        <v>N</v>
      </c>
      <c r="E141">
        <f>RTD("tos.rtd", , "NET_CHANGE", ".AAPL170616C55")</f>
        <v>0</v>
      </c>
      <c r="F141">
        <f>RTD("tos.rtd", , "BID", ".AAPL170616C55")</f>
        <v>56.65</v>
      </c>
      <c r="G141" t="str">
        <f>RTD("tos.rtd", , "BX", ".AAPL170616C55")</f>
        <v>C</v>
      </c>
      <c r="H141">
        <f>RTD("tos.rtd", , "ASK", ".AAPL170616C55")</f>
        <v>57.8</v>
      </c>
      <c r="I141" t="str">
        <f>RTD("tos.rtd", , "AX", ".AAPL170616C55")</f>
        <v>C</v>
      </c>
      <c r="J141" t="str">
        <f>RTD("tos.rtd", , "EXPIRATION_DAY", ".AAPL170616C55")</f>
        <v>2017-06-17</v>
      </c>
      <c r="K141">
        <f>RTD("tos.rtd", , "STRIKE", ".AAPL170616C55")</f>
        <v>55</v>
      </c>
      <c r="L141">
        <f>RTD("tos.rtd", , "BID", ".AAPL170616P55")</f>
        <v>0.55000000000000004</v>
      </c>
      <c r="M141" t="str">
        <f>RTD("tos.rtd", , "BX", ".AAPL170616P55")</f>
        <v>X</v>
      </c>
      <c r="N141">
        <f>RTD("tos.rtd", , "ASK", ".AAPL170616P55")</f>
        <v>0.82</v>
      </c>
      <c r="O141" t="str">
        <f>RTD("tos.rtd", , "AX", ".AAPL170616P55")</f>
        <v>X</v>
      </c>
      <c r="P141">
        <f>RTD("tos.rtd", , "LAST", ".AAPL170616P55")</f>
        <v>0.65</v>
      </c>
      <c r="Q141" t="str">
        <f>RTD("tos.rtd", , "LX", ".AAPL170616P55")</f>
        <v>X</v>
      </c>
      <c r="R141">
        <f>RTD("tos.rtd", , "NET_CHANGE", ".AAPL170616P55")</f>
        <v>0</v>
      </c>
    </row>
    <row r="142" spans="1:18">
      <c r="C142">
        <f>RTD("tos.rtd", , "LAST", ".AAPL170616C60")</f>
        <v>52</v>
      </c>
      <c r="D142" t="str">
        <f>RTD("tos.rtd", , "LX", ".AAPL170616C60")</f>
        <v>Q</v>
      </c>
      <c r="E142">
        <f>RTD("tos.rtd", , "NET_CHANGE", ".AAPL170616C60")</f>
        <v>1.95</v>
      </c>
      <c r="F142">
        <f>RTD("tos.rtd", , "BID", ".AAPL170616C60")</f>
        <v>51.8</v>
      </c>
      <c r="G142" t="str">
        <f>RTD("tos.rtd", , "BX", ".AAPL170616C60")</f>
        <v>C</v>
      </c>
      <c r="H142">
        <f>RTD("tos.rtd", , "ASK", ".AAPL170616C60")</f>
        <v>52.85</v>
      </c>
      <c r="I142" t="str">
        <f>RTD("tos.rtd", , "AX", ".AAPL170616C60")</f>
        <v>C</v>
      </c>
      <c r="J142" t="str">
        <f>RTD("tos.rtd", , "EXPIRATION_DAY", ".AAPL170616C60")</f>
        <v>2017-06-17</v>
      </c>
      <c r="K142">
        <f>RTD("tos.rtd", , "STRIKE", ".AAPL170616C60")</f>
        <v>60</v>
      </c>
      <c r="L142">
        <f>RTD("tos.rtd", , "BID", ".AAPL170616P60")</f>
        <v>0.85</v>
      </c>
      <c r="M142" t="str">
        <f>RTD("tos.rtd", , "BX", ".AAPL170616P60")</f>
        <v>C</v>
      </c>
      <c r="N142">
        <f>RTD("tos.rtd", , "ASK", ".AAPL170616P60")</f>
        <v>1.08</v>
      </c>
      <c r="O142" t="str">
        <f>RTD("tos.rtd", , "AX", ".AAPL170616P60")</f>
        <v>C</v>
      </c>
      <c r="P142">
        <f>RTD("tos.rtd", , "LAST", ".AAPL170616P60")</f>
        <v>1.02</v>
      </c>
      <c r="Q142" t="str">
        <f>RTD("tos.rtd", , "LX", ".AAPL170616P60")</f>
        <v>N</v>
      </c>
      <c r="R142">
        <f>RTD("tos.rtd", , "NET_CHANGE", ".AAPL170616P60")</f>
        <v>0</v>
      </c>
    </row>
    <row r="143" spans="1:18">
      <c r="C143">
        <f>RTD("tos.rtd", , "LAST", ".AAPL170616C65")</f>
        <v>41.25</v>
      </c>
      <c r="D143" t="str">
        <f>RTD("tos.rtd", , "LX", ".AAPL170616C65")</f>
        <v>A</v>
      </c>
      <c r="E143">
        <f>RTD("tos.rtd", , "NET_CHANGE", ".AAPL170616C65")</f>
        <v>0</v>
      </c>
      <c r="F143">
        <f>RTD("tos.rtd", , "BID", ".AAPL170616C65")</f>
        <v>46.95</v>
      </c>
      <c r="G143" t="str">
        <f>RTD("tos.rtd", , "BX", ".AAPL170616C65")</f>
        <v>C</v>
      </c>
      <c r="H143">
        <f>RTD("tos.rtd", , "ASK", ".AAPL170616C65")</f>
        <v>47.95</v>
      </c>
      <c r="I143" t="str">
        <f>RTD("tos.rtd", , "AX", ".AAPL170616C65")</f>
        <v>C</v>
      </c>
      <c r="J143" t="str">
        <f>RTD("tos.rtd", , "EXPIRATION_DAY", ".AAPL170616C65")</f>
        <v>2017-06-17</v>
      </c>
      <c r="K143">
        <f>RTD("tos.rtd", , "STRIKE", ".AAPL170616C65")</f>
        <v>65</v>
      </c>
      <c r="L143">
        <f>RTD("tos.rtd", , "BID", ".AAPL170616P65")</f>
        <v>1.1100000000000001</v>
      </c>
      <c r="M143" t="str">
        <f>RTD("tos.rtd", , "BX", ".AAPL170616P65")</f>
        <v>C</v>
      </c>
      <c r="N143">
        <f>RTD("tos.rtd", , "ASK", ".AAPL170616P65")</f>
        <v>1.41</v>
      </c>
      <c r="O143" t="str">
        <f>RTD("tos.rtd", , "AX", ".AAPL170616P65")</f>
        <v>X</v>
      </c>
      <c r="P143">
        <f>RTD("tos.rtd", , "LAST", ".AAPL170616P65")</f>
        <v>1.26</v>
      </c>
      <c r="Q143" t="str">
        <f>RTD("tos.rtd", , "LX", ".AAPL170616P65")</f>
        <v>I</v>
      </c>
      <c r="R143">
        <f>RTD("tos.rtd", , "NET_CHANGE", ".AAPL170616P65")</f>
        <v>-0.12</v>
      </c>
    </row>
    <row r="144" spans="1:18">
      <c r="C144">
        <f>RTD("tos.rtd", , "LAST", ".AAPL170616C70")</f>
        <v>42.65</v>
      </c>
      <c r="D144" t="str">
        <f>RTD("tos.rtd", , "LX", ".AAPL170616C70")</f>
        <v>Z</v>
      </c>
      <c r="E144">
        <f>RTD("tos.rtd", , "NET_CHANGE", ".AAPL170616C70")</f>
        <v>1.9</v>
      </c>
      <c r="F144">
        <f>RTD("tos.rtd", , "BID", ".AAPL170616C70")</f>
        <v>42.3</v>
      </c>
      <c r="G144" t="str">
        <f>RTD("tos.rtd", , "BX", ".AAPL170616C70")</f>
        <v>C</v>
      </c>
      <c r="H144">
        <f>RTD("tos.rtd", , "ASK", ".AAPL170616C70")</f>
        <v>43.25</v>
      </c>
      <c r="I144" t="str">
        <f>RTD("tos.rtd", , "AX", ".AAPL170616C70")</f>
        <v>A</v>
      </c>
      <c r="J144" t="str">
        <f>RTD("tos.rtd", , "EXPIRATION_DAY", ".AAPL170616C70")</f>
        <v>2017-06-17</v>
      </c>
      <c r="K144">
        <f>RTD("tos.rtd", , "STRIKE", ".AAPL170616C70")</f>
        <v>70</v>
      </c>
      <c r="L144">
        <f>RTD("tos.rtd", , "BID", ".AAPL170616P70")</f>
        <v>1.58</v>
      </c>
      <c r="M144" t="str">
        <f>RTD("tos.rtd", , "BX", ".AAPL170616P70")</f>
        <v>C</v>
      </c>
      <c r="N144">
        <f>RTD("tos.rtd", , "ASK", ".AAPL170616P70")</f>
        <v>1.85</v>
      </c>
      <c r="O144" t="str">
        <f>RTD("tos.rtd", , "AX", ".AAPL170616P70")</f>
        <v>C</v>
      </c>
      <c r="P144">
        <f>RTD("tos.rtd", , "LAST", ".AAPL170616P70")</f>
        <v>1.85</v>
      </c>
      <c r="Q144" t="str">
        <f>RTD("tos.rtd", , "LX", ".AAPL170616P70")</f>
        <v>W</v>
      </c>
      <c r="R144">
        <f>RTD("tos.rtd", , "NET_CHANGE", ".AAPL170616P70")</f>
        <v>0</v>
      </c>
    </row>
    <row r="145" spans="3:18">
      <c r="C145">
        <f>RTD("tos.rtd", , "LAST", ".AAPL170616C75")</f>
        <v>37.700000000000003</v>
      </c>
      <c r="D145" t="str">
        <f>RTD("tos.rtd", , "LX", ".AAPL170616C75")</f>
        <v>Z</v>
      </c>
      <c r="E145">
        <f>RTD("tos.rtd", , "NET_CHANGE", ".AAPL170616C75")</f>
        <v>0</v>
      </c>
      <c r="F145">
        <f>RTD("tos.rtd", , "BID", ".AAPL170616C75")</f>
        <v>37.799999999999997</v>
      </c>
      <c r="G145" t="str">
        <f>RTD("tos.rtd", , "BX", ".AAPL170616C75")</f>
        <v>T</v>
      </c>
      <c r="H145">
        <f>RTD("tos.rtd", , "ASK", ".AAPL170616C75")</f>
        <v>38.6</v>
      </c>
      <c r="I145" t="str">
        <f>RTD("tos.rtd", , "AX", ".AAPL170616C75")</f>
        <v>X</v>
      </c>
      <c r="J145" t="str">
        <f>RTD("tos.rtd", , "EXPIRATION_DAY", ".AAPL170616C75")</f>
        <v>2017-06-17</v>
      </c>
      <c r="K145">
        <f>RTD("tos.rtd", , "STRIKE", ".AAPL170616C75")</f>
        <v>75</v>
      </c>
      <c r="L145">
        <f>RTD("tos.rtd", , "BID", ".AAPL170616P75")</f>
        <v>2.1800000000000002</v>
      </c>
      <c r="M145" t="str">
        <f>RTD("tos.rtd", , "BX", ".AAPL170616P75")</f>
        <v>C</v>
      </c>
      <c r="N145">
        <f>RTD("tos.rtd", , "ASK", ".AAPL170616P75")</f>
        <v>2.42</v>
      </c>
      <c r="O145" t="str">
        <f>RTD("tos.rtd", , "AX", ".AAPL170616P75")</f>
        <v>X</v>
      </c>
      <c r="P145">
        <f>RTD("tos.rtd", , "LAST", ".AAPL170616P75")</f>
        <v>2.52</v>
      </c>
      <c r="Q145" t="str">
        <f>RTD("tos.rtd", , "LX", ".AAPL170616P75")</f>
        <v>C</v>
      </c>
      <c r="R145">
        <f>RTD("tos.rtd", , "NET_CHANGE", ".AAPL170616P75")</f>
        <v>0</v>
      </c>
    </row>
    <row r="146" spans="3:18">
      <c r="C146">
        <f>RTD("tos.rtd", , "LAST", ".AAPL170616C80")</f>
        <v>33.61</v>
      </c>
      <c r="D146" t="str">
        <f>RTD("tos.rtd", , "LX", ".AAPL170616C80")</f>
        <v>X</v>
      </c>
      <c r="E146">
        <f>RTD("tos.rtd", , "NET_CHANGE", ".AAPL170616C80")</f>
        <v>2.2999999999999998</v>
      </c>
      <c r="F146">
        <f>RTD("tos.rtd", , "BID", ".AAPL170616C80")</f>
        <v>33.549999999999997</v>
      </c>
      <c r="G146" t="str">
        <f>RTD("tos.rtd", , "BX", ".AAPL170616C80")</f>
        <v>C</v>
      </c>
      <c r="H146">
        <f>RTD("tos.rtd", , "ASK", ".AAPL170616C80")</f>
        <v>34.1</v>
      </c>
      <c r="I146" t="str">
        <f>RTD("tos.rtd", , "AX", ".AAPL170616C80")</f>
        <v>C</v>
      </c>
      <c r="J146" t="str">
        <f>RTD("tos.rtd", , "EXPIRATION_DAY", ".AAPL170616C80")</f>
        <v>2017-06-17</v>
      </c>
      <c r="K146">
        <f>RTD("tos.rtd", , "STRIKE", ".AAPL170616C80")</f>
        <v>80</v>
      </c>
      <c r="L146">
        <f>RTD("tos.rtd", , "BID", ".AAPL170616P80")</f>
        <v>2.88</v>
      </c>
      <c r="M146" t="str">
        <f>RTD("tos.rtd", , "BX", ".AAPL170616P80")</f>
        <v>X</v>
      </c>
      <c r="N146">
        <f>RTD("tos.rtd", , "ASK", ".AAPL170616P80")</f>
        <v>3.15</v>
      </c>
      <c r="O146" t="str">
        <f>RTD("tos.rtd", , "AX", ".AAPL170616P80")</f>
        <v>X</v>
      </c>
      <c r="P146">
        <f>RTD("tos.rtd", , "LAST", ".AAPL170616P80")</f>
        <v>3.3</v>
      </c>
      <c r="Q146" t="str">
        <f>RTD("tos.rtd", , "LX", ".AAPL170616P80")</f>
        <v>Q</v>
      </c>
      <c r="R146">
        <f>RTD("tos.rtd", , "NET_CHANGE", ".AAPL170616P80")</f>
        <v>0</v>
      </c>
    </row>
    <row r="147" spans="3:18">
      <c r="C147">
        <f>RTD("tos.rtd", , "LAST", ".AAPL170616C85")</f>
        <v>28.01</v>
      </c>
      <c r="D147" t="str">
        <f>RTD("tos.rtd", , "LX", ".AAPL170616C85")</f>
        <v>X</v>
      </c>
      <c r="E147">
        <f>RTD("tos.rtd", , "NET_CHANGE", ".AAPL170616C85")</f>
        <v>0</v>
      </c>
      <c r="F147">
        <f>RTD("tos.rtd", , "BID", ".AAPL170616C85")</f>
        <v>29.5</v>
      </c>
      <c r="G147" t="str">
        <f>RTD("tos.rtd", , "BX", ".AAPL170616C85")</f>
        <v>X</v>
      </c>
      <c r="H147">
        <f>RTD("tos.rtd", , "ASK", ".AAPL170616C85")</f>
        <v>30</v>
      </c>
      <c r="I147" t="str">
        <f>RTD("tos.rtd", , "AX", ".AAPL170616C85")</f>
        <v>X</v>
      </c>
      <c r="J147" t="str">
        <f>RTD("tos.rtd", , "EXPIRATION_DAY", ".AAPL170616C85")</f>
        <v>2017-06-17</v>
      </c>
      <c r="K147">
        <f>RTD("tos.rtd", , "STRIKE", ".AAPL170616C85")</f>
        <v>85</v>
      </c>
      <c r="L147">
        <f>RTD("tos.rtd", , "BID", ".AAPL170616P85")</f>
        <v>3.8</v>
      </c>
      <c r="M147" t="str">
        <f>RTD("tos.rtd", , "BX", ".AAPL170616P85")</f>
        <v>X</v>
      </c>
      <c r="N147">
        <f>RTD("tos.rtd", , "ASK", ".AAPL170616P85")</f>
        <v>3.95</v>
      </c>
      <c r="O147" t="str">
        <f>RTD("tos.rtd", , "AX", ".AAPL170616P85")</f>
        <v>X</v>
      </c>
      <c r="P147">
        <f>RTD("tos.rtd", , "LAST", ".AAPL170616P85")</f>
        <v>3.87</v>
      </c>
      <c r="Q147" t="str">
        <f>RTD("tos.rtd", , "LX", ".AAPL170616P85")</f>
        <v>I</v>
      </c>
      <c r="R147">
        <f>RTD("tos.rtd", , "NET_CHANGE", ".AAPL170616P85")</f>
        <v>-0.52</v>
      </c>
    </row>
    <row r="148" spans="3:18">
      <c r="C148">
        <f>RTD("tos.rtd", , "LAST", ".AAPL170616C87.5")</f>
        <v>26.5</v>
      </c>
      <c r="D148" t="str">
        <f>RTD("tos.rtd", , "LX", ".AAPL170616C87.5")</f>
        <v>T</v>
      </c>
      <c r="E148">
        <f>RTD("tos.rtd", , "NET_CHANGE", ".AAPL170616C87.5")</f>
        <v>0</v>
      </c>
      <c r="F148">
        <f>RTD("tos.rtd", , "BID", ".AAPL170616C87.5")</f>
        <v>27.4</v>
      </c>
      <c r="G148" t="str">
        <f>RTD("tos.rtd", , "BX", ".AAPL170616C87.5")</f>
        <v>C</v>
      </c>
      <c r="H148">
        <f>RTD("tos.rtd", , "ASK", ".AAPL170616C87.5")</f>
        <v>28</v>
      </c>
      <c r="I148" t="str">
        <f>RTD("tos.rtd", , "AX", ".AAPL170616C87.5")</f>
        <v>X</v>
      </c>
      <c r="J148" t="str">
        <f>RTD("tos.rtd", , "EXPIRATION_DAY", ".AAPL170616C87.5")</f>
        <v>2017-06-17</v>
      </c>
      <c r="K148">
        <f>RTD("tos.rtd", , "STRIKE", ".AAPL170616C87.5")</f>
        <v>87.5</v>
      </c>
      <c r="L148">
        <f>RTD("tos.rtd", , "BID", ".AAPL170616P87.5")</f>
        <v>4.3499999999999996</v>
      </c>
      <c r="M148" t="str">
        <f>RTD("tos.rtd", , "BX", ".AAPL170616P87.5")</f>
        <v>C</v>
      </c>
      <c r="N148">
        <f>RTD("tos.rtd", , "ASK", ".AAPL170616P87.5")</f>
        <v>4.5</v>
      </c>
      <c r="O148" t="str">
        <f>RTD("tos.rtd", , "AX", ".AAPL170616P87.5")</f>
        <v>C</v>
      </c>
      <c r="P148">
        <f>RTD("tos.rtd", , "LAST", ".AAPL170616P87.5")</f>
        <v>4.6900000000000004</v>
      </c>
      <c r="Q148" t="str">
        <f>RTD("tos.rtd", , "LX", ".AAPL170616P87.5")</f>
        <v>I</v>
      </c>
      <c r="R148">
        <f>RTD("tos.rtd", , "NET_CHANGE", ".AAPL170616P87.5")</f>
        <v>-0.51</v>
      </c>
    </row>
    <row r="149" spans="3:18">
      <c r="C149">
        <f>RTD("tos.rtd", , "LAST", ".AAPL170616C90")</f>
        <v>25.25</v>
      </c>
      <c r="D149" t="str">
        <f>RTD("tos.rtd", , "LX", ".AAPL170616C90")</f>
        <v>Z</v>
      </c>
      <c r="E149">
        <f>RTD("tos.rtd", , "NET_CHANGE", ".AAPL170616C90")</f>
        <v>1.06</v>
      </c>
      <c r="F149">
        <f>RTD("tos.rtd", , "BID", ".AAPL170616C90")</f>
        <v>25.6</v>
      </c>
      <c r="G149" t="str">
        <f>RTD("tos.rtd", , "BX", ".AAPL170616C90")</f>
        <v>C</v>
      </c>
      <c r="H149">
        <f>RTD("tos.rtd", , "ASK", ".AAPL170616C90")</f>
        <v>26.1</v>
      </c>
      <c r="I149" t="str">
        <f>RTD("tos.rtd", , "AX", ".AAPL170616C90")</f>
        <v>C</v>
      </c>
      <c r="J149" t="str">
        <f>RTD("tos.rtd", , "EXPIRATION_DAY", ".AAPL170616C90")</f>
        <v>2017-06-17</v>
      </c>
      <c r="K149">
        <f>RTD("tos.rtd", , "STRIKE", ".AAPL170616C90")</f>
        <v>90</v>
      </c>
      <c r="L149">
        <f>RTD("tos.rtd", , "BID", ".AAPL170616P90")</f>
        <v>4.95</v>
      </c>
      <c r="M149" t="str">
        <f>RTD("tos.rtd", , "BX", ".AAPL170616P90")</f>
        <v>X</v>
      </c>
      <c r="N149">
        <f>RTD("tos.rtd", , "ASK", ".AAPL170616P90")</f>
        <v>5.0999999999999996</v>
      </c>
      <c r="O149" t="str">
        <f>RTD("tos.rtd", , "AX", ".AAPL170616P90")</f>
        <v>C</v>
      </c>
      <c r="P149">
        <f>RTD("tos.rtd", , "LAST", ".AAPL170616P90")</f>
        <v>5.05</v>
      </c>
      <c r="Q149" t="str">
        <f>RTD("tos.rtd", , "LX", ".AAPL170616P90")</f>
        <v>N</v>
      </c>
      <c r="R149">
        <f>RTD("tos.rtd", , "NET_CHANGE", ".AAPL170616P90")</f>
        <v>-0.55000000000000004</v>
      </c>
    </row>
    <row r="150" spans="3:18">
      <c r="C150">
        <f>RTD("tos.rtd", , "LAST", ".AAPL170616C92.5")</f>
        <v>23.66</v>
      </c>
      <c r="D150" t="str">
        <f>RTD("tos.rtd", , "LX", ".AAPL170616C92.5")</f>
        <v>I</v>
      </c>
      <c r="E150">
        <f>RTD("tos.rtd", , "NET_CHANGE", ".AAPL170616C92.5")</f>
        <v>1.1599999999999999</v>
      </c>
      <c r="F150">
        <f>RTD("tos.rtd", , "BID", ".AAPL170616C92.5")</f>
        <v>23.75</v>
      </c>
      <c r="G150" t="str">
        <f>RTD("tos.rtd", , "BX", ".AAPL170616C92.5")</f>
        <v>X</v>
      </c>
      <c r="H150">
        <f>RTD("tos.rtd", , "ASK", ".AAPL170616C92.5")</f>
        <v>24.25</v>
      </c>
      <c r="I150" t="str">
        <f>RTD("tos.rtd", , "AX", ".AAPL170616C92.5")</f>
        <v>C</v>
      </c>
      <c r="J150" t="str">
        <f>RTD("tos.rtd", , "EXPIRATION_DAY", ".AAPL170616C92.5")</f>
        <v>2017-06-17</v>
      </c>
      <c r="K150">
        <f>RTD("tos.rtd", , "STRIKE", ".AAPL170616C92.5")</f>
        <v>92.5</v>
      </c>
      <c r="L150">
        <f>RTD("tos.rtd", , "BID", ".AAPL170616P92.5")</f>
        <v>5.6</v>
      </c>
      <c r="M150" t="str">
        <f>RTD("tos.rtd", , "BX", ".AAPL170616P92.5")</f>
        <v>X</v>
      </c>
      <c r="N150">
        <f>RTD("tos.rtd", , "ASK", ".AAPL170616P92.5")</f>
        <v>5.8</v>
      </c>
      <c r="O150" t="str">
        <f>RTD("tos.rtd", , "AX", ".AAPL170616P92.5")</f>
        <v>C</v>
      </c>
      <c r="P150">
        <f>RTD("tos.rtd", , "LAST", ".AAPL170616P92.5")</f>
        <v>5.76</v>
      </c>
      <c r="Q150" t="str">
        <f>RTD("tos.rtd", , "LX", ".AAPL170616P92.5")</f>
        <v>X</v>
      </c>
      <c r="R150">
        <f>RTD("tos.rtd", , "NET_CHANGE", ".AAPL170616P92.5")</f>
        <v>-0.56000000000000005</v>
      </c>
    </row>
    <row r="151" spans="3:18">
      <c r="C151">
        <f>RTD("tos.rtd", , "LAST", ".AAPL170616C95")</f>
        <v>22.25</v>
      </c>
      <c r="D151" t="str">
        <f>RTD("tos.rtd", , "LX", ".AAPL170616C95")</f>
        <v>N</v>
      </c>
      <c r="E151">
        <f>RTD("tos.rtd", , "NET_CHANGE", ".AAPL170616C95")</f>
        <v>1.25</v>
      </c>
      <c r="F151">
        <f>RTD("tos.rtd", , "BID", ".AAPL170616C95")</f>
        <v>22</v>
      </c>
      <c r="G151" t="str">
        <f>RTD("tos.rtd", , "BX", ".AAPL170616C95")</f>
        <v>X</v>
      </c>
      <c r="H151">
        <f>RTD("tos.rtd", , "ASK", ".AAPL170616C95")</f>
        <v>22.5</v>
      </c>
      <c r="I151" t="str">
        <f>RTD("tos.rtd", , "AX", ".AAPL170616C95")</f>
        <v>C</v>
      </c>
      <c r="J151" t="str">
        <f>RTD("tos.rtd", , "EXPIRATION_DAY", ".AAPL170616C95")</f>
        <v>2017-06-17</v>
      </c>
      <c r="K151">
        <f>RTD("tos.rtd", , "STRIKE", ".AAPL170616C95")</f>
        <v>95</v>
      </c>
      <c r="L151">
        <f>RTD("tos.rtd", , "BID", ".AAPL170616P95")</f>
        <v>6.3</v>
      </c>
      <c r="M151" t="str">
        <f>RTD("tos.rtd", , "BX", ".AAPL170616P95")</f>
        <v>C</v>
      </c>
      <c r="N151">
        <f>RTD("tos.rtd", , "ASK", ".AAPL170616P95")</f>
        <v>6.5</v>
      </c>
      <c r="O151" t="str">
        <f>RTD("tos.rtd", , "AX", ".AAPL170616P95")</f>
        <v>C</v>
      </c>
      <c r="P151">
        <f>RTD("tos.rtd", , "LAST", ".AAPL170616P95")</f>
        <v>6.76</v>
      </c>
      <c r="Q151" t="str">
        <f>RTD("tos.rtd", , "LX", ".AAPL170616P95")</f>
        <v>I</v>
      </c>
      <c r="R151">
        <f>RTD("tos.rtd", , "NET_CHANGE", ".AAPL170616P95")</f>
        <v>-0.09</v>
      </c>
    </row>
    <row r="152" spans="3:18">
      <c r="C152">
        <f>RTD("tos.rtd", , "LAST", ".AAPL170616C97.5")</f>
        <v>19.5</v>
      </c>
      <c r="D152" t="str">
        <f>RTD("tos.rtd", , "LX", ".AAPL170616C97.5")</f>
        <v>Z</v>
      </c>
      <c r="E152">
        <f>RTD("tos.rtd", , "NET_CHANGE", ".AAPL170616C97.5")</f>
        <v>0</v>
      </c>
      <c r="F152">
        <f>RTD("tos.rtd", , "BID", ".AAPL170616C97.5")</f>
        <v>20.3</v>
      </c>
      <c r="G152" t="str">
        <f>RTD("tos.rtd", , "BX", ".AAPL170616C97.5")</f>
        <v>C</v>
      </c>
      <c r="H152">
        <f>RTD("tos.rtd", , "ASK", ".AAPL170616C97.5")</f>
        <v>20.75</v>
      </c>
      <c r="I152" t="str">
        <f>RTD("tos.rtd", , "AX", ".AAPL170616C97.5")</f>
        <v>C</v>
      </c>
      <c r="J152" t="str">
        <f>RTD("tos.rtd", , "EXPIRATION_DAY", ".AAPL170616C97.5")</f>
        <v>2017-06-17</v>
      </c>
      <c r="K152">
        <f>RTD("tos.rtd", , "STRIKE", ".AAPL170616C97.5")</f>
        <v>97.5</v>
      </c>
      <c r="L152">
        <f>RTD("tos.rtd", , "BID", ".AAPL170616P97.5")</f>
        <v>7.15</v>
      </c>
      <c r="M152" t="str">
        <f>RTD("tos.rtd", , "BX", ".AAPL170616P97.5")</f>
        <v>C</v>
      </c>
      <c r="N152">
        <f>RTD("tos.rtd", , "ASK", ".AAPL170616P97.5")</f>
        <v>7.35</v>
      </c>
      <c r="O152" t="str">
        <f>RTD("tos.rtd", , "AX", ".AAPL170616P97.5")</f>
        <v>C</v>
      </c>
      <c r="P152">
        <f>RTD("tos.rtd", , "LAST", ".AAPL170616P97.5")</f>
        <v>7.35</v>
      </c>
      <c r="Q152" t="str">
        <f>RTD("tos.rtd", , "LX", ".AAPL170616P97.5")</f>
        <v>N</v>
      </c>
      <c r="R152">
        <f>RTD("tos.rtd", , "NET_CHANGE", ".AAPL170616P97.5")</f>
        <v>-1.1499999999999999</v>
      </c>
    </row>
    <row r="153" spans="3:18">
      <c r="C153">
        <f>RTD("tos.rtd", , "LAST", ".AAPL170616C100")</f>
        <v>18.55</v>
      </c>
      <c r="D153" t="str">
        <f>RTD("tos.rtd", , "LX", ".AAPL170616C100")</f>
        <v>Z</v>
      </c>
      <c r="E153">
        <f>RTD("tos.rtd", , "NET_CHANGE", ".AAPL170616C100")</f>
        <v>0.8</v>
      </c>
      <c r="F153">
        <f>RTD("tos.rtd", , "BID", ".AAPL170616C100")</f>
        <v>18.649999999999999</v>
      </c>
      <c r="G153" t="str">
        <f>RTD("tos.rtd", , "BX", ".AAPL170616C100")</f>
        <v>C</v>
      </c>
      <c r="H153">
        <f>RTD("tos.rtd", , "ASK", ".AAPL170616C100")</f>
        <v>19.149999999999999</v>
      </c>
      <c r="I153" t="str">
        <f>RTD("tos.rtd", , "AX", ".AAPL170616C100")</f>
        <v>C</v>
      </c>
      <c r="J153" t="str">
        <f>RTD("tos.rtd", , "EXPIRATION_DAY", ".AAPL170616C100")</f>
        <v>2017-06-17</v>
      </c>
      <c r="K153">
        <f>RTD("tos.rtd", , "STRIKE", ".AAPL170616C100")</f>
        <v>100</v>
      </c>
      <c r="L153">
        <f>RTD("tos.rtd", , "BID", ".AAPL170616P100")</f>
        <v>8</v>
      </c>
      <c r="M153" t="str">
        <f>RTD("tos.rtd", , "BX", ".AAPL170616P100")</f>
        <v>X</v>
      </c>
      <c r="N153">
        <f>RTD("tos.rtd", , "ASK", ".AAPL170616P100")</f>
        <v>8.1999999999999993</v>
      </c>
      <c r="O153" t="str">
        <f>RTD("tos.rtd", , "AX", ".AAPL170616P100")</f>
        <v>X</v>
      </c>
      <c r="P153">
        <f>RTD("tos.rtd", , "LAST", ".AAPL170616P100")</f>
        <v>8.0500000000000007</v>
      </c>
      <c r="Q153" t="str">
        <f>RTD("tos.rtd", , "LX", ".AAPL170616P100")</f>
        <v>C</v>
      </c>
      <c r="R153">
        <f>RTD("tos.rtd", , "NET_CHANGE", ".AAPL170616P100")</f>
        <v>-0.74</v>
      </c>
    </row>
    <row r="154" spans="3:18">
      <c r="C154">
        <f>RTD("tos.rtd", , "LAST", ".AAPL170616C105")</f>
        <v>16.03</v>
      </c>
      <c r="D154" t="str">
        <f>RTD("tos.rtd", , "LX", ".AAPL170616C105")</f>
        <v>X</v>
      </c>
      <c r="E154">
        <f>RTD("tos.rtd", , "NET_CHANGE", ".AAPL170616C105")</f>
        <v>1.1299999999999999</v>
      </c>
      <c r="F154">
        <f>RTD("tos.rtd", , "BID", ".AAPL170616C105")</f>
        <v>15.7</v>
      </c>
      <c r="G154" t="str">
        <f>RTD("tos.rtd", , "BX", ".AAPL170616C105")</f>
        <v>C</v>
      </c>
      <c r="H154">
        <f>RTD("tos.rtd", , "ASK", ".AAPL170616C105")</f>
        <v>16.100000000000001</v>
      </c>
      <c r="I154" t="str">
        <f>RTD("tos.rtd", , "AX", ".AAPL170616C105")</f>
        <v>X</v>
      </c>
      <c r="J154" t="str">
        <f>RTD("tos.rtd", , "EXPIRATION_DAY", ".AAPL170616C105")</f>
        <v>2017-06-17</v>
      </c>
      <c r="K154">
        <f>RTD("tos.rtd", , "STRIKE", ".AAPL170616C105")</f>
        <v>105</v>
      </c>
      <c r="L154">
        <f>RTD("tos.rtd", , "BID", ".AAPL170616P105")</f>
        <v>10</v>
      </c>
      <c r="M154" t="str">
        <f>RTD("tos.rtd", , "BX", ".AAPL170616P105")</f>
        <v>C</v>
      </c>
      <c r="N154">
        <f>RTD("tos.rtd", , "ASK", ".AAPL170616P105")</f>
        <v>10.199999999999999</v>
      </c>
      <c r="O154" t="str">
        <f>RTD("tos.rtd", , "AX", ".AAPL170616P105")</f>
        <v>C</v>
      </c>
      <c r="P154">
        <f>RTD("tos.rtd", , "LAST", ".AAPL170616P105")</f>
        <v>10.57</v>
      </c>
      <c r="Q154" t="str">
        <f>RTD("tos.rtd", , "LX", ".AAPL170616P105")</f>
        <v>I</v>
      </c>
      <c r="R154">
        <f>RTD("tos.rtd", , "NET_CHANGE", ".AAPL170616P105")</f>
        <v>-0.23</v>
      </c>
    </row>
    <row r="155" spans="3:18">
      <c r="C155">
        <f>RTD("tos.rtd", , "LAST", ".AAPL170616C110")</f>
        <v>13.25</v>
      </c>
      <c r="D155" t="str">
        <f>RTD("tos.rtd", , "LX", ".AAPL170616C110")</f>
        <v>Z</v>
      </c>
      <c r="E155">
        <f>RTD("tos.rtd", , "NET_CHANGE", ".AAPL170616C110")</f>
        <v>0.93</v>
      </c>
      <c r="F155">
        <f>RTD("tos.rtd", , "BID", ".AAPL170616C110")</f>
        <v>13.1</v>
      </c>
      <c r="G155" t="str">
        <f>RTD("tos.rtd", , "BX", ".AAPL170616C110")</f>
        <v>C</v>
      </c>
      <c r="H155">
        <f>RTD("tos.rtd", , "ASK", ".AAPL170616C110")</f>
        <v>13.3</v>
      </c>
      <c r="I155" t="str">
        <f>RTD("tos.rtd", , "AX", ".AAPL170616C110")</f>
        <v>X</v>
      </c>
      <c r="J155" t="str">
        <f>RTD("tos.rtd", , "EXPIRATION_DAY", ".AAPL170616C110")</f>
        <v>2017-06-17</v>
      </c>
      <c r="K155">
        <f>RTD("tos.rtd", , "STRIKE", ".AAPL170616C110")</f>
        <v>110</v>
      </c>
      <c r="L155">
        <f>RTD("tos.rtd", , "BID", ".AAPL170616P110")</f>
        <v>12.3</v>
      </c>
      <c r="M155" t="str">
        <f>RTD("tos.rtd", , "BX", ".AAPL170616P110")</f>
        <v>C</v>
      </c>
      <c r="N155">
        <f>RTD("tos.rtd", , "ASK", ".AAPL170616P110")</f>
        <v>12.5</v>
      </c>
      <c r="O155" t="str">
        <f>RTD("tos.rtd", , "AX", ".AAPL170616P110")</f>
        <v>C</v>
      </c>
      <c r="P155">
        <f>RTD("tos.rtd", , "LAST", ".AAPL170616P110")</f>
        <v>12.3</v>
      </c>
      <c r="Q155" t="str">
        <f>RTD("tos.rtd", , "LX", ".AAPL170616P110")</f>
        <v>C</v>
      </c>
      <c r="R155">
        <f>RTD("tos.rtd", , "NET_CHANGE", ".AAPL170616P110")</f>
        <v>-0.9</v>
      </c>
    </row>
    <row r="156" spans="3:18">
      <c r="C156">
        <f>RTD("tos.rtd", , "LAST", ".AAPL170616C115")</f>
        <v>10.82</v>
      </c>
      <c r="D156" t="str">
        <f>RTD("tos.rtd", , "LX", ".AAPL170616C115")</f>
        <v>I</v>
      </c>
      <c r="E156">
        <f>RTD("tos.rtd", , "NET_CHANGE", ".AAPL170616C115")</f>
        <v>0.67</v>
      </c>
      <c r="F156">
        <f>RTD("tos.rtd", , "BID", ".AAPL170616C115")</f>
        <v>10.75</v>
      </c>
      <c r="G156" t="str">
        <f>RTD("tos.rtd", , "BX", ".AAPL170616C115")</f>
        <v>C</v>
      </c>
      <c r="H156">
        <f>RTD("tos.rtd", , "ASK", ".AAPL170616C115")</f>
        <v>10.95</v>
      </c>
      <c r="I156" t="str">
        <f>RTD("tos.rtd", , "AX", ".AAPL170616C115")</f>
        <v>C</v>
      </c>
      <c r="J156" t="str">
        <f>RTD("tos.rtd", , "EXPIRATION_DAY", ".AAPL170616C115")</f>
        <v>2017-06-17</v>
      </c>
      <c r="K156">
        <f>RTD("tos.rtd", , "STRIKE", ".AAPL170616C115")</f>
        <v>115</v>
      </c>
      <c r="L156">
        <f>RTD("tos.rtd", , "BID", ".AAPL170616P115")</f>
        <v>14.9</v>
      </c>
      <c r="M156" t="str">
        <f>RTD("tos.rtd", , "BX", ".AAPL170616P115")</f>
        <v>C</v>
      </c>
      <c r="N156">
        <f>RTD("tos.rtd", , "ASK", ".AAPL170616P115")</f>
        <v>15.15</v>
      </c>
      <c r="O156" t="str">
        <f>RTD("tos.rtd", , "AX", ".AAPL170616P115")</f>
        <v>C</v>
      </c>
      <c r="P156">
        <f>RTD("tos.rtd", , "LAST", ".AAPL170616P115")</f>
        <v>15.3</v>
      </c>
      <c r="Q156" t="str">
        <f>RTD("tos.rtd", , "LX", ".AAPL170616P115")</f>
        <v>Z</v>
      </c>
      <c r="R156">
        <f>RTD("tos.rtd", , "NET_CHANGE", ".AAPL170616P115")</f>
        <v>-0.7</v>
      </c>
    </row>
    <row r="157" spans="3:18">
      <c r="C157">
        <f>RTD("tos.rtd", , "LAST", ".AAPL170616C120")</f>
        <v>8.8000000000000007</v>
      </c>
      <c r="D157" t="str">
        <f>RTD("tos.rtd", , "LX", ".AAPL170616C120")</f>
        <v>X</v>
      </c>
      <c r="E157">
        <f>RTD("tos.rtd", , "NET_CHANGE", ".AAPL170616C120")</f>
        <v>1.3</v>
      </c>
      <c r="F157">
        <f>RTD("tos.rtd", , "BID", ".AAPL170616C120")</f>
        <v>8.6999999999999993</v>
      </c>
      <c r="G157" t="str">
        <f>RTD("tos.rtd", , "BX", ".AAPL170616C120")</f>
        <v>C</v>
      </c>
      <c r="H157">
        <f>RTD("tos.rtd", , "ASK", ".AAPL170616C120")</f>
        <v>8.9</v>
      </c>
      <c r="I157" t="str">
        <f>RTD("tos.rtd", , "AX", ".AAPL170616C120")</f>
        <v>X</v>
      </c>
      <c r="J157" t="str">
        <f>RTD("tos.rtd", , "EXPIRATION_DAY", ".AAPL170616C120")</f>
        <v>2017-06-17</v>
      </c>
      <c r="K157">
        <f>RTD("tos.rtd", , "STRIKE", ".AAPL170616C120")</f>
        <v>120</v>
      </c>
      <c r="L157">
        <f>RTD("tos.rtd", , "BID", ".AAPL170616P120")</f>
        <v>17.850000000000001</v>
      </c>
      <c r="M157" t="str">
        <f>RTD("tos.rtd", , "BX", ".AAPL170616P120")</f>
        <v>X</v>
      </c>
      <c r="N157">
        <f>RTD("tos.rtd", , "ASK", ".AAPL170616P120")</f>
        <v>18.149999999999999</v>
      </c>
      <c r="O157" t="str">
        <f>RTD("tos.rtd", , "AX", ".AAPL170616P120")</f>
        <v>C</v>
      </c>
      <c r="P157">
        <f>RTD("tos.rtd", , "LAST", ".AAPL170616P120")</f>
        <v>19.45</v>
      </c>
      <c r="Q157" t="str">
        <f>RTD("tos.rtd", , "LX", ".AAPL170616P120")</f>
        <v>I</v>
      </c>
      <c r="R157">
        <f>RTD("tos.rtd", , "NET_CHANGE", ".AAPL170616P120")</f>
        <v>0</v>
      </c>
    </row>
    <row r="158" spans="3:18">
      <c r="C158">
        <f>RTD("tos.rtd", , "LAST", ".AAPL170616C125")</f>
        <v>7.2</v>
      </c>
      <c r="D158" t="str">
        <f>RTD("tos.rtd", , "LX", ".AAPL170616C125")</f>
        <v>X</v>
      </c>
      <c r="E158">
        <f>RTD("tos.rtd", , "NET_CHANGE", ".AAPL170616C125")</f>
        <v>0.7</v>
      </c>
      <c r="F158">
        <f>RTD("tos.rtd", , "BID", ".AAPL170616C125")</f>
        <v>7</v>
      </c>
      <c r="G158" t="str">
        <f>RTD("tos.rtd", , "BX", ".AAPL170616C125")</f>
        <v>C</v>
      </c>
      <c r="H158">
        <f>RTD("tos.rtd", , "ASK", ".AAPL170616C125")</f>
        <v>7.2</v>
      </c>
      <c r="I158" t="str">
        <f>RTD("tos.rtd", , "AX", ".AAPL170616C125")</f>
        <v>C</v>
      </c>
      <c r="J158" t="str">
        <f>RTD("tos.rtd", , "EXPIRATION_DAY", ".AAPL170616C125")</f>
        <v>2017-06-17</v>
      </c>
      <c r="K158">
        <f>RTD("tos.rtd", , "STRIKE", ".AAPL170616C125")</f>
        <v>125</v>
      </c>
      <c r="L158">
        <f>RTD("tos.rtd", , "BID", ".AAPL170616P125")</f>
        <v>21.05</v>
      </c>
      <c r="M158" t="str">
        <f>RTD("tos.rtd", , "BX", ".AAPL170616P125")</f>
        <v>X</v>
      </c>
      <c r="N158">
        <f>RTD("tos.rtd", , "ASK", ".AAPL170616P125")</f>
        <v>21.45</v>
      </c>
      <c r="O158" t="str">
        <f>RTD("tos.rtd", , "AX", ".AAPL170616P125")</f>
        <v>X</v>
      </c>
      <c r="P158">
        <f>RTD("tos.rtd", , "LAST", ".AAPL170616P125")</f>
        <v>21.31</v>
      </c>
      <c r="Q158" t="str">
        <f>RTD("tos.rtd", , "LX", ".AAPL170616P125")</f>
        <v>X</v>
      </c>
      <c r="R158">
        <f>RTD("tos.rtd", , "NET_CHANGE", ".AAPL170616P125")</f>
        <v>-1.44</v>
      </c>
    </row>
    <row r="159" spans="3:18">
      <c r="C159">
        <f>RTD("tos.rtd", , "LAST", ".AAPL170616C130")</f>
        <v>5.6</v>
      </c>
      <c r="D159" t="str">
        <f>RTD("tos.rtd", , "LX", ".AAPL170616C130")</f>
        <v>M</v>
      </c>
      <c r="E159">
        <f>RTD("tos.rtd", , "NET_CHANGE", ".AAPL170616C130")</f>
        <v>0.4</v>
      </c>
      <c r="F159">
        <f>RTD("tos.rtd", , "BID", ".AAPL170616C130")</f>
        <v>5.55</v>
      </c>
      <c r="G159" t="str">
        <f>RTD("tos.rtd", , "BX", ".AAPL170616C130")</f>
        <v>X</v>
      </c>
      <c r="H159">
        <f>RTD("tos.rtd", , "ASK", ".AAPL170616C130")</f>
        <v>5.75</v>
      </c>
      <c r="I159" t="str">
        <f>RTD("tos.rtd", , "AX", ".AAPL170616C130")</f>
        <v>A</v>
      </c>
      <c r="J159" t="str">
        <f>RTD("tos.rtd", , "EXPIRATION_DAY", ".AAPL170616C130")</f>
        <v>2017-06-17</v>
      </c>
      <c r="K159">
        <f>RTD("tos.rtd", , "STRIKE", ".AAPL170616C130")</f>
        <v>130</v>
      </c>
      <c r="L159">
        <f>RTD("tos.rtd", , "BID", ".AAPL170616P130")</f>
        <v>24.55</v>
      </c>
      <c r="M159" t="str">
        <f>RTD("tos.rtd", , "BX", ".AAPL170616P130")</f>
        <v>X</v>
      </c>
      <c r="N159">
        <f>RTD("tos.rtd", , "ASK", ".AAPL170616P130")</f>
        <v>25.05</v>
      </c>
      <c r="O159" t="str">
        <f>RTD("tos.rtd", , "AX", ".AAPL170616P130")</f>
        <v>C</v>
      </c>
      <c r="P159">
        <f>RTD("tos.rtd", , "LAST", ".AAPL170616P130")</f>
        <v>25.4</v>
      </c>
      <c r="Q159" t="str">
        <f>RTD("tos.rtd", , "LX", ".AAPL170616P130")</f>
        <v>N</v>
      </c>
      <c r="R159">
        <f>RTD("tos.rtd", , "NET_CHANGE", ".AAPL170616P130")</f>
        <v>-1.8</v>
      </c>
    </row>
    <row r="160" spans="3:18">
      <c r="C160">
        <f>RTD("tos.rtd", , "LAST", ".AAPL170616C135")</f>
        <v>4.5</v>
      </c>
      <c r="D160" t="str">
        <f>RTD("tos.rtd", , "LX", ".AAPL170616C135")</f>
        <v>I</v>
      </c>
      <c r="E160">
        <f>RTD("tos.rtd", , "NET_CHANGE", ".AAPL170616C135")</f>
        <v>0.4</v>
      </c>
      <c r="F160">
        <f>RTD("tos.rtd", , "BID", ".AAPL170616C135")</f>
        <v>4.4000000000000004</v>
      </c>
      <c r="G160" t="str">
        <f>RTD("tos.rtd", , "BX", ".AAPL170616C135")</f>
        <v>X</v>
      </c>
      <c r="H160">
        <f>RTD("tos.rtd", , "ASK", ".AAPL170616C135")</f>
        <v>4.5999999999999996</v>
      </c>
      <c r="I160" t="str">
        <f>RTD("tos.rtd", , "AX", ".AAPL170616C135")</f>
        <v>C</v>
      </c>
      <c r="J160" t="str">
        <f>RTD("tos.rtd", , "EXPIRATION_DAY", ".AAPL170616C135")</f>
        <v>2017-06-17</v>
      </c>
      <c r="K160">
        <f>RTD("tos.rtd", , "STRIKE", ".AAPL170616C135")</f>
        <v>135</v>
      </c>
      <c r="L160">
        <f>RTD("tos.rtd", , "BID", ".AAPL170616P135")</f>
        <v>28.35</v>
      </c>
      <c r="M160" t="str">
        <f>RTD("tos.rtd", , "BX", ".AAPL170616P135")</f>
        <v>X</v>
      </c>
      <c r="N160">
        <f>RTD("tos.rtd", , "ASK", ".AAPL170616P135")</f>
        <v>28.85</v>
      </c>
      <c r="O160" t="str">
        <f>RTD("tos.rtd", , "AX", ".AAPL170616P135")</f>
        <v>C</v>
      </c>
      <c r="P160">
        <f>RTD("tos.rtd", , "LAST", ".AAPL170616P135")</f>
        <v>29.89</v>
      </c>
      <c r="Q160" t="str">
        <f>RTD("tos.rtd", , "LX", ".AAPL170616P135")</f>
        <v>C</v>
      </c>
      <c r="R160">
        <f>RTD("tos.rtd", , "NET_CHANGE", ".AAPL170616P135")</f>
        <v>0</v>
      </c>
    </row>
    <row r="161" spans="1:18">
      <c r="C161">
        <f>RTD("tos.rtd", , "LAST", ".AAPL170616C140")</f>
        <v>3.51</v>
      </c>
      <c r="D161" t="str">
        <f>RTD("tos.rtd", , "LX", ".AAPL170616C140")</f>
        <v>I</v>
      </c>
      <c r="E161">
        <f>RTD("tos.rtd", , "NET_CHANGE", ".AAPL170616C140")</f>
        <v>0.49</v>
      </c>
      <c r="F161">
        <f>RTD("tos.rtd", , "BID", ".AAPL170616C140")</f>
        <v>3.4</v>
      </c>
      <c r="G161" t="str">
        <f>RTD("tos.rtd", , "BX", ".AAPL170616C140")</f>
        <v>X</v>
      </c>
      <c r="H161">
        <f>RTD("tos.rtd", , "ASK", ".AAPL170616C140")</f>
        <v>3.65</v>
      </c>
      <c r="I161" t="str">
        <f>RTD("tos.rtd", , "AX", ".AAPL170616C140")</f>
        <v>X</v>
      </c>
      <c r="J161" t="str">
        <f>RTD("tos.rtd", , "EXPIRATION_DAY", ".AAPL170616C140")</f>
        <v>2017-06-17</v>
      </c>
      <c r="K161">
        <f>RTD("tos.rtd", , "STRIKE", ".AAPL170616C140")</f>
        <v>140</v>
      </c>
      <c r="L161">
        <f>RTD("tos.rtd", , "BID", ".AAPL170616P140")</f>
        <v>32.35</v>
      </c>
      <c r="M161" t="str">
        <f>RTD("tos.rtd", , "BX", ".AAPL170616P140")</f>
        <v>X</v>
      </c>
      <c r="N161">
        <f>RTD("tos.rtd", , "ASK", ".AAPL170616P140")</f>
        <v>32.9</v>
      </c>
      <c r="O161" t="str">
        <f>RTD("tos.rtd", , "AX", ".AAPL170616P140")</f>
        <v>C</v>
      </c>
      <c r="P161">
        <f>RTD("tos.rtd", , "LAST", ".AAPL170616P140")</f>
        <v>34.6</v>
      </c>
      <c r="Q161" t="str">
        <f>RTD("tos.rtd", , "LX", ".AAPL170616P140")</f>
        <v>N</v>
      </c>
      <c r="R161">
        <f>RTD("tos.rtd", , "NET_CHANGE", ".AAPL170616P140")</f>
        <v>0</v>
      </c>
    </row>
    <row r="162" spans="1:18">
      <c r="C162">
        <f>RTD("tos.rtd", , "LAST", ".AAPL170616C145")</f>
        <v>2.5</v>
      </c>
      <c r="D162" t="str">
        <f>RTD("tos.rtd", , "LX", ".AAPL170616C145")</f>
        <v>I</v>
      </c>
      <c r="E162">
        <f>RTD("tos.rtd", , "NET_CHANGE", ".AAPL170616C145")</f>
        <v>0</v>
      </c>
      <c r="F162">
        <f>RTD("tos.rtd", , "BID", ".AAPL170616C145")</f>
        <v>2.64</v>
      </c>
      <c r="G162" t="str">
        <f>RTD("tos.rtd", , "BX", ".AAPL170616C145")</f>
        <v>C</v>
      </c>
      <c r="H162">
        <f>RTD("tos.rtd", , "ASK", ".AAPL170616C145")</f>
        <v>2.81</v>
      </c>
      <c r="I162" t="str">
        <f>RTD("tos.rtd", , "AX", ".AAPL170616C145")</f>
        <v>X</v>
      </c>
      <c r="J162" t="str">
        <f>RTD("tos.rtd", , "EXPIRATION_DAY", ".AAPL170616C145")</f>
        <v>2017-06-17</v>
      </c>
      <c r="K162">
        <f>RTD("tos.rtd", , "STRIKE", ".AAPL170616C145")</f>
        <v>145</v>
      </c>
      <c r="L162">
        <f>RTD("tos.rtd", , "BID", ".AAPL170616P145")</f>
        <v>36.450000000000003</v>
      </c>
      <c r="M162" t="str">
        <f>RTD("tos.rtd", , "BX", ".AAPL170616P145")</f>
        <v>X</v>
      </c>
      <c r="N162">
        <f>RTD("tos.rtd", , "ASK", ".AAPL170616P145")</f>
        <v>37.15</v>
      </c>
      <c r="O162" t="str">
        <f>RTD("tos.rtd", , "AX", ".AAPL170616P145")</f>
        <v>C</v>
      </c>
      <c r="P162">
        <f>RTD("tos.rtd", , "LAST", ".AAPL170616P145")</f>
        <v>42</v>
      </c>
      <c r="Q162" t="str">
        <f>RTD("tos.rtd", , "LX", ".AAPL170616P145")</f>
        <v>X</v>
      </c>
      <c r="R162">
        <f>RTD("tos.rtd", , "NET_CHANGE", ".AAPL170616P145")</f>
        <v>0</v>
      </c>
    </row>
    <row r="163" spans="1:18">
      <c r="C163">
        <f>RTD("tos.rtd", , "LAST", ".AAPL170616C150")</f>
        <v>2.15</v>
      </c>
      <c r="D163" t="str">
        <f>RTD("tos.rtd", , "LX", ".AAPL170616C150")</f>
        <v>Q</v>
      </c>
      <c r="E163">
        <f>RTD("tos.rtd", , "NET_CHANGE", ".AAPL170616C150")</f>
        <v>0.23</v>
      </c>
      <c r="F163">
        <f>RTD("tos.rtd", , "BID", ".AAPL170616C150")</f>
        <v>2.1</v>
      </c>
      <c r="G163" t="str">
        <f>RTD("tos.rtd", , "BX", ".AAPL170616C150")</f>
        <v>Q</v>
      </c>
      <c r="H163">
        <f>RTD("tos.rtd", , "ASK", ".AAPL170616C150")</f>
        <v>2.23</v>
      </c>
      <c r="I163" t="str">
        <f>RTD("tos.rtd", , "AX", ".AAPL170616C150")</f>
        <v>C</v>
      </c>
      <c r="J163" t="str">
        <f>RTD("tos.rtd", , "EXPIRATION_DAY", ".AAPL170616C150")</f>
        <v>2017-06-17</v>
      </c>
      <c r="K163">
        <f>RTD("tos.rtd", , "STRIKE", ".AAPL170616C150")</f>
        <v>150</v>
      </c>
      <c r="L163">
        <f>RTD("tos.rtd", , "BID", ".AAPL170616P150")</f>
        <v>40.75</v>
      </c>
      <c r="M163" t="str">
        <f>RTD("tos.rtd", , "BX", ".AAPL170616P150")</f>
        <v>C</v>
      </c>
      <c r="N163">
        <f>RTD("tos.rtd", , "ASK", ".AAPL170616P150")</f>
        <v>41.55</v>
      </c>
      <c r="O163" t="str">
        <f>RTD("tos.rtd", , "AX", ".AAPL170616P150")</f>
        <v>C</v>
      </c>
      <c r="P163">
        <f>RTD("tos.rtd", , "LAST", ".AAPL170616P150")</f>
        <v>43.2</v>
      </c>
      <c r="Q163" t="str">
        <f>RTD("tos.rtd", , "LX", ".AAPL170616P150")</f>
        <v>I</v>
      </c>
      <c r="R163">
        <f>RTD("tos.rtd", , "NET_CHANGE", ".AAPL170616P150")</f>
        <v>0</v>
      </c>
    </row>
    <row r="164" spans="1:18">
      <c r="C164">
        <f>RTD("tos.rtd", , "LAST", ".AAPL170616C155")</f>
        <v>1.4</v>
      </c>
      <c r="D164" t="str">
        <f>RTD("tos.rtd", , "LX", ".AAPL170616C155")</f>
        <v>A</v>
      </c>
      <c r="E164">
        <f>RTD("tos.rtd", , "NET_CHANGE", ".AAPL170616C155")</f>
        <v>0</v>
      </c>
      <c r="F164">
        <f>RTD("tos.rtd", , "BID", ".AAPL170616C155")</f>
        <v>1.47</v>
      </c>
      <c r="G164" t="str">
        <f>RTD("tos.rtd", , "BX", ".AAPL170616C155")</f>
        <v>C</v>
      </c>
      <c r="H164">
        <f>RTD("tos.rtd", , "ASK", ".AAPL170616C155")</f>
        <v>1.77</v>
      </c>
      <c r="I164" t="str">
        <f>RTD("tos.rtd", , "AX", ".AAPL170616C155")</f>
        <v>C</v>
      </c>
      <c r="J164" t="str">
        <f>RTD("tos.rtd", , "EXPIRATION_DAY", ".AAPL170616C155")</f>
        <v>2017-06-17</v>
      </c>
      <c r="K164">
        <f>RTD("tos.rtd", , "STRIKE", ".AAPL170616C155")</f>
        <v>155</v>
      </c>
      <c r="L164">
        <f>RTD("tos.rtd", , "BID", ".AAPL170616P155")</f>
        <v>45.2</v>
      </c>
      <c r="M164" t="str">
        <f>RTD("tos.rtd", , "BX", ".AAPL170616P155")</f>
        <v>X</v>
      </c>
      <c r="N164">
        <f>RTD("tos.rtd", , "ASK", ".AAPL170616P155")</f>
        <v>46.1</v>
      </c>
      <c r="O164" t="str">
        <f>RTD("tos.rtd", , "AX", ".AAPL170616P155")</f>
        <v>X</v>
      </c>
      <c r="P164">
        <f>RTD("tos.rtd", , "LAST", ".AAPL170616P155")</f>
        <v>51.19</v>
      </c>
      <c r="Q164" t="str">
        <f>RTD("tos.rtd", , "LX", ".AAPL170616P155")</f>
        <v>X</v>
      </c>
      <c r="R164">
        <f>RTD("tos.rtd", , "NET_CHANGE", ".AAPL170616P155")</f>
        <v>0</v>
      </c>
    </row>
    <row r="165" spans="1:18">
      <c r="C165">
        <f>RTD("tos.rtd", , "LAST", ".AAPL170616C160")</f>
        <v>1.1299999999999999</v>
      </c>
      <c r="D165" t="str">
        <f>RTD("tos.rtd", , "LX", ".AAPL170616C160")</f>
        <v>N</v>
      </c>
      <c r="E165">
        <f>RTD("tos.rtd", , "NET_CHANGE", ".AAPL170616C160")</f>
        <v>0</v>
      </c>
      <c r="F165">
        <f>RTD("tos.rtd", , "BID", ".AAPL170616C160")</f>
        <v>1.1100000000000001</v>
      </c>
      <c r="G165" t="str">
        <f>RTD("tos.rtd", , "BX", ".AAPL170616C160")</f>
        <v>X</v>
      </c>
      <c r="H165">
        <f>RTD("tos.rtd", , "ASK", ".AAPL170616C160")</f>
        <v>1.39</v>
      </c>
      <c r="I165" t="str">
        <f>RTD("tos.rtd", , "AX", ".AAPL170616C160")</f>
        <v>C</v>
      </c>
      <c r="J165" t="str">
        <f>RTD("tos.rtd", , "EXPIRATION_DAY", ".AAPL170616C160")</f>
        <v>2017-06-17</v>
      </c>
      <c r="K165">
        <f>RTD("tos.rtd", , "STRIKE", ".AAPL170616C160")</f>
        <v>160</v>
      </c>
      <c r="L165">
        <f>RTD("tos.rtd", , "BID", ".AAPL170616P160")</f>
        <v>49.7</v>
      </c>
      <c r="M165" t="str">
        <f>RTD("tos.rtd", , "BX", ".AAPL170616P160")</f>
        <v>X</v>
      </c>
      <c r="N165">
        <f>RTD("tos.rtd", , "ASK", ".AAPL170616P160")</f>
        <v>50.65</v>
      </c>
      <c r="O165" t="str">
        <f>RTD("tos.rtd", , "AX", ".AAPL170616P160")</f>
        <v>X</v>
      </c>
      <c r="P165">
        <f>RTD("tos.rtd", , "LAST", ".AAPL170616P160")</f>
        <v>0</v>
      </c>
      <c r="Q165" t="str">
        <f>RTD("tos.rtd", , "LX", ".AAPL170616P160")</f>
        <v/>
      </c>
      <c r="R165">
        <f>RTD("tos.rtd", , "NET_CHANGE", ".AAPL170616P160")</f>
        <v>0</v>
      </c>
    </row>
    <row r="166" spans="1:18">
      <c r="C166">
        <f>RTD("tos.rtd", , "LAST", ".AAPL170616C165")</f>
        <v>0.85</v>
      </c>
      <c r="D166" t="str">
        <f>RTD("tos.rtd", , "LX", ".AAPL170616C165")</f>
        <v>N</v>
      </c>
      <c r="E166">
        <f>RTD("tos.rtd", , "NET_CHANGE", ".AAPL170616C165")</f>
        <v>0</v>
      </c>
      <c r="F166">
        <f>RTD("tos.rtd", , "BID", ".AAPL170616C165")</f>
        <v>0.83</v>
      </c>
      <c r="G166" t="str">
        <f>RTD("tos.rtd", , "BX", ".AAPL170616C165")</f>
        <v>C</v>
      </c>
      <c r="H166">
        <f>RTD("tos.rtd", , "ASK", ".AAPL170616C165")</f>
        <v>1</v>
      </c>
      <c r="I166" t="str">
        <f>RTD("tos.rtd", , "AX", ".AAPL170616C165")</f>
        <v>X</v>
      </c>
      <c r="J166" t="str">
        <f>RTD("tos.rtd", , "EXPIRATION_DAY", ".AAPL170616C165")</f>
        <v>2017-06-17</v>
      </c>
      <c r="K166">
        <f>RTD("tos.rtd", , "STRIKE", ".AAPL170616C165")</f>
        <v>165</v>
      </c>
      <c r="L166">
        <f>RTD("tos.rtd", , "BID", ".AAPL170616P165")</f>
        <v>54.4</v>
      </c>
      <c r="M166" t="str">
        <f>RTD("tos.rtd", , "BX", ".AAPL170616P165")</f>
        <v>T</v>
      </c>
      <c r="N166">
        <f>RTD("tos.rtd", , "ASK", ".AAPL170616P165")</f>
        <v>55.35</v>
      </c>
      <c r="O166" t="str">
        <f>RTD("tos.rtd", , "AX", ".AAPL170616P165")</f>
        <v>A</v>
      </c>
      <c r="P166">
        <f>RTD("tos.rtd", , "LAST", ".AAPL170616P165")</f>
        <v>56.54</v>
      </c>
      <c r="Q166" t="str">
        <f>RTD("tos.rtd", , "LX", ".AAPL170616P165")</f>
        <v>M</v>
      </c>
      <c r="R166">
        <f>RTD("tos.rtd", , "NET_CHANGE", ".AAPL170616P165")</f>
        <v>0</v>
      </c>
    </row>
    <row r="167" spans="1:18">
      <c r="A167" t="s">
        <v>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Miller</dc:creator>
  <cp:lastModifiedBy>Alex Miller</cp:lastModifiedBy>
  <dcterms:created xsi:type="dcterms:W3CDTF">2016-04-13T18:51:34Z</dcterms:created>
  <dcterms:modified xsi:type="dcterms:W3CDTF">2016-04-13T19:35:24Z</dcterms:modified>
</cp:coreProperties>
</file>